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询价\之星京西\"/>
    </mc:Choice>
  </mc:AlternateContent>
  <xr:revisionPtr revIDLastSave="0" documentId="13_ncr:1_{AE14741B-F453-460E-99F0-013F834976E8}" xr6:coauthVersionLast="47" xr6:coauthVersionMax="47" xr10:uidLastSave="{00000000-0000-0000-0000-000000000000}"/>
  <bookViews>
    <workbookView xWindow="-108" yWindow="-108" windowWidth="23256" windowHeight="12576" tabRatio="885" firstSheet="6"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C12" i="4"/>
  <c r="E20" i="1" l="1"/>
  <c r="E13" i="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D11" i="63" s="1"/>
  <c r="M14" i="63"/>
  <c r="N14" i="63" s="1"/>
  <c r="D14" i="63"/>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X18" i="59" s="1"/>
  <c r="AH17" i="59"/>
  <c r="AG17" i="59"/>
  <c r="AE17" i="59"/>
  <c r="AF17" i="59" s="1"/>
  <c r="AD17" i="59"/>
  <c r="Q17" i="59"/>
  <c r="Q18" i="59"/>
  <c r="AB17" i="59" s="1"/>
  <c r="P17" i="59"/>
  <c r="AA12" i="59" s="1"/>
  <c r="P18" i="59"/>
  <c r="AA18" i="59" s="1"/>
  <c r="O17" i="59"/>
  <c r="N17" i="59"/>
  <c r="B2" i="48"/>
  <c r="O19" i="59"/>
  <c r="O20" i="59"/>
  <c r="Y19" i="59" s="1"/>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Y22" i="59" s="1"/>
  <c r="Z22" i="59" s="1"/>
  <c r="O23" i="59"/>
  <c r="N22" i="59"/>
  <c r="X22" i="59" s="1"/>
  <c r="N23" i="59"/>
  <c r="N24" i="59"/>
  <c r="O24" i="59"/>
  <c r="Y24" i="59" s="1"/>
  <c r="Z24" i="59" s="1"/>
  <c r="P24" i="59"/>
  <c r="Q24" i="59"/>
  <c r="AB22" i="59" s="1"/>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P25" i="59"/>
  <c r="AA25" i="59" s="1"/>
  <c r="O25" i="59"/>
  <c r="N25" i="59"/>
  <c r="X25" i="59" s="1"/>
  <c r="Q26" i="59"/>
  <c r="P26" i="59"/>
  <c r="O26" i="59"/>
  <c r="Y25" i="59" s="1"/>
  <c r="Z25" i="59" s="1"/>
  <c r="N26" i="59"/>
  <c r="D26" i="59"/>
  <c r="E25" i="59"/>
  <c r="E24" i="59"/>
  <c r="E23" i="59" s="1"/>
  <c r="E22" i="59" s="1"/>
  <c r="E21" i="59" s="1"/>
  <c r="E20" i="59" s="1"/>
  <c r="E19" i="59" s="1"/>
  <c r="E18" i="59" s="1"/>
  <c r="E17" i="59" s="1"/>
  <c r="F25" i="59"/>
  <c r="V25" i="59" s="1"/>
  <c r="C25" i="59"/>
  <c r="C24" i="59" s="1"/>
  <c r="T25" i="59"/>
  <c r="A2" i="50"/>
  <c r="D25" i="59"/>
  <c r="K60" i="15"/>
  <c r="P59" i="15" s="1"/>
  <c r="P72" i="15"/>
  <c r="A127" i="57"/>
  <c r="A6" i="52" s="1"/>
  <c r="B64" i="60" s="1"/>
  <c r="A123" i="9"/>
  <c r="A16" i="54"/>
  <c r="B14" i="60" s="1"/>
  <c r="A14" i="54"/>
  <c r="B12" i="60" s="1"/>
  <c r="A19" i="55"/>
  <c r="B49" i="60" s="1"/>
  <c r="A13" i="55"/>
  <c r="B43" i="60" s="1"/>
  <c r="A1" i="52"/>
  <c r="A4" i="50"/>
  <c r="P27" i="59"/>
  <c r="O27" i="59"/>
  <c r="Y26" i="59" s="1"/>
  <c r="Z26"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Y30" i="59"/>
  <c r="Z30" i="59" s="1"/>
  <c r="AB31" i="59"/>
  <c r="Y34" i="59"/>
  <c r="Z34" i="59" s="1"/>
  <c r="Y36" i="59"/>
  <c r="Z36" i="59" s="1"/>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c r="AG9" i="43"/>
  <c r="AG12" i="43"/>
  <c r="AF9" i="43"/>
  <c r="AF12" i="43"/>
  <c r="AE9" i="43"/>
  <c r="AE12" i="43"/>
  <c r="AD9" i="43"/>
  <c r="AD12" i="43"/>
  <c r="AC9" i="43"/>
  <c r="AC12" i="43" s="1"/>
  <c r="AB9" i="43"/>
  <c r="AB12" i="43"/>
  <c r="AA9" i="43"/>
  <c r="AA10" i="43" s="1"/>
  <c r="AA12" i="43"/>
  <c r="Z9" i="43"/>
  <c r="Z12" i="43"/>
  <c r="AC10" i="43"/>
  <c r="AE10" i="43"/>
  <c r="AG10" i="43"/>
  <c r="AI10" i="43"/>
  <c r="Z10" i="43"/>
  <c r="AB10" i="43"/>
  <c r="AD10" i="43"/>
  <c r="AF10" i="43"/>
  <c r="AH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c r="D86" i="59"/>
  <c r="F85" i="59"/>
  <c r="E85" i="59"/>
  <c r="E84" i="59" s="1"/>
  <c r="E83" i="59" s="1"/>
  <c r="C85" i="59"/>
  <c r="D85" i="59"/>
  <c r="B85" i="59"/>
  <c r="F84" i="59"/>
  <c r="F83" i="59" s="1"/>
  <c r="B84" i="59"/>
  <c r="B83" i="59"/>
  <c r="D82" i="59"/>
  <c r="S81" i="59"/>
  <c r="Q81" i="59"/>
  <c r="P81" i="59"/>
  <c r="O81" i="59"/>
  <c r="N81" i="59"/>
  <c r="F81" i="59"/>
  <c r="F80" i="59" s="1"/>
  <c r="F79" i="59" s="1"/>
  <c r="E81" i="59"/>
  <c r="U81" i="59" s="1"/>
  <c r="C81" i="59"/>
  <c r="T81" i="59"/>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T77" i="59"/>
  <c r="B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Q71" i="59"/>
  <c r="P71" i="59"/>
  <c r="O71" i="59"/>
  <c r="N71" i="59"/>
  <c r="Q70" i="59"/>
  <c r="P70" i="59"/>
  <c r="O70" i="59"/>
  <c r="N70" i="59"/>
  <c r="D70" i="59"/>
  <c r="P69" i="59"/>
  <c r="F69" i="59"/>
  <c r="V69" i="59" s="1"/>
  <c r="E69" i="59"/>
  <c r="E68" i="59" s="1"/>
  <c r="C69" i="59"/>
  <c r="O69" i="59" s="1"/>
  <c r="B69" i="59"/>
  <c r="N69"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B60" i="59" s="1"/>
  <c r="B61" i="59" s="1"/>
  <c r="S61" i="59" s="1"/>
  <c r="D58" i="59"/>
  <c r="Q57" i="59"/>
  <c r="P57" i="59"/>
  <c r="O57" i="59"/>
  <c r="N57" i="59"/>
  <c r="Q56" i="59"/>
  <c r="P56" i="59"/>
  <c r="O56" i="59"/>
  <c r="N56" i="59"/>
  <c r="Q55" i="59"/>
  <c r="P55" i="59"/>
  <c r="O55" i="59"/>
  <c r="N55" i="59"/>
  <c r="C55" i="59"/>
  <c r="D55" i="59" s="1"/>
  <c r="Q54" i="59"/>
  <c r="F55" i="59"/>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c r="B44" i="59" s="1"/>
  <c r="B45" i="59" s="1"/>
  <c r="S45" i="59" s="1"/>
  <c r="D42" i="59"/>
  <c r="Q41" i="59"/>
  <c r="P41" i="59"/>
  <c r="O41" i="59"/>
  <c r="N41" i="59"/>
  <c r="Q40" i="59"/>
  <c r="P40" i="59"/>
  <c r="AA11" i="59" s="1"/>
  <c r="AA40" i="59"/>
  <c r="O40" i="59"/>
  <c r="Y40" i="59" s="1"/>
  <c r="Z40" i="59" s="1"/>
  <c r="N40" i="59"/>
  <c r="X40" i="59"/>
  <c r="Q39" i="59"/>
  <c r="P39" i="59"/>
  <c r="AA39" i="59" s="1"/>
  <c r="O39" i="59"/>
  <c r="Y39" i="59" s="1"/>
  <c r="Z39" i="59" s="1"/>
  <c r="N39" i="59"/>
  <c r="X39" i="59" s="1"/>
  <c r="Q38" i="59"/>
  <c r="F39" i="59" s="1"/>
  <c r="F40" i="59" s="1"/>
  <c r="F41" i="59" s="1"/>
  <c r="V41" i="59" s="1"/>
  <c r="P38" i="59"/>
  <c r="AA38" i="59" s="1"/>
  <c r="E39" i="59"/>
  <c r="E40" i="59" s="1"/>
  <c r="E41" i="59" s="1"/>
  <c r="O38" i="59"/>
  <c r="C39" i="59"/>
  <c r="C40" i="59" s="1"/>
  <c r="N38" i="59"/>
  <c r="X38" i="59" s="1"/>
  <c r="B39" i="59"/>
  <c r="B40" i="59" s="1"/>
  <c r="B41" i="59" s="1"/>
  <c r="S41" i="59" s="1"/>
  <c r="D38" i="59"/>
  <c r="Q37" i="59"/>
  <c r="AB37" i="59" s="1"/>
  <c r="P37" i="59"/>
  <c r="AA37" i="59" s="1"/>
  <c r="O37" i="59"/>
  <c r="Y37" i="59" s="1"/>
  <c r="Z37" i="59" s="1"/>
  <c r="N37" i="59"/>
  <c r="X37" i="59" s="1"/>
  <c r="Q36" i="59"/>
  <c r="AB36" i="59" s="1"/>
  <c r="P36" i="59"/>
  <c r="O36" i="59"/>
  <c r="N36" i="59"/>
  <c r="X35" i="59" s="1"/>
  <c r="Q35" i="59"/>
  <c r="AB35" i="59" s="1"/>
  <c r="P35" i="59"/>
  <c r="AA35" i="59" s="1"/>
  <c r="O35" i="59"/>
  <c r="Y35" i="59" s="1"/>
  <c r="Z35" i="59" s="1"/>
  <c r="N35" i="59"/>
  <c r="F35" i="59"/>
  <c r="F36" i="59" s="1"/>
  <c r="F37" i="59" s="1"/>
  <c r="V37" i="59" s="1"/>
  <c r="Q34" i="59"/>
  <c r="AB34" i="59" s="1"/>
  <c r="P34" i="59"/>
  <c r="AA34" i="59" s="1"/>
  <c r="O34" i="59"/>
  <c r="C35" i="59" s="1"/>
  <c r="N34" i="59"/>
  <c r="B35" i="59" s="1"/>
  <c r="B36" i="59" s="1"/>
  <c r="B37" i="59" s="1"/>
  <c r="S37" i="59" s="1"/>
  <c r="D34" i="59"/>
  <c r="Q33" i="59"/>
  <c r="P33" i="59"/>
  <c r="AA32" i="59" s="1"/>
  <c r="O33" i="59"/>
  <c r="Y33" i="59" s="1"/>
  <c r="Z33" i="59" s="1"/>
  <c r="N33" i="59"/>
  <c r="X33" i="59" s="1"/>
  <c r="Q32" i="59"/>
  <c r="AB32" i="59" s="1"/>
  <c r="P32" i="59"/>
  <c r="O32" i="59"/>
  <c r="Y32" i="59" s="1"/>
  <c r="Z32" i="59" s="1"/>
  <c r="N32" i="59"/>
  <c r="X32" i="59" s="1"/>
  <c r="Q31" i="59"/>
  <c r="P31" i="59"/>
  <c r="AA29" i="59" s="1"/>
  <c r="O31" i="59"/>
  <c r="Y31" i="59" s="1"/>
  <c r="Z31" i="59" s="1"/>
  <c r="N31" i="59"/>
  <c r="X31" i="59" s="1"/>
  <c r="Q30" i="59"/>
  <c r="AB3" i="59" s="1"/>
  <c r="P30" i="59"/>
  <c r="AA30" i="59" s="1"/>
  <c r="E31" i="59"/>
  <c r="E32" i="59" s="1"/>
  <c r="E33" i="59" s="1"/>
  <c r="U33" i="59" s="1"/>
  <c r="O30" i="59"/>
  <c r="C31" i="59"/>
  <c r="D31" i="59" s="1"/>
  <c r="N30" i="59"/>
  <c r="X30" i="59" s="1"/>
  <c r="B31" i="59"/>
  <c r="B32" i="59" s="1"/>
  <c r="B33" i="59" s="1"/>
  <c r="S33" i="59" s="1"/>
  <c r="D30" i="59"/>
  <c r="O29" i="59"/>
  <c r="Y29" i="59" s="1"/>
  <c r="Z29" i="59" s="1"/>
  <c r="N29" i="59"/>
  <c r="X27" i="59" s="1"/>
  <c r="Y28" i="59"/>
  <c r="Z28" i="59" s="1"/>
  <c r="B29" i="59"/>
  <c r="B28" i="59" s="1"/>
  <c r="B27" i="59" s="1"/>
  <c r="X26" i="59"/>
  <c r="C32" i="59"/>
  <c r="C33" i="59" s="1"/>
  <c r="D39" i="59"/>
  <c r="P29" i="59"/>
  <c r="E72" i="59"/>
  <c r="E71" i="59" s="1"/>
  <c r="Q29" i="59"/>
  <c r="F29" i="59" s="1"/>
  <c r="C56" i="59"/>
  <c r="C57" i="59" s="1"/>
  <c r="C60" i="59"/>
  <c r="C61" i="59" s="1"/>
  <c r="D59" i="59"/>
  <c r="T69" i="59"/>
  <c r="C68" i="59"/>
  <c r="C67" i="59" s="1"/>
  <c r="T73" i="59"/>
  <c r="D73" i="59"/>
  <c r="C72" i="59"/>
  <c r="D72" i="59" s="1"/>
  <c r="C76" i="59"/>
  <c r="D76" i="59" s="1"/>
  <c r="D77" i="59"/>
  <c r="C80" i="59"/>
  <c r="D80" i="59" s="1"/>
  <c r="D81" i="59"/>
  <c r="C84" i="59"/>
  <c r="D84" i="59" s="1"/>
  <c r="C88" i="59"/>
  <c r="C87" i="59" s="1"/>
  <c r="D87" i="59" s="1"/>
  <c r="S29" i="59"/>
  <c r="AB27" i="59"/>
  <c r="E29" i="59"/>
  <c r="E28" i="59" s="1"/>
  <c r="E27" i="59" s="1"/>
  <c r="AA26" i="59"/>
  <c r="C83" i="59"/>
  <c r="D83" i="59" s="1"/>
  <c r="C71" i="59"/>
  <c r="D71" i="59" s="1"/>
  <c r="D88" i="59"/>
  <c r="D60" i="59"/>
  <c r="D56" i="59"/>
  <c r="D32" i="59"/>
  <c r="B75" i="43"/>
  <c r="B66" i="43"/>
  <c r="B55" i="43"/>
  <c r="Q25" i="40"/>
  <c r="Z25" i="40" s="1"/>
  <c r="D93" i="40"/>
  <c r="E93" i="40" s="1"/>
  <c r="F93" i="40" s="1"/>
  <c r="G93" i="40" s="1"/>
  <c r="H25" i="40"/>
  <c r="U25" i="40" s="1"/>
  <c r="F25" i="40"/>
  <c r="AA25" i="40" s="1"/>
  <c r="Q27" i="39"/>
  <c r="Z27" i="39" s="1"/>
  <c r="D100" i="39"/>
  <c r="E100" i="39" s="1"/>
  <c r="F100" i="39" s="1"/>
  <c r="G100" i="39" s="1"/>
  <c r="C29" i="39"/>
  <c r="Z18" i="36"/>
  <c r="Q18" i="36"/>
  <c r="F18" i="36"/>
  <c r="S18" i="36" s="1"/>
  <c r="C18" i="36"/>
  <c r="E66" i="36"/>
  <c r="F66" i="36" s="1"/>
  <c r="G66" i="36" s="1"/>
  <c r="D66" i="36"/>
  <c r="Q18" i="35"/>
  <c r="Z18" i="35" s="1"/>
  <c r="D68" i="35"/>
  <c r="E68" i="35"/>
  <c r="F68" i="35" s="1"/>
  <c r="G68" i="35" s="1"/>
  <c r="J18" i="35"/>
  <c r="AC18" i="35" s="1"/>
  <c r="H18" i="35"/>
  <c r="AB18" i="35" s="1"/>
  <c r="F18" i="35"/>
  <c r="AA18" i="35" s="1"/>
  <c r="C18" i="35"/>
  <c r="Z21" i="37"/>
  <c r="Q21" i="37"/>
  <c r="D77" i="37"/>
  <c r="E77" i="37" s="1"/>
  <c r="F77" i="37" s="1"/>
  <c r="G77" i="37" s="1"/>
  <c r="H21" i="37"/>
  <c r="AB21" i="37" s="1"/>
  <c r="F21" i="37"/>
  <c r="S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AB25" i="40"/>
  <c r="U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8" i="43"/>
  <c r="K99" i="43"/>
  <c r="K100" i="43" s="1"/>
  <c r="K108" i="43"/>
  <c r="J99" i="43"/>
  <c r="J108" i="43"/>
  <c r="I99" i="43"/>
  <c r="I108" i="43" s="1"/>
  <c r="H99" i="43"/>
  <c r="H108" i="43" s="1"/>
  <c r="G99" i="43"/>
  <c r="G108" i="43"/>
  <c r="F99" i="43"/>
  <c r="F108" i="43"/>
  <c r="E99" i="43"/>
  <c r="E100" i="43" s="1"/>
  <c r="E108" i="43"/>
  <c r="D99" i="43"/>
  <c r="D108" i="43"/>
  <c r="C99" i="43"/>
  <c r="C108" i="43" s="1"/>
  <c r="C100" i="43"/>
  <c r="G100" i="43"/>
  <c r="M100" i="43"/>
  <c r="D100" i="43"/>
  <c r="F100" i="43"/>
  <c r="J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c r="L40" i="47"/>
  <c r="M40" i="47"/>
  <c r="J40" i="47"/>
  <c r="I40" i="47" s="1"/>
  <c r="L39" i="47"/>
  <c r="M39" i="47" s="1"/>
  <c r="J39" i="47"/>
  <c r="I39" i="47" s="1"/>
  <c r="L38" i="47"/>
  <c r="M38" i="47"/>
  <c r="J38" i="47"/>
  <c r="I38" i="47"/>
  <c r="L37" i="47"/>
  <c r="M37" i="47"/>
  <c r="J37" i="47"/>
  <c r="I37" i="47" s="1"/>
  <c r="L34" i="47"/>
  <c r="M34" i="47" s="1"/>
  <c r="J34" i="47"/>
  <c r="I34" i="47" s="1"/>
  <c r="L33" i="47"/>
  <c r="M33" i="47"/>
  <c r="J33" i="47"/>
  <c r="I33" i="47"/>
  <c r="L32" i="47"/>
  <c r="M32" i="47"/>
  <c r="J32" i="47"/>
  <c r="I32" i="47" s="1"/>
  <c r="L31" i="47"/>
  <c r="M31" i="47" s="1"/>
  <c r="J31" i="47"/>
  <c r="I31" i="47" s="1"/>
  <c r="D31" i="47" s="1"/>
  <c r="L30" i="47"/>
  <c r="M30" i="47" s="1"/>
  <c r="J30" i="47"/>
  <c r="I30" i="47" s="1"/>
  <c r="L29" i="47"/>
  <c r="M29" i="47"/>
  <c r="J29" i="47"/>
  <c r="I29" i="47"/>
  <c r="D29" i="47" s="1"/>
  <c r="L28" i="47"/>
  <c r="M28" i="47" s="1"/>
  <c r="J28" i="47"/>
  <c r="I28" i="47"/>
  <c r="L27" i="47"/>
  <c r="M27" i="47"/>
  <c r="J27" i="47"/>
  <c r="I27" i="47"/>
  <c r="L26" i="47"/>
  <c r="M26" i="47" s="1"/>
  <c r="J26" i="47"/>
  <c r="I26" i="47" s="1"/>
  <c r="L23" i="47"/>
  <c r="M23" i="47" s="1"/>
  <c r="J23" i="47"/>
  <c r="I23" i="47"/>
  <c r="L22" i="47"/>
  <c r="M22" i="47"/>
  <c r="J22" i="47"/>
  <c r="I22" i="47"/>
  <c r="L21" i="47"/>
  <c r="M21" i="47" s="1"/>
  <c r="J21" i="47"/>
  <c r="I21" i="47" s="1"/>
  <c r="L20" i="47"/>
  <c r="M20" i="47" s="1"/>
  <c r="J20" i="47"/>
  <c r="I20" i="47"/>
  <c r="L19" i="47"/>
  <c r="M19" i="47"/>
  <c r="J19" i="47"/>
  <c r="I19" i="47"/>
  <c r="L18" i="47"/>
  <c r="M18" i="47" s="1"/>
  <c r="J18" i="47"/>
  <c r="I18" i="47" s="1"/>
  <c r="L17" i="47"/>
  <c r="M17" i="47" s="1"/>
  <c r="J17" i="47"/>
  <c r="I17" i="47"/>
  <c r="L16" i="47"/>
  <c r="M16" i="47"/>
  <c r="J16" i="47"/>
  <c r="I16" i="47"/>
  <c r="L15" i="47"/>
  <c r="M15" i="47" s="1"/>
  <c r="J15" i="47"/>
  <c r="I15" i="47" s="1"/>
  <c r="D5" i="47"/>
  <c r="D11" i="47"/>
  <c r="J5" i="47"/>
  <c r="I5" i="47"/>
  <c r="L5" i="47"/>
  <c r="M5" i="47"/>
  <c r="J6" i="47"/>
  <c r="I6" i="47"/>
  <c r="L6" i="47"/>
  <c r="M6" i="47" s="1"/>
  <c r="J7" i="47"/>
  <c r="I7" i="47" s="1"/>
  <c r="L7" i="47"/>
  <c r="M7" i="47" s="1"/>
  <c r="D7" i="47" s="1"/>
  <c r="J8" i="47"/>
  <c r="I8" i="47" s="1"/>
  <c r="L8" i="47"/>
  <c r="M8" i="47" s="1"/>
  <c r="J9" i="47"/>
  <c r="I9" i="47"/>
  <c r="L9" i="47"/>
  <c r="M9" i="47"/>
  <c r="J10" i="47"/>
  <c r="I10" i="47"/>
  <c r="D10" i="47" s="1"/>
  <c r="L10" i="47"/>
  <c r="M10" i="47"/>
  <c r="J11" i="47"/>
  <c r="I11" i="47"/>
  <c r="L11" i="47"/>
  <c r="M11" i="47"/>
  <c r="J12" i="47"/>
  <c r="I12" i="47" s="1"/>
  <c r="D12" i="47" s="1"/>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c r="J11" i="31" s="1"/>
  <c r="K11" i="31" s="1"/>
  <c r="L11" i="31" s="1"/>
  <c r="M11" i="31" s="1"/>
  <c r="N11" i="3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c r="E55" i="34"/>
  <c r="F55" i="34"/>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c r="G54" i="33"/>
  <c r="H54" i="33" s="1"/>
  <c r="E54" i="33"/>
  <c r="G111" i="21"/>
  <c r="H111" i="21"/>
  <c r="B109" i="39"/>
  <c r="F35" i="39" s="1"/>
  <c r="S35" i="39" s="1"/>
  <c r="B111" i="39"/>
  <c r="J30" i="36"/>
  <c r="H30" i="36"/>
  <c r="F30" i="36"/>
  <c r="AA30" i="36"/>
  <c r="C79" i="35"/>
  <c r="H26" i="35" s="1"/>
  <c r="J31" i="35"/>
  <c r="H31" i="35"/>
  <c r="AB31" i="35"/>
  <c r="F31" i="35"/>
  <c r="D87" i="35"/>
  <c r="E87" i="35" s="1"/>
  <c r="F87" i="35" s="1"/>
  <c r="G87" i="35" s="1"/>
  <c r="H87" i="35" s="1"/>
  <c r="I87" i="35" s="1"/>
  <c r="J87" i="35" s="1"/>
  <c r="K87" i="35"/>
  <c r="L87" i="35" s="1"/>
  <c r="M87" i="35" s="1"/>
  <c r="H29" i="35"/>
  <c r="H34" i="37"/>
  <c r="AB34" i="37" s="1"/>
  <c r="D101" i="37"/>
  <c r="F34" i="37"/>
  <c r="AA34" i="37"/>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c r="D83" i="40"/>
  <c r="E83" i="40"/>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s="1"/>
  <c r="Q43" i="39"/>
  <c r="Z43" i="39" s="1"/>
  <c r="Q44" i="39"/>
  <c r="Z44" i="39"/>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c r="G79" i="37" s="1"/>
  <c r="D75" i="37"/>
  <c r="E75" i="37"/>
  <c r="F75" i="37"/>
  <c r="D73" i="37"/>
  <c r="E73" i="37" s="1"/>
  <c r="J17" i="37"/>
  <c r="D71" i="37"/>
  <c r="E71" i="37"/>
  <c r="F71" i="37" s="1"/>
  <c r="G71" i="37" s="1"/>
  <c r="B68" i="37"/>
  <c r="H14" i="37" s="1"/>
  <c r="AB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c r="F25" i="37"/>
  <c r="AA25" i="37" s="1"/>
  <c r="Q23" i="37"/>
  <c r="Z23" i="37"/>
  <c r="Q19" i="37"/>
  <c r="Z19" i="37" s="1"/>
  <c r="Q17" i="37"/>
  <c r="Z17" i="37"/>
  <c r="Q15" i="37"/>
  <c r="Z15" i="37"/>
  <c r="Q14" i="37"/>
  <c r="Z14" i="37"/>
  <c r="Q13" i="37"/>
  <c r="Z13" i="37" s="1"/>
  <c r="Q12" i="37"/>
  <c r="Z12" i="37"/>
  <c r="Q11" i="37"/>
  <c r="Z11" i="37" s="1"/>
  <c r="Q10" i="37"/>
  <c r="Z10" i="37"/>
  <c r="Q9" i="37"/>
  <c r="Z9" i="37"/>
  <c r="J8" i="37"/>
  <c r="W8" i="37" s="1"/>
  <c r="H8" i="37"/>
  <c r="AB8" i="37" s="1"/>
  <c r="F8" i="37"/>
  <c r="S8" i="37" s="1"/>
  <c r="J31" i="36"/>
  <c r="H31" i="36"/>
  <c r="AB31" i="36"/>
  <c r="F31" i="36"/>
  <c r="M86" i="36"/>
  <c r="L86" i="36"/>
  <c r="K86" i="36"/>
  <c r="J86" i="36"/>
  <c r="I86" i="36"/>
  <c r="H86" i="36"/>
  <c r="G86" i="36"/>
  <c r="F86" i="36"/>
  <c r="E86" i="36"/>
  <c r="D86" i="36"/>
  <c r="C86" i="36"/>
  <c r="D85" i="36"/>
  <c r="H29" i="36"/>
  <c r="U29" i="36"/>
  <c r="D81" i="36"/>
  <c r="E81" i="36"/>
  <c r="F81" i="36"/>
  <c r="G81" i="36"/>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c r="F78" i="36"/>
  <c r="G78" i="36" s="1"/>
  <c r="H78" i="36" s="1"/>
  <c r="I78" i="36" s="1"/>
  <c r="J78" i="36"/>
  <c r="K78" i="36" s="1"/>
  <c r="L78" i="36" s="1"/>
  <c r="M78" i="36" s="1"/>
  <c r="B75" i="36"/>
  <c r="B73" i="36"/>
  <c r="B71" i="36"/>
  <c r="D70" i="36"/>
  <c r="H22" i="36"/>
  <c r="AB22" i="36" s="1"/>
  <c r="D68" i="36"/>
  <c r="E68" i="36" s="1"/>
  <c r="F68" i="36" s="1"/>
  <c r="G68" i="36" s="1"/>
  <c r="D64" i="36"/>
  <c r="E64" i="36"/>
  <c r="F64" i="36"/>
  <c r="G64" i="36" s="1"/>
  <c r="J16" i="36"/>
  <c r="W16" i="36" s="1"/>
  <c r="D62" i="36"/>
  <c r="E62" i="36" s="1"/>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c r="Q23" i="36"/>
  <c r="Z23" i="36"/>
  <c r="J23" i="36"/>
  <c r="AC23" i="36" s="1"/>
  <c r="H23" i="36"/>
  <c r="F23" i="36"/>
  <c r="S23" i="36" s="1"/>
  <c r="Q22" i="36"/>
  <c r="Z22" i="36"/>
  <c r="J22" i="36"/>
  <c r="Q20" i="36"/>
  <c r="Z20" i="36" s="1"/>
  <c r="Q16" i="36"/>
  <c r="Z16" i="36" s="1"/>
  <c r="Q14" i="36"/>
  <c r="Z14" i="36" s="1"/>
  <c r="Q13" i="36"/>
  <c r="Z13" i="36"/>
  <c r="Q12" i="36"/>
  <c r="Z12" i="36"/>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H36" i="35" s="1"/>
  <c r="AB36" i="35"/>
  <c r="B99" i="35"/>
  <c r="B97" i="35"/>
  <c r="B77" i="35"/>
  <c r="B75" i="35"/>
  <c r="J24" i="35" s="1"/>
  <c r="B73" i="35"/>
  <c r="H23" i="35"/>
  <c r="U23" i="35" s="1"/>
  <c r="B57" i="35"/>
  <c r="B61" i="35"/>
  <c r="B59" i="35"/>
  <c r="H12" i="35" s="1"/>
  <c r="B131" i="34"/>
  <c r="B129" i="34"/>
  <c r="F46" i="34" s="1"/>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J36" i="35"/>
  <c r="AC36" i="35" s="1"/>
  <c r="Q35" i="35"/>
  <c r="Z35" i="35"/>
  <c r="Q34" i="35"/>
  <c r="Z34" i="35"/>
  <c r="J34" i="35"/>
  <c r="AC34" i="35"/>
  <c r="Q33" i="35"/>
  <c r="Z33" i="35"/>
  <c r="Q32" i="35"/>
  <c r="Z32" i="35"/>
  <c r="H32" i="35"/>
  <c r="AB32" i="35" s="1"/>
  <c r="F32" i="35"/>
  <c r="AA32" i="35"/>
  <c r="Q31" i="35"/>
  <c r="Z31" i="35"/>
  <c r="AC31" i="35"/>
  <c r="AA31" i="35"/>
  <c r="Q30" i="35"/>
  <c r="Z30" i="35"/>
  <c r="Q29" i="35"/>
  <c r="Z29" i="35"/>
  <c r="Q28" i="35"/>
  <c r="Z28" i="35" s="1"/>
  <c r="J28" i="35"/>
  <c r="AC28" i="35"/>
  <c r="H28" i="35"/>
  <c r="AB28" i="35"/>
  <c r="F28" i="35"/>
  <c r="AA28" i="35"/>
  <c r="Q27" i="35"/>
  <c r="Z27" i="35"/>
  <c r="Q26" i="35"/>
  <c r="Z26" i="35"/>
  <c r="Q25" i="35"/>
  <c r="Z25" i="35" s="1"/>
  <c r="Q24" i="35"/>
  <c r="Z24" i="35"/>
  <c r="Q23" i="35"/>
  <c r="Z23" i="35"/>
  <c r="J23" i="35"/>
  <c r="AC23" i="35"/>
  <c r="Q22" i="35"/>
  <c r="Z22" i="35"/>
  <c r="Q20" i="35"/>
  <c r="Z20" i="35"/>
  <c r="Q16" i="35"/>
  <c r="Z16" i="35" s="1"/>
  <c r="Q14" i="35"/>
  <c r="Z14" i="35"/>
  <c r="Q13" i="35"/>
  <c r="Z13" i="35"/>
  <c r="Q12" i="35"/>
  <c r="Z12" i="35"/>
  <c r="J12" i="35"/>
  <c r="W12" i="35"/>
  <c r="U12" i="35"/>
  <c r="F12" i="35"/>
  <c r="S12" i="35" s="1"/>
  <c r="Q11" i="35"/>
  <c r="Z11" i="35"/>
  <c r="Q10" i="35"/>
  <c r="Z10" i="35"/>
  <c r="Q9" i="35"/>
  <c r="Z9" i="35"/>
  <c r="F9" i="35"/>
  <c r="AA9" i="35" s="1"/>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c r="F82" i="34"/>
  <c r="G82" i="34" s="1"/>
  <c r="F19" i="34"/>
  <c r="D80" i="34"/>
  <c r="E80" i="34"/>
  <c r="D78" i="34"/>
  <c r="E78" i="34" s="1"/>
  <c r="F78" i="34" s="1"/>
  <c r="G78" i="34" s="1"/>
  <c r="F15" i="34"/>
  <c r="AA15" i="34" s="1"/>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s="1"/>
  <c r="Q29" i="34"/>
  <c r="Z29" i="34" s="1"/>
  <c r="Q28" i="34"/>
  <c r="Z28" i="34" s="1"/>
  <c r="Q27" i="34"/>
  <c r="Z27" i="34"/>
  <c r="Q25" i="34"/>
  <c r="Z25" i="34"/>
  <c r="Q23" i="34"/>
  <c r="Z23" i="34" s="1"/>
  <c r="C23" i="34"/>
  <c r="Q19" i="34"/>
  <c r="Z19" i="34"/>
  <c r="C19" i="34"/>
  <c r="Q17" i="34"/>
  <c r="Z17" i="34" s="1"/>
  <c r="C17" i="34"/>
  <c r="Q15" i="34"/>
  <c r="Z15" i="34" s="1"/>
  <c r="Q14" i="34"/>
  <c r="Z14" i="34"/>
  <c r="Q13" i="34"/>
  <c r="Z13" i="34"/>
  <c r="Q12" i="34"/>
  <c r="Z12" i="34"/>
  <c r="F12" i="34"/>
  <c r="Q11" i="34"/>
  <c r="Z11" i="34" s="1"/>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c r="Q40" i="33"/>
  <c r="Z40" i="33" s="1"/>
  <c r="J40" i="33"/>
  <c r="AC40" i="33" s="1"/>
  <c r="H40" i="33"/>
  <c r="AB40" i="33" s="1"/>
  <c r="Q39" i="33"/>
  <c r="Z39" i="33"/>
  <c r="Q38" i="33"/>
  <c r="Z38" i="33" s="1"/>
  <c r="J38" i="33"/>
  <c r="H38" i="33"/>
  <c r="AB38" i="33" s="1"/>
  <c r="F38" i="33"/>
  <c r="Q37" i="33"/>
  <c r="Z37" i="33"/>
  <c r="Q36" i="33"/>
  <c r="Z36" i="33" s="1"/>
  <c r="Q35" i="33"/>
  <c r="Z35" i="33"/>
  <c r="H35" i="33"/>
  <c r="AB35" i="33" s="1"/>
  <c r="F35" i="33"/>
  <c r="S35" i="33"/>
  <c r="Q34" i="33"/>
  <c r="Z34" i="33"/>
  <c r="H34" i="33"/>
  <c r="AB34" i="33"/>
  <c r="F34" i="33"/>
  <c r="AA34" i="33" s="1"/>
  <c r="Q33" i="33"/>
  <c r="Z33" i="33"/>
  <c r="J33" i="33"/>
  <c r="H33" i="33"/>
  <c r="AB33" i="33"/>
  <c r="F33" i="33"/>
  <c r="AA33" i="33" s="1"/>
  <c r="Q32" i="33"/>
  <c r="Z32" i="33" s="1"/>
  <c r="Q31" i="33"/>
  <c r="Z31" i="33" s="1"/>
  <c r="Q30" i="33"/>
  <c r="Z30" i="33" s="1"/>
  <c r="Q29" i="33"/>
  <c r="Z29" i="33"/>
  <c r="Q28" i="33"/>
  <c r="Z28" i="33"/>
  <c r="Q27" i="33"/>
  <c r="Z27" i="33" s="1"/>
  <c r="Q26" i="33"/>
  <c r="Z26" i="33" s="1"/>
  <c r="Q25" i="33"/>
  <c r="Z25" i="33" s="1"/>
  <c r="Q23" i="33"/>
  <c r="Z23" i="33" s="1"/>
  <c r="Q19" i="33"/>
  <c r="Z19" i="33"/>
  <c r="Q17" i="33"/>
  <c r="Z17" i="33"/>
  <c r="Q15" i="33"/>
  <c r="Z15" i="33" s="1"/>
  <c r="F15" i="33"/>
  <c r="Q14" i="33"/>
  <c r="Z14" i="33"/>
  <c r="Q13" i="33"/>
  <c r="Z13" i="33" s="1"/>
  <c r="Q12" i="33"/>
  <c r="Z12" i="33"/>
  <c r="J12" i="33"/>
  <c r="W12" i="33" s="1"/>
  <c r="H12" i="33"/>
  <c r="U12" i="33"/>
  <c r="F12" i="33"/>
  <c r="S12" i="33"/>
  <c r="Q11" i="33"/>
  <c r="Z11" i="33"/>
  <c r="Q10" i="33"/>
  <c r="Z10" i="33" s="1"/>
  <c r="F10" i="33"/>
  <c r="AA10" i="33"/>
  <c r="Q9" i="33"/>
  <c r="Z9" i="33" s="1"/>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B128" i="21"/>
  <c r="B126" i="21"/>
  <c r="B98" i="21"/>
  <c r="B96" i="21"/>
  <c r="B94" i="21"/>
  <c r="B92" i="21"/>
  <c r="B90" i="21"/>
  <c r="B74" i="21"/>
  <c r="B72" i="21"/>
  <c r="B70" i="21"/>
  <c r="F12" i="21" s="1"/>
  <c r="AA12" i="21" s="1"/>
  <c r="F10" i="21"/>
  <c r="S10" i="21" s="1"/>
  <c r="C19" i="21"/>
  <c r="C17" i="21"/>
  <c r="C23" i="21"/>
  <c r="Q9" i="21"/>
  <c r="Z9" i="21"/>
  <c r="Q10" i="21"/>
  <c r="Z10" i="21"/>
  <c r="Q11" i="21"/>
  <c r="Z11" i="21" s="1"/>
  <c r="Q12" i="21"/>
  <c r="Z12" i="21"/>
  <c r="Q13" i="21"/>
  <c r="Z13" i="21" s="1"/>
  <c r="Q14" i="21"/>
  <c r="Z14" i="21"/>
  <c r="Q15" i="21"/>
  <c r="Z15" i="21"/>
  <c r="Q17" i="21"/>
  <c r="Z17" i="21"/>
  <c r="Q19" i="21"/>
  <c r="Z19" i="21" s="1"/>
  <c r="Q23" i="21"/>
  <c r="Z23" i="21"/>
  <c r="Q25" i="21"/>
  <c r="Z25" i="21" s="1"/>
  <c r="Q26" i="21"/>
  <c r="Z26" i="21"/>
  <c r="Q27" i="21"/>
  <c r="Z27" i="21"/>
  <c r="Q28" i="21"/>
  <c r="Z28" i="21"/>
  <c r="Q29" i="21"/>
  <c r="Z29" i="21" s="1"/>
  <c r="Q30" i="21"/>
  <c r="Z30" i="21"/>
  <c r="Q31" i="21"/>
  <c r="Z31" i="21" s="1"/>
  <c r="Q32" i="21"/>
  <c r="Z32" i="21"/>
  <c r="Q33" i="21"/>
  <c r="Z33" i="21"/>
  <c r="Q34" i="21"/>
  <c r="Z34" i="21"/>
  <c r="J35" i="21"/>
  <c r="W35" i="21" s="1"/>
  <c r="Q35" i="21"/>
  <c r="Z35" i="21"/>
  <c r="Q36" i="21"/>
  <c r="Z36" i="21" s="1"/>
  <c r="Q37" i="21"/>
  <c r="Z37" i="21"/>
  <c r="J38" i="21"/>
  <c r="W38" i="21"/>
  <c r="Q38" i="21"/>
  <c r="Z38" i="21"/>
  <c r="J39" i="21"/>
  <c r="AC39" i="21" s="1"/>
  <c r="Q39" i="21"/>
  <c r="Z39" i="21"/>
  <c r="Q40" i="21"/>
  <c r="Z40" i="21" s="1"/>
  <c r="Q41" i="21"/>
  <c r="Z41" i="21"/>
  <c r="Q42" i="21"/>
  <c r="Z42" i="21"/>
  <c r="J43" i="21"/>
  <c r="AC43" i="21" s="1"/>
  <c r="Q43" i="21"/>
  <c r="Z43" i="21" s="1"/>
  <c r="Q44" i="21"/>
  <c r="Z44" i="21"/>
  <c r="Q45" i="21"/>
  <c r="Z45" i="21" s="1"/>
  <c r="Q46" i="21"/>
  <c r="Z46" i="21"/>
  <c r="P47" i="21"/>
  <c r="R47" i="21"/>
  <c r="T47" i="21"/>
  <c r="V47" i="21"/>
  <c r="P48" i="21"/>
  <c r="P49" i="21"/>
  <c r="F8" i="21"/>
  <c r="AA8" i="21"/>
  <c r="E10" i="11"/>
  <c r="E9" i="11"/>
  <c r="F43" i="21"/>
  <c r="S43" i="21"/>
  <c r="H38" i="21"/>
  <c r="U38" i="21"/>
  <c r="H43" i="21"/>
  <c r="AB43" i="21" s="1"/>
  <c r="F38" i="21"/>
  <c r="F36" i="21"/>
  <c r="S36" i="21" s="1"/>
  <c r="F39" i="21"/>
  <c r="S39" i="21"/>
  <c r="H35" i="21"/>
  <c r="AB35" i="21"/>
  <c r="J8" i="21"/>
  <c r="J9" i="21"/>
  <c r="W9" i="21" s="1"/>
  <c r="H8" i="21"/>
  <c r="U8" i="21"/>
  <c r="H9" i="21"/>
  <c r="AB9" i="21" s="1"/>
  <c r="H10" i="21"/>
  <c r="AB10" i="21" s="1"/>
  <c r="H36" i="21"/>
  <c r="U36" i="21"/>
  <c r="F35" i="21"/>
  <c r="AA35" i="21" s="1"/>
  <c r="J33" i="21"/>
  <c r="W33" i="21" s="1"/>
  <c r="H33" i="21"/>
  <c r="AB33" i="21"/>
  <c r="F33" i="21"/>
  <c r="AA33" i="21" s="1"/>
  <c r="J10" i="21"/>
  <c r="AC10" i="21"/>
  <c r="H26" i="21"/>
  <c r="AB26" i="21"/>
  <c r="F19" i="21"/>
  <c r="AA19" i="21" s="1"/>
  <c r="H19" i="21"/>
  <c r="AB19" i="21" s="1"/>
  <c r="J19" i="21"/>
  <c r="W19" i="21" s="1"/>
  <c r="J12" i="21"/>
  <c r="AC12" i="21" s="1"/>
  <c r="H12" i="21"/>
  <c r="AB12" i="21"/>
  <c r="J26" i="21"/>
  <c r="W26" i="21"/>
  <c r="F26" i="21"/>
  <c r="S26" i="21" s="1"/>
  <c r="AB41" i="21"/>
  <c r="U41" i="21"/>
  <c r="F45" i="39"/>
  <c r="J45" i="39"/>
  <c r="W45" i="39"/>
  <c r="J44" i="39"/>
  <c r="F36" i="39"/>
  <c r="S36" i="39" s="1"/>
  <c r="H36" i="39"/>
  <c r="AB36" i="39" s="1"/>
  <c r="J36" i="39"/>
  <c r="AC36" i="39" s="1"/>
  <c r="S8" i="39"/>
  <c r="U38" i="39"/>
  <c r="H32" i="37"/>
  <c r="AB32" i="37" s="1"/>
  <c r="U8" i="37"/>
  <c r="U14" i="37"/>
  <c r="W30" i="37"/>
  <c r="F29" i="36"/>
  <c r="AA29" i="36"/>
  <c r="F16" i="36"/>
  <c r="S16" i="36" s="1"/>
  <c r="U22" i="36"/>
  <c r="W23" i="36"/>
  <c r="AC31" i="36"/>
  <c r="W31" i="36"/>
  <c r="U31" i="36"/>
  <c r="J33" i="36"/>
  <c r="W33" i="36"/>
  <c r="AB34" i="36"/>
  <c r="H22" i="35"/>
  <c r="AB22" i="35"/>
  <c r="U31" i="35"/>
  <c r="S32" i="35"/>
  <c r="S31" i="35"/>
  <c r="W31" i="35"/>
  <c r="U32" i="35"/>
  <c r="F36" i="34"/>
  <c r="AA36" i="34" s="1"/>
  <c r="H39" i="33"/>
  <c r="AB39" i="33" s="1"/>
  <c r="F26" i="33"/>
  <c r="AA26" i="33" s="1"/>
  <c r="AC38" i="21"/>
  <c r="S27" i="35"/>
  <c r="F11" i="40"/>
  <c r="AA11" i="40" s="1"/>
  <c r="S8" i="40"/>
  <c r="H11" i="40"/>
  <c r="AB11" i="40" s="1"/>
  <c r="U9" i="40"/>
  <c r="U34"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s="1"/>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c r="C25" i="39"/>
  <c r="H11" i="39"/>
  <c r="AB11" i="39" s="1"/>
  <c r="H11" i="21"/>
  <c r="U11" i="21"/>
  <c r="J11" i="21"/>
  <c r="AC11" i="21" s="1"/>
  <c r="U33" i="21"/>
  <c r="H36" i="40"/>
  <c r="U36" i="40" s="1"/>
  <c r="F35" i="40"/>
  <c r="S35" i="40" s="1"/>
  <c r="J30" i="40"/>
  <c r="W30" i="40" s="1"/>
  <c r="F30" i="40"/>
  <c r="AA30" i="40" s="1"/>
  <c r="H27" i="40"/>
  <c r="U27" i="40"/>
  <c r="H23" i="40"/>
  <c r="AB23" i="40"/>
  <c r="J11" i="40"/>
  <c r="AB12" i="33"/>
  <c r="AA12" i="33"/>
  <c r="S44" i="39"/>
  <c r="F37" i="39"/>
  <c r="S37" i="39" s="1"/>
  <c r="J34" i="36"/>
  <c r="AC34" i="36" s="1"/>
  <c r="U30" i="36"/>
  <c r="F22" i="35"/>
  <c r="AA22" i="35"/>
  <c r="H10" i="35"/>
  <c r="U10" i="35"/>
  <c r="AB29" i="36"/>
  <c r="F33" i="36"/>
  <c r="S33" i="36" s="1"/>
  <c r="E85" i="36"/>
  <c r="F85" i="36"/>
  <c r="G85" i="36" s="1"/>
  <c r="H85" i="36" s="1"/>
  <c r="I85" i="36" s="1"/>
  <c r="J85" i="36" s="1"/>
  <c r="K85" i="36" s="1"/>
  <c r="L85" i="36" s="1"/>
  <c r="M85" i="36" s="1"/>
  <c r="J29" i="36"/>
  <c r="AC29" i="36" s="1"/>
  <c r="F12" i="36"/>
  <c r="AA12" i="36" s="1"/>
  <c r="F34" i="36"/>
  <c r="AA34" i="36"/>
  <c r="H20" i="36"/>
  <c r="J20" i="36"/>
  <c r="W20" i="36"/>
  <c r="AB8" i="36"/>
  <c r="F14" i="35"/>
  <c r="F23" i="35"/>
  <c r="AA23" i="35"/>
  <c r="J32" i="35"/>
  <c r="AC32" i="35" s="1"/>
  <c r="J16" i="35"/>
  <c r="W16" i="35" s="1"/>
  <c r="H14" i="35"/>
  <c r="AB14" i="35"/>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J43" i="34"/>
  <c r="AC43" i="34"/>
  <c r="H43" i="34"/>
  <c r="AB43" i="34" s="1"/>
  <c r="U42" i="34"/>
  <c r="F118" i="34"/>
  <c r="H40" i="34"/>
  <c r="U40" i="34" s="1"/>
  <c r="E114" i="34"/>
  <c r="F38" i="34"/>
  <c r="AA38" i="34"/>
  <c r="F114" i="34"/>
  <c r="G114" i="34" s="1"/>
  <c r="H114" i="34" s="1"/>
  <c r="I114" i="34" s="1"/>
  <c r="J114" i="34" s="1"/>
  <c r="K114" i="34" s="1"/>
  <c r="L114" i="34" s="1"/>
  <c r="M114" i="34" s="1"/>
  <c r="F28" i="34"/>
  <c r="AA28" i="34" s="1"/>
  <c r="J19" i="34"/>
  <c r="W19" i="34"/>
  <c r="J15" i="34"/>
  <c r="AC15" i="34" s="1"/>
  <c r="H15" i="34"/>
  <c r="AB15" i="34" s="1"/>
  <c r="J10" i="34"/>
  <c r="W10" i="34"/>
  <c r="H10" i="34"/>
  <c r="AB10" i="34" s="1"/>
  <c r="F41" i="33"/>
  <c r="S41" i="33" s="1"/>
  <c r="E113" i="33"/>
  <c r="J34" i="33"/>
  <c r="F36" i="33"/>
  <c r="S36" i="33" s="1"/>
  <c r="F25" i="33"/>
  <c r="AA25" i="33"/>
  <c r="J25" i="33"/>
  <c r="AC25" i="33"/>
  <c r="H25" i="33"/>
  <c r="AB25" i="33" s="1"/>
  <c r="J23" i="33"/>
  <c r="AC23" i="33" s="1"/>
  <c r="F23" i="33"/>
  <c r="AA23" i="33"/>
  <c r="H23" i="33"/>
  <c r="F19" i="33"/>
  <c r="S19" i="33"/>
  <c r="J19" i="33"/>
  <c r="W19" i="33" s="1"/>
  <c r="J17" i="33"/>
  <c r="AC17" i="33" s="1"/>
  <c r="H17" i="33"/>
  <c r="AB17" i="33"/>
  <c r="J15" i="33"/>
  <c r="AC15" i="33"/>
  <c r="F11" i="33"/>
  <c r="AA11" i="33"/>
  <c r="W10" i="33"/>
  <c r="H10" i="33"/>
  <c r="U10" i="33" s="1"/>
  <c r="S26" i="33"/>
  <c r="U40" i="33"/>
  <c r="U8" i="33"/>
  <c r="S8" i="33"/>
  <c r="F37" i="40"/>
  <c r="AA37" i="40"/>
  <c r="F36" i="40"/>
  <c r="AA36" i="40" s="1"/>
  <c r="J27" i="40"/>
  <c r="W27" i="40" s="1"/>
  <c r="F27" i="40"/>
  <c r="S27" i="40" s="1"/>
  <c r="F23" i="40"/>
  <c r="AA23" i="40" s="1"/>
  <c r="AB30" i="36"/>
  <c r="W32" i="35"/>
  <c r="F29" i="35"/>
  <c r="S29" i="35" s="1"/>
  <c r="U34" i="37"/>
  <c r="AB42" i="34"/>
  <c r="H38" i="34"/>
  <c r="U15" i="34"/>
  <c r="F113" i="33"/>
  <c r="G113" i="33"/>
  <c r="H113" i="33" s="1"/>
  <c r="I113" i="33" s="1"/>
  <c r="J113" i="33" s="1"/>
  <c r="K113" i="33" s="1"/>
  <c r="L113" i="33" s="1"/>
  <c r="M113" i="33" s="1"/>
  <c r="H37" i="33"/>
  <c r="AB37" i="33" s="1"/>
  <c r="H36" i="33"/>
  <c r="U36" i="33" s="1"/>
  <c r="S25" i="33"/>
  <c r="F17" i="33"/>
  <c r="AA17" i="33"/>
  <c r="H15" i="33"/>
  <c r="AB15" i="33" s="1"/>
  <c r="AB11" i="33"/>
  <c r="AC42" i="34"/>
  <c r="W42" i="34"/>
  <c r="AA42" i="34"/>
  <c r="S42" i="34"/>
  <c r="W38" i="34"/>
  <c r="J37" i="33"/>
  <c r="AC37" i="33"/>
  <c r="J36" i="33"/>
  <c r="AC36" i="33"/>
  <c r="J11" i="33"/>
  <c r="AC11" i="33" s="1"/>
  <c r="J42" i="21"/>
  <c r="AC42" i="21" s="1"/>
  <c r="H42" i="21"/>
  <c r="AB42" i="21"/>
  <c r="J10" i="35"/>
  <c r="AC10" i="35" s="1"/>
  <c r="J14" i="21"/>
  <c r="AC14" i="21" s="1"/>
  <c r="F14" i="21"/>
  <c r="S14" i="21"/>
  <c r="H14" i="21"/>
  <c r="AB14" i="21" s="1"/>
  <c r="H28" i="21"/>
  <c r="AB28" i="21" s="1"/>
  <c r="F28" i="21"/>
  <c r="AA28" i="21"/>
  <c r="J28" i="21"/>
  <c r="W28" i="21"/>
  <c r="H30" i="21"/>
  <c r="AB30" i="21"/>
  <c r="F30" i="21"/>
  <c r="S30" i="21"/>
  <c r="J30" i="21"/>
  <c r="W30" i="21"/>
  <c r="J44" i="21"/>
  <c r="AC44" i="21" s="1"/>
  <c r="H44" i="21"/>
  <c r="U44" i="21" s="1"/>
  <c r="F44" i="21"/>
  <c r="AA44" i="21"/>
  <c r="H46" i="21"/>
  <c r="U46" i="21" s="1"/>
  <c r="J46" i="21"/>
  <c r="W46" i="21"/>
  <c r="F46" i="21"/>
  <c r="AA46" i="21" s="1"/>
  <c r="E119" i="21"/>
  <c r="F119" i="21" s="1"/>
  <c r="G119" i="21" s="1"/>
  <c r="H119" i="21" s="1"/>
  <c r="I119" i="21" s="1"/>
  <c r="J119" i="21" s="1"/>
  <c r="K119" i="21" s="1"/>
  <c r="L119" i="21" s="1"/>
  <c r="M119" i="21" s="1"/>
  <c r="H26" i="33"/>
  <c r="U26" i="33"/>
  <c r="H28" i="33"/>
  <c r="U28" i="33"/>
  <c r="F28" i="33"/>
  <c r="S28" i="33"/>
  <c r="J28" i="33"/>
  <c r="AC28" i="33" s="1"/>
  <c r="F33" i="35"/>
  <c r="S33" i="35"/>
  <c r="J33" i="35"/>
  <c r="AC33" i="35" s="1"/>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c r="H13" i="33"/>
  <c r="AB13" i="33"/>
  <c r="F13" i="33"/>
  <c r="S13" i="33" s="1"/>
  <c r="J29" i="33"/>
  <c r="W29" i="33" s="1"/>
  <c r="H29" i="33"/>
  <c r="U29" i="33"/>
  <c r="F29" i="33"/>
  <c r="S29" i="33"/>
  <c r="J31" i="33"/>
  <c r="W31" i="33" s="1"/>
  <c r="H31" i="33"/>
  <c r="AB31" i="33"/>
  <c r="F31" i="33"/>
  <c r="AA31" i="33"/>
  <c r="H45" i="33"/>
  <c r="U45" i="33"/>
  <c r="J45" i="33"/>
  <c r="W45" i="33"/>
  <c r="F45" i="33"/>
  <c r="S45" i="33"/>
  <c r="J14" i="34"/>
  <c r="W14" i="34" s="1"/>
  <c r="F14" i="34"/>
  <c r="H14" i="34"/>
  <c r="U14" i="34"/>
  <c r="H30" i="34"/>
  <c r="U30" i="34" s="1"/>
  <c r="F30" i="34"/>
  <c r="S30" i="34"/>
  <c r="J30" i="34"/>
  <c r="W30" i="34"/>
  <c r="H32" i="34"/>
  <c r="F32" i="34"/>
  <c r="S32" i="34" s="1"/>
  <c r="J32" i="34"/>
  <c r="W32" i="34" s="1"/>
  <c r="H46" i="34"/>
  <c r="U46" i="34"/>
  <c r="S46" i="34"/>
  <c r="J46" i="34"/>
  <c r="W46" i="34"/>
  <c r="H11" i="35"/>
  <c r="U11" i="35"/>
  <c r="J11" i="35"/>
  <c r="AC11" i="35"/>
  <c r="F11" i="35"/>
  <c r="S11" i="35" s="1"/>
  <c r="J26" i="36"/>
  <c r="W26" i="36"/>
  <c r="H28" i="36"/>
  <c r="U28" i="36"/>
  <c r="H32" i="36"/>
  <c r="U32" i="36" s="1"/>
  <c r="AB32" i="36"/>
  <c r="J32" i="36"/>
  <c r="W32" i="36"/>
  <c r="J11" i="36"/>
  <c r="W11" i="36"/>
  <c r="H11" i="36"/>
  <c r="AB11" i="36" s="1"/>
  <c r="F11" i="36"/>
  <c r="AA11" i="36"/>
  <c r="H13" i="36"/>
  <c r="AB13" i="36"/>
  <c r="J13" i="36"/>
  <c r="W13" i="36"/>
  <c r="F13" i="36"/>
  <c r="S13" i="36"/>
  <c r="H36" i="37"/>
  <c r="AB36" i="37"/>
  <c r="H37" i="37"/>
  <c r="U37" i="37" s="1"/>
  <c r="AC12" i="40"/>
  <c r="W12" i="40"/>
  <c r="H14" i="33"/>
  <c r="AB14" i="33" s="1"/>
  <c r="U14" i="33"/>
  <c r="F14" i="33"/>
  <c r="AA14" i="33"/>
  <c r="J14" i="33"/>
  <c r="AC14" i="33"/>
  <c r="H30" i="33"/>
  <c r="AB30" i="33"/>
  <c r="F30" i="33"/>
  <c r="S30" i="33" s="1"/>
  <c r="J30" i="33"/>
  <c r="W30" i="33" s="1"/>
  <c r="AC30" i="33"/>
  <c r="H44" i="33"/>
  <c r="AB44" i="33"/>
  <c r="J44" i="33"/>
  <c r="AC44" i="33"/>
  <c r="F44" i="33"/>
  <c r="S44" i="33"/>
  <c r="J46" i="33"/>
  <c r="W46" i="33"/>
  <c r="F46" i="33"/>
  <c r="AA46" i="33" s="1"/>
  <c r="H46" i="33"/>
  <c r="AB46" i="33"/>
  <c r="H13" i="34"/>
  <c r="U13" i="34"/>
  <c r="J13" i="34"/>
  <c r="W13" i="34"/>
  <c r="F13" i="34"/>
  <c r="AA13" i="34"/>
  <c r="J29" i="34"/>
  <c r="AC29" i="34"/>
  <c r="F29" i="34"/>
  <c r="S29" i="34" s="1"/>
  <c r="H29" i="34"/>
  <c r="U29" i="34"/>
  <c r="J31" i="34"/>
  <c r="AC31" i="34"/>
  <c r="H31" i="34"/>
  <c r="AB31" i="34"/>
  <c r="F31" i="34"/>
  <c r="S31" i="34"/>
  <c r="H45" i="34"/>
  <c r="U45" i="34"/>
  <c r="J45" i="34"/>
  <c r="W45" i="34" s="1"/>
  <c r="F45" i="34"/>
  <c r="S45" i="34"/>
  <c r="H47" i="34"/>
  <c r="U47" i="34"/>
  <c r="F47" i="34"/>
  <c r="AA47" i="34"/>
  <c r="J47" i="34"/>
  <c r="AC47" i="34"/>
  <c r="F13" i="35"/>
  <c r="S13" i="35"/>
  <c r="J13" i="35"/>
  <c r="AC13" i="35" s="1"/>
  <c r="H13" i="35"/>
  <c r="U13" i="35"/>
  <c r="J25" i="35"/>
  <c r="W25" i="35" s="1"/>
  <c r="F25" i="35"/>
  <c r="S25" i="35"/>
  <c r="H25" i="35"/>
  <c r="AB25" i="35"/>
  <c r="J35" i="35"/>
  <c r="AC35" i="35"/>
  <c r="F35" i="35"/>
  <c r="AA35" i="35" s="1"/>
  <c r="H35" i="35"/>
  <c r="AB35" i="35"/>
  <c r="J25" i="36"/>
  <c r="AC25" i="36" s="1"/>
  <c r="F25" i="36"/>
  <c r="S25" i="36"/>
  <c r="H25" i="36"/>
  <c r="AB25" i="36"/>
  <c r="H13" i="37"/>
  <c r="U13" i="37"/>
  <c r="F13" i="37"/>
  <c r="S13" i="37" s="1"/>
  <c r="J13" i="37"/>
  <c r="W13" i="37"/>
  <c r="F28" i="37"/>
  <c r="AA28" i="37" s="1"/>
  <c r="J28" i="37"/>
  <c r="AC28" i="37"/>
  <c r="H28" i="37"/>
  <c r="U28" i="37"/>
  <c r="H38" i="37"/>
  <c r="AB38" i="37"/>
  <c r="J38" i="37"/>
  <c r="AC38" i="37" s="1"/>
  <c r="F38" i="37"/>
  <c r="S38" i="37"/>
  <c r="F43" i="39"/>
  <c r="AA43" i="39" s="1"/>
  <c r="H43" i="39"/>
  <c r="U43" i="39" s="1"/>
  <c r="J14" i="39"/>
  <c r="W14" i="39" s="1"/>
  <c r="H14" i="39"/>
  <c r="AB14" i="39" s="1"/>
  <c r="F12" i="40"/>
  <c r="AA12" i="40" s="1"/>
  <c r="H12" i="40"/>
  <c r="AB12" i="40" s="1"/>
  <c r="H30" i="40"/>
  <c r="AB30" i="40"/>
  <c r="F33" i="40"/>
  <c r="AA33" i="40" s="1"/>
  <c r="H33" i="40"/>
  <c r="AB33" i="40" s="1"/>
  <c r="J35" i="40"/>
  <c r="AC35" i="40" s="1"/>
  <c r="H13" i="40"/>
  <c r="U13" i="40"/>
  <c r="J13" i="40"/>
  <c r="W13" i="40"/>
  <c r="F13" i="40"/>
  <c r="AA13" i="40"/>
  <c r="F14" i="37"/>
  <c r="S14" i="37" s="1"/>
  <c r="F13" i="39"/>
  <c r="AA13" i="39" s="1"/>
  <c r="J13" i="39"/>
  <c r="W13" i="39" s="1"/>
  <c r="H13" i="39"/>
  <c r="U13" i="39"/>
  <c r="H14" i="40"/>
  <c r="AB14" i="40"/>
  <c r="J14" i="40"/>
  <c r="W14" i="40"/>
  <c r="F14" i="40"/>
  <c r="AA14" i="40" s="1"/>
  <c r="J14" i="37"/>
  <c r="AC14" i="37" s="1"/>
  <c r="AA44" i="33"/>
  <c r="W28" i="37"/>
  <c r="S47" i="34"/>
  <c r="S14" i="33"/>
  <c r="AC32" i="34"/>
  <c r="J10" i="36"/>
  <c r="AC10" i="36" s="1"/>
  <c r="AB46" i="21"/>
  <c r="AC13" i="36"/>
  <c r="AC11" i="36"/>
  <c r="AB45" i="33"/>
  <c r="U31" i="33"/>
  <c r="AC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c r="F14" i="36"/>
  <c r="AA14" i="36" s="1"/>
  <c r="F22" i="36"/>
  <c r="AA22" i="36" s="1"/>
  <c r="F26" i="36"/>
  <c r="AA26" i="36" s="1"/>
  <c r="H27" i="34"/>
  <c r="U27" i="34" s="1"/>
  <c r="H35" i="34"/>
  <c r="U35" i="34" s="1"/>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S30" i="31"/>
  <c r="U11" i="40"/>
  <c r="AC33" i="36"/>
  <c r="AB20" i="35"/>
  <c r="AC12" i="35"/>
  <c r="S25" i="37"/>
  <c r="W47" i="34"/>
  <c r="AB8" i="34"/>
  <c r="W14" i="33"/>
  <c r="AA13" i="33"/>
  <c r="AC31" i="33"/>
  <c r="AB10" i="33"/>
  <c r="S11" i="33"/>
  <c r="AC33" i="21"/>
  <c r="AB38" i="21"/>
  <c r="AA23" i="37"/>
  <c r="W10" i="36"/>
  <c r="H37" i="21"/>
  <c r="U37" i="21" s="1"/>
  <c r="J37" i="21"/>
  <c r="W37" i="21"/>
  <c r="H19" i="34"/>
  <c r="U19" i="34"/>
  <c r="F36" i="35"/>
  <c r="AA36" i="35"/>
  <c r="J9" i="37"/>
  <c r="W9" i="37"/>
  <c r="H9" i="37"/>
  <c r="AB9" i="37" s="1"/>
  <c r="F9" i="37"/>
  <c r="AA9" i="37" s="1"/>
  <c r="F11" i="37"/>
  <c r="S11" i="37"/>
  <c r="J42" i="39"/>
  <c r="AC42" i="39"/>
  <c r="S37" i="21"/>
  <c r="AC9" i="37"/>
  <c r="AB27" i="40"/>
  <c r="AC31" i="39"/>
  <c r="U31" i="39"/>
  <c r="C12" i="43"/>
  <c r="D15" i="47"/>
  <c r="D17" i="47"/>
  <c r="D19" i="47"/>
  <c r="D21" i="47"/>
  <c r="D23" i="47"/>
  <c r="D27" i="47"/>
  <c r="D33" i="47"/>
  <c r="D37" i="47"/>
  <c r="D39" i="47"/>
  <c r="F37" i="47" s="1"/>
  <c r="B35" i="47" s="1"/>
  <c r="D41" i="47"/>
  <c r="D43" i="47"/>
  <c r="D16" i="47"/>
  <c r="D18" i="47"/>
  <c r="D20" i="47"/>
  <c r="F15" i="47"/>
  <c r="B13" i="47" s="1"/>
  <c r="D22" i="47"/>
  <c r="D26" i="47"/>
  <c r="D28" i="47"/>
  <c r="F26" i="47" s="1"/>
  <c r="B24" i="47" s="1"/>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c r="W34" i="34"/>
  <c r="S28" i="34"/>
  <c r="J33" i="34"/>
  <c r="W33" i="34" s="1"/>
  <c r="J37" i="34"/>
  <c r="AC37" i="34" s="1"/>
  <c r="W37" i="34"/>
  <c r="S23" i="34"/>
  <c r="AB33" i="34"/>
  <c r="F26" i="35"/>
  <c r="AA26" i="35" s="1"/>
  <c r="U28" i="21"/>
  <c r="K145" i="21"/>
  <c r="K144" i="21"/>
  <c r="K141" i="21"/>
  <c r="K143" i="21"/>
  <c r="W25" i="21"/>
  <c r="F23" i="21"/>
  <c r="S23" i="21" s="1"/>
  <c r="AA23" i="21"/>
  <c r="J23" i="21"/>
  <c r="AC23" i="21" s="1"/>
  <c r="H23" i="21"/>
  <c r="U23" i="21" s="1"/>
  <c r="F17" i="21"/>
  <c r="AA17" i="21" s="1"/>
  <c r="J17" i="21"/>
  <c r="AC17" i="21"/>
  <c r="H17" i="21"/>
  <c r="AB17" i="21"/>
  <c r="J15" i="21"/>
  <c r="W15" i="21"/>
  <c r="U35" i="21"/>
  <c r="AC35" i="21"/>
  <c r="H103" i="57"/>
  <c r="A135" i="57"/>
  <c r="B103" i="57"/>
  <c r="B107" i="57" s="1"/>
  <c r="C112" i="57"/>
  <c r="H107" i="57" s="1"/>
  <c r="D128" i="57"/>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U15" i="21"/>
  <c r="AB15" i="21"/>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c r="S42" i="21"/>
  <c r="B41" i="47"/>
  <c r="C23" i="40"/>
  <c r="AC8" i="34"/>
  <c r="W8" i="34"/>
  <c r="W12" i="34"/>
  <c r="AC12"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1" i="37"/>
  <c r="AA31" i="37" s="1"/>
  <c r="U25" i="36"/>
  <c r="S44" i="21"/>
  <c r="F17" i="37"/>
  <c r="AA17" i="37" s="1"/>
  <c r="AA29" i="33"/>
  <c r="AB28" i="36"/>
  <c r="AB13" i="40"/>
  <c r="U33" i="40"/>
  <c r="AB13" i="37"/>
  <c r="U44" i="33"/>
  <c r="AB11" i="35"/>
  <c r="U32" i="34"/>
  <c r="AB32" i="34"/>
  <c r="AA30" i="34"/>
  <c r="H45" i="21"/>
  <c r="AB45" i="21"/>
  <c r="J14" i="36"/>
  <c r="AC14" i="36"/>
  <c r="AC30" i="21"/>
  <c r="S15" i="34"/>
  <c r="J40" i="34"/>
  <c r="AC40" i="34" s="1"/>
  <c r="S37" i="40"/>
  <c r="H19" i="33"/>
  <c r="AB19" i="33" s="1"/>
  <c r="AB23" i="33"/>
  <c r="U23" i="33"/>
  <c r="W23" i="33"/>
  <c r="J23" i="34"/>
  <c r="W23" i="34" s="1"/>
  <c r="AC30" i="40"/>
  <c r="AB17" i="39"/>
  <c r="W22" i="35"/>
  <c r="S30" i="36"/>
  <c r="S38" i="21"/>
  <c r="AA38" i="21"/>
  <c r="E106" i="21"/>
  <c r="F106" i="21" s="1"/>
  <c r="G106" i="21" s="1"/>
  <c r="H106" i="21" s="1"/>
  <c r="I106" i="21" s="1"/>
  <c r="J106" i="21" s="1"/>
  <c r="K106" i="21" s="1"/>
  <c r="L106" i="21" s="1"/>
  <c r="M106" i="21" s="1"/>
  <c r="F34" i="21"/>
  <c r="S34" i="21" s="1"/>
  <c r="H34" i="21"/>
  <c r="U34" i="21"/>
  <c r="J34" i="21"/>
  <c r="AC34" i="21"/>
  <c r="AC36" i="21"/>
  <c r="W36" i="21"/>
  <c r="E101" i="33"/>
  <c r="F101" i="33" s="1"/>
  <c r="G101" i="33" s="1"/>
  <c r="H101" i="33" s="1"/>
  <c r="I101" i="33" s="1"/>
  <c r="J101" i="33" s="1"/>
  <c r="K101" i="33" s="1"/>
  <c r="L101" i="33" s="1"/>
  <c r="M101" i="33" s="1"/>
  <c r="F32" i="33"/>
  <c r="AA32" i="33"/>
  <c r="W27" i="34"/>
  <c r="AC27" i="34"/>
  <c r="H28" i="34"/>
  <c r="U28" i="34" s="1"/>
  <c r="E116" i="34"/>
  <c r="F116" i="34" s="1"/>
  <c r="G116" i="34" s="1"/>
  <c r="H116" i="34" s="1"/>
  <c r="I116" i="34" s="1"/>
  <c r="J116" i="34" s="1"/>
  <c r="K116" i="34" s="1"/>
  <c r="L116" i="34" s="1"/>
  <c r="M116" i="34" s="1"/>
  <c r="J39" i="34"/>
  <c r="W39" i="34"/>
  <c r="J27" i="36"/>
  <c r="F37" i="34"/>
  <c r="AA37" i="34" s="1"/>
  <c r="H37" i="34"/>
  <c r="U37" i="34" s="1"/>
  <c r="U12" i="40"/>
  <c r="AC14" i="39"/>
  <c r="AC46" i="34"/>
  <c r="S31" i="33"/>
  <c r="U10" i="36"/>
  <c r="W28" i="33"/>
  <c r="W34" i="33"/>
  <c r="AC34" i="33"/>
  <c r="AA14" i="35"/>
  <c r="S14" i="35"/>
  <c r="W11" i="21"/>
  <c r="S45" i="39"/>
  <c r="AA45" i="39"/>
  <c r="H27" i="21"/>
  <c r="AB27" i="21"/>
  <c r="J27" i="21"/>
  <c r="W27" i="21"/>
  <c r="F27" i="21"/>
  <c r="AA27" i="21"/>
  <c r="J29" i="21"/>
  <c r="AC29" i="21" s="1"/>
  <c r="H29" i="21"/>
  <c r="U29" i="21" s="1"/>
  <c r="F29" i="21"/>
  <c r="S29" i="21" s="1"/>
  <c r="J31" i="21"/>
  <c r="W31" i="21" s="1"/>
  <c r="H31" i="21"/>
  <c r="AB31" i="21" s="1"/>
  <c r="F31" i="21"/>
  <c r="AA31" i="21"/>
  <c r="H39" i="21"/>
  <c r="U39" i="21"/>
  <c r="F117" i="21"/>
  <c r="G117" i="21" s="1"/>
  <c r="S9" i="21"/>
  <c r="AA9" i="21"/>
  <c r="AA15" i="33"/>
  <c r="S15" i="33"/>
  <c r="AA35" i="33"/>
  <c r="E117" i="33"/>
  <c r="F117" i="33" s="1"/>
  <c r="G117" i="33" s="1"/>
  <c r="J39" i="33"/>
  <c r="AC39" i="33"/>
  <c r="H43" i="33"/>
  <c r="U43" i="33"/>
  <c r="E91" i="33"/>
  <c r="F91" i="33"/>
  <c r="G91" i="33" s="1"/>
  <c r="H91" i="33" s="1"/>
  <c r="I91" i="33" s="1"/>
  <c r="J91" i="33" s="1"/>
  <c r="K91" i="33" s="1"/>
  <c r="L91" i="33" s="1"/>
  <c r="M91" i="33" s="1"/>
  <c r="F27" i="33"/>
  <c r="S27" i="33" s="1"/>
  <c r="H41" i="33"/>
  <c r="U41" i="33" s="1"/>
  <c r="S12" i="34"/>
  <c r="AA12" i="34"/>
  <c r="F80" i="34"/>
  <c r="H17" i="34"/>
  <c r="U17" i="34" s="1"/>
  <c r="H16" i="35"/>
  <c r="U16" i="35" s="1"/>
  <c r="H34" i="35"/>
  <c r="U34" i="35" s="1"/>
  <c r="F34" i="35"/>
  <c r="G60" i="37"/>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F126" i="34" s="1"/>
  <c r="G126" i="34" s="1"/>
  <c r="H44" i="34"/>
  <c r="U44" i="34" s="1"/>
  <c r="W9" i="36"/>
  <c r="AB26" i="36"/>
  <c r="U26" i="36"/>
  <c r="U9" i="36"/>
  <c r="F20" i="36"/>
  <c r="AA20" i="36"/>
  <c r="J24" i="36"/>
  <c r="W24" i="36"/>
  <c r="H24" i="36"/>
  <c r="AB24" i="36" s="1"/>
  <c r="U24" i="36"/>
  <c r="F24" i="36"/>
  <c r="AA24" i="36" s="1"/>
  <c r="J26" i="37"/>
  <c r="AC26" i="37" s="1"/>
  <c r="H26" i="37"/>
  <c r="AB26" i="37"/>
  <c r="F26" i="37"/>
  <c r="AA26" i="37"/>
  <c r="J23" i="39"/>
  <c r="W23" i="39"/>
  <c r="E96" i="39"/>
  <c r="F96" i="39" s="1"/>
  <c r="G96" i="39" s="1"/>
  <c r="H15" i="37"/>
  <c r="U15" i="37" s="1"/>
  <c r="AB15" i="37"/>
  <c r="F15" i="37"/>
  <c r="AA15" i="37"/>
  <c r="F38" i="40"/>
  <c r="AA38" i="40" s="1"/>
  <c r="J38" i="40"/>
  <c r="W38" i="40" s="1"/>
  <c r="H38" i="40"/>
  <c r="AB38" i="40"/>
  <c r="J40" i="40"/>
  <c r="AC40" i="40" s="1"/>
  <c r="H40" i="40"/>
  <c r="AB40" i="40"/>
  <c r="F40" i="40"/>
  <c r="AA40" i="40"/>
  <c r="N6" i="43"/>
  <c r="M1" i="43"/>
  <c r="F101" i="9"/>
  <c r="F33" i="9"/>
  <c r="C25" i="57"/>
  <c r="N102" i="43"/>
  <c r="G103" i="43"/>
  <c r="F59" i="43"/>
  <c r="H63" i="43" s="1"/>
  <c r="G15" i="47"/>
  <c r="H25" i="34"/>
  <c r="U25" i="34" s="1"/>
  <c r="AB35" i="39"/>
  <c r="S27" i="37"/>
  <c r="AA12" i="37"/>
  <c r="AA34" i="35"/>
  <c r="S34" i="35"/>
  <c r="J17" i="34"/>
  <c r="AC17" i="34" s="1"/>
  <c r="G80" i="34"/>
  <c r="F17" i="34"/>
  <c r="AA17" i="34" s="1"/>
  <c r="H27" i="33"/>
  <c r="U27" i="33" s="1"/>
  <c r="F43" i="33"/>
  <c r="S43" i="33" s="1"/>
  <c r="J43" i="33"/>
  <c r="AC43" i="33"/>
  <c r="AA29" i="21"/>
  <c r="AC27" i="21"/>
  <c r="S37" i="34"/>
  <c r="H27" i="36"/>
  <c r="U27" i="36" s="1"/>
  <c r="AB27" i="36"/>
  <c r="F27" i="36"/>
  <c r="AA27" i="36" s="1"/>
  <c r="J28" i="34"/>
  <c r="W28" i="34" s="1"/>
  <c r="AB34" i="21"/>
  <c r="H11" i="34"/>
  <c r="U11" i="34" s="1"/>
  <c r="S17" i="37"/>
  <c r="J11" i="37"/>
  <c r="AC11" i="37"/>
  <c r="AC36" i="34"/>
  <c r="W12" i="39"/>
  <c r="AC12" i="39"/>
  <c r="S45" i="21"/>
  <c r="AC37" i="37"/>
  <c r="U38" i="40"/>
  <c r="F23" i="39"/>
  <c r="AA23" i="39"/>
  <c r="S26" i="37"/>
  <c r="S24" i="36"/>
  <c r="F44" i="34"/>
  <c r="AA44" i="34" s="1"/>
  <c r="J44" i="34"/>
  <c r="AC44" i="34"/>
  <c r="U31" i="37"/>
  <c r="W27" i="37"/>
  <c r="H60" i="37"/>
  <c r="I60" i="37" s="1"/>
  <c r="H10" i="37"/>
  <c r="U10" i="37"/>
  <c r="AB43" i="33"/>
  <c r="S31" i="21"/>
  <c r="AB29" i="21"/>
  <c r="AC27" i="36"/>
  <c r="W27" i="36"/>
  <c r="J32" i="33"/>
  <c r="W32" i="33"/>
  <c r="H32" i="33"/>
  <c r="AB32" i="33"/>
  <c r="U45" i="21"/>
  <c r="U12" i="36"/>
  <c r="AC45" i="21"/>
  <c r="W45" i="21"/>
  <c r="W13" i="21"/>
  <c r="AC13" i="21"/>
  <c r="AB25" i="34"/>
  <c r="J10" i="37"/>
  <c r="AC10" i="37"/>
  <c r="H23" i="39"/>
  <c r="U23" i="39" s="1"/>
  <c r="AB23" i="39"/>
  <c r="J11" i="34"/>
  <c r="W11" i="34" s="1"/>
  <c r="J27" i="33"/>
  <c r="W27" i="33" s="1"/>
  <c r="J25" i="34"/>
  <c r="W25" i="34" s="1"/>
  <c r="K53" i="43"/>
  <c r="J53" i="43"/>
  <c r="D53" i="43"/>
  <c r="M53" i="43"/>
  <c r="N53" i="43" s="1"/>
  <c r="K49" i="43"/>
  <c r="J49" i="43" s="1"/>
  <c r="D49" i="43"/>
  <c r="M49" i="43"/>
  <c r="N49" i="43" s="1"/>
  <c r="K54" i="43"/>
  <c r="J54" i="43" s="1"/>
  <c r="D54" i="43"/>
  <c r="M54" i="43"/>
  <c r="N54" i="43"/>
  <c r="K50" i="43"/>
  <c r="J50" i="43" s="1"/>
  <c r="D50" i="43"/>
  <c r="M50" i="43"/>
  <c r="N50" i="43"/>
  <c r="K55" i="43"/>
  <c r="J55" i="43" s="1"/>
  <c r="D55" i="43"/>
  <c r="M55" i="43"/>
  <c r="N55" i="43"/>
  <c r="K51" i="43"/>
  <c r="J51" i="43"/>
  <c r="D51" i="43"/>
  <c r="E48" i="43" s="1"/>
  <c r="B46" i="43" s="1"/>
  <c r="M51" i="43"/>
  <c r="N51" i="43"/>
  <c r="K48" i="43"/>
  <c r="J48" i="43"/>
  <c r="D48" i="43"/>
  <c r="M48" i="43"/>
  <c r="N48" i="43"/>
  <c r="K52" i="43"/>
  <c r="J52" i="43"/>
  <c r="D52" i="43"/>
  <c r="M52" i="43"/>
  <c r="N52" i="43" s="1"/>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W37" i="40" s="1"/>
  <c r="H35" i="40"/>
  <c r="U35" i="40" s="1"/>
  <c r="H37" i="40"/>
  <c r="H28" i="40"/>
  <c r="F28" i="40"/>
  <c r="J28" i="40"/>
  <c r="G97" i="40"/>
  <c r="H97" i="40" s="1"/>
  <c r="I97" i="40" s="1"/>
  <c r="J97" i="40" s="1"/>
  <c r="K97" i="40" s="1"/>
  <c r="L97" i="40" s="1"/>
  <c r="M97" i="40" s="1"/>
  <c r="F21" i="40"/>
  <c r="AA21" i="40" s="1"/>
  <c r="H21" i="40"/>
  <c r="F89" i="40"/>
  <c r="G89" i="40"/>
  <c r="J21" i="40"/>
  <c r="W21" i="40" s="1"/>
  <c r="W19" i="40"/>
  <c r="F85" i="40"/>
  <c r="G85" i="40" s="1"/>
  <c r="H17" i="40"/>
  <c r="U17" i="40" s="1"/>
  <c r="J17" i="40"/>
  <c r="F17" i="40"/>
  <c r="S17" i="40" s="1"/>
  <c r="F83" i="40"/>
  <c r="G83" i="40" s="1"/>
  <c r="F15" i="40"/>
  <c r="J15" i="40"/>
  <c r="AC15" i="40" s="1"/>
  <c r="H15" i="40"/>
  <c r="AB15" i="40" s="1"/>
  <c r="AC25" i="40"/>
  <c r="W25" i="40"/>
  <c r="U19" i="40"/>
  <c r="U14" i="40"/>
  <c r="U8"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8" i="36"/>
  <c r="W8" i="36"/>
  <c r="AB16" i="36"/>
  <c r="U13" i="36"/>
  <c r="AB18" i="36"/>
  <c r="U18" i="36"/>
  <c r="S28" i="36"/>
  <c r="S29" i="36"/>
  <c r="W35" i="35"/>
  <c r="AC25" i="35"/>
  <c r="W23" i="35"/>
  <c r="S23" i="35"/>
  <c r="AB23" i="35"/>
  <c r="W11" i="35"/>
  <c r="AA12" i="35"/>
  <c r="W10" i="35"/>
  <c r="W14" i="35"/>
  <c r="W34"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s="1"/>
  <c r="M99" i="37" s="1"/>
  <c r="H33" i="37"/>
  <c r="AB33" i="37" s="1"/>
  <c r="AC35" i="37"/>
  <c r="W35" i="37"/>
  <c r="S31" i="37"/>
  <c r="H35" i="37"/>
  <c r="AB35" i="37"/>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W10" i="37"/>
  <c r="AA11" i="37"/>
  <c r="U9" i="37"/>
  <c r="AB10" i="37"/>
  <c r="AC21" i="37"/>
  <c r="W21" i="37"/>
  <c r="W11" i="37"/>
  <c r="W14" i="37"/>
  <c r="AB11" i="37"/>
  <c r="S37" i="37"/>
  <c r="AA14" i="37"/>
  <c r="AA38" i="37"/>
  <c r="AC39" i="34"/>
  <c r="W35" i="34"/>
  <c r="AB11" i="34"/>
  <c r="AC28" i="34"/>
  <c r="S40" i="34"/>
  <c r="AB41" i="34"/>
  <c r="S38" i="34"/>
  <c r="S36" i="34"/>
  <c r="S43" i="34"/>
  <c r="AB19" i="34"/>
  <c r="AB17"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D3" i="21"/>
  <c r="M6" i="43"/>
  <c r="M5" i="43"/>
  <c r="F81" i="43"/>
  <c r="H85" i="43" s="1"/>
  <c r="H13" i="44"/>
  <c r="H11" i="44"/>
  <c r="C51" i="10"/>
  <c r="A8" i="54" s="1"/>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H113" i="43"/>
  <c r="X7" i="43"/>
  <c r="E59" i="43"/>
  <c r="B57" i="43" s="1"/>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E81" i="43" s="1"/>
  <c r="B79" i="43" s="1"/>
  <c r="M83" i="43"/>
  <c r="N83" i="43" s="1"/>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c r="D83" i="43"/>
  <c r="H81" i="43"/>
  <c r="F103"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AC16" i="35"/>
  <c r="AA25" i="35"/>
  <c r="S28" i="35"/>
  <c r="AC34" i="37"/>
  <c r="U29" i="37"/>
  <c r="U30" i="37"/>
  <c r="S40" i="37"/>
  <c r="U26" i="37"/>
  <c r="AC13" i="37"/>
  <c r="U38" i="37"/>
  <c r="AA13" i="37"/>
  <c r="W25" i="37"/>
  <c r="S9" i="37"/>
  <c r="G84" i="34"/>
  <c r="J21" i="34"/>
  <c r="AC21" i="34" s="1"/>
  <c r="AB40" i="34"/>
  <c r="AC19" i="34"/>
  <c r="AB28" i="34"/>
  <c r="W41" i="34"/>
  <c r="AA27" i="34"/>
  <c r="AA45" i="34"/>
  <c r="AB45" i="34"/>
  <c r="AB35" i="34"/>
  <c r="AB27" i="34"/>
  <c r="W29" i="34"/>
  <c r="W43" i="34"/>
  <c r="U34" i="34"/>
  <c r="S34" i="34"/>
  <c r="AC25" i="34"/>
  <c r="W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A25" i="21"/>
  <c r="U40" i="21"/>
  <c r="S46" i="21"/>
  <c r="AC46" i="21"/>
  <c r="AA26" i="21"/>
  <c r="W10" i="21"/>
  <c r="W12" i="21"/>
  <c r="S35" i="21"/>
  <c r="C15" i="39"/>
  <c r="C17" i="39"/>
  <c r="C19" i="39"/>
  <c r="C15" i="40"/>
  <c r="C17" i="40"/>
  <c r="B54" i="43"/>
  <c r="B65" i="43"/>
  <c r="U30" i="40"/>
  <c r="B52" i="43"/>
  <c r="B56" i="43"/>
  <c r="B63" i="43"/>
  <c r="B67" i="43"/>
  <c r="U37" i="40"/>
  <c r="AB37" i="40"/>
  <c r="AA28" i="40"/>
  <c r="S28" i="40"/>
  <c r="AC28" i="40"/>
  <c r="W28" i="40"/>
  <c r="U28" i="40"/>
  <c r="AB28" i="40"/>
  <c r="AB21" i="40"/>
  <c r="U21" i="40"/>
  <c r="S21" i="40"/>
  <c r="AB17" i="40"/>
  <c r="W17" i="40"/>
  <c r="AC17" i="40"/>
  <c r="AA15" i="40"/>
  <c r="S15" i="40"/>
  <c r="U33" i="37"/>
  <c r="U35" i="37"/>
  <c r="S33" i="37"/>
  <c r="AA35" i="37"/>
  <c r="S35" i="37"/>
  <c r="W33" i="37"/>
  <c r="AA19" i="37"/>
  <c r="S19" i="37"/>
  <c r="M86" i="43"/>
  <c r="N86" i="43" s="1"/>
  <c r="F34" i="11"/>
  <c r="E19" i="1"/>
  <c r="D20" i="1"/>
  <c r="D18" i="1"/>
  <c r="F50" i="11"/>
  <c r="F19" i="1"/>
  <c r="F18" i="1"/>
  <c r="D19" i="1"/>
  <c r="K87" i="43"/>
  <c r="J87" i="43" s="1"/>
  <c r="D87" i="43"/>
  <c r="C3" i="4"/>
  <c r="B4" i="55" s="1"/>
  <c r="B53" i="60" s="1"/>
  <c r="L106" i="9"/>
  <c r="A18" i="55" s="1"/>
  <c r="B48" i="60" s="1"/>
  <c r="J22" i="43"/>
  <c r="M84" i="43"/>
  <c r="N84" i="43" s="1"/>
  <c r="K84" i="43"/>
  <c r="J84" i="43"/>
  <c r="D84" i="43"/>
  <c r="M81" i="43"/>
  <c r="N81" i="43"/>
  <c r="K81" i="43"/>
  <c r="J81" i="43"/>
  <c r="D81" i="43"/>
  <c r="M88" i="43"/>
  <c r="N88" i="43"/>
  <c r="K88" i="43"/>
  <c r="J88" i="43" s="1"/>
  <c r="D88" i="43"/>
  <c r="I114" i="57"/>
  <c r="D131" i="57" s="1"/>
  <c r="B41" i="1"/>
  <c r="M27" i="15" s="1"/>
  <c r="C11" i="12"/>
  <c r="C15" i="12" s="1"/>
  <c r="C13" i="12"/>
  <c r="C36" i="11"/>
  <c r="D118" i="57"/>
  <c r="D119" i="57"/>
  <c r="I115" i="57" s="1"/>
  <c r="D132" i="57" s="1"/>
  <c r="D134" i="57"/>
  <c r="D13" i="52" s="1"/>
  <c r="D130" i="9"/>
  <c r="N46" i="9"/>
  <c r="H60"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s="1"/>
  <c r="Y21" i="59"/>
  <c r="Z21" i="59"/>
  <c r="AB21" i="59"/>
  <c r="AB19" i="59"/>
  <c r="X21" i="59"/>
  <c r="X19" i="59"/>
  <c r="AA21" i="59"/>
  <c r="Z19"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D22" i="59"/>
  <c r="F48" i="43"/>
  <c r="H50" i="43" s="1"/>
  <c r="G4" i="47"/>
  <c r="S25" i="59"/>
  <c r="B24" i="59"/>
  <c r="B23" i="59" s="1"/>
  <c r="B22" i="59" s="1"/>
  <c r="B21" i="59" s="1"/>
  <c r="AB30" i="35"/>
  <c r="U30" i="35"/>
  <c r="I116" i="57"/>
  <c r="D133" i="57" s="1"/>
  <c r="I14" i="62" s="1"/>
  <c r="B8" i="62" s="1"/>
  <c r="D120" i="57"/>
  <c r="I114" i="9"/>
  <c r="D129" i="9" s="1"/>
  <c r="I112" i="9"/>
  <c r="D116" i="9"/>
  <c r="D114" i="9"/>
  <c r="D115" i="9"/>
  <c r="I113" i="9" s="1"/>
  <c r="D7" i="61"/>
  <c r="F6" i="61"/>
  <c r="H23" i="31"/>
  <c r="E2" i="37"/>
  <c r="E2" i="34"/>
  <c r="D19" i="57"/>
  <c r="C19" i="57"/>
  <c r="E2" i="11"/>
  <c r="E2" i="36"/>
  <c r="D20" i="57"/>
  <c r="E2" i="35"/>
  <c r="F7" i="61"/>
  <c r="E2" i="33"/>
  <c r="F5" i="61"/>
  <c r="C20" i="57"/>
  <c r="F4" i="61"/>
  <c r="E2" i="21"/>
  <c r="F3" i="61"/>
  <c r="D6" i="61"/>
  <c r="F7" i="15" l="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T57" i="59"/>
  <c r="D57" i="59"/>
  <c r="AA19" i="40"/>
  <c r="S27" i="36"/>
  <c r="S40" i="21"/>
  <c r="H24" i="35"/>
  <c r="F9" i="34"/>
  <c r="U14" i="21"/>
  <c r="D42" i="50"/>
  <c r="D43" i="50" s="1"/>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B23" i="60"/>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T33" i="59"/>
  <c r="D33" i="59"/>
  <c r="H12" i="34"/>
  <c r="M19" i="43"/>
  <c r="U41" i="59"/>
  <c r="D52" i="59"/>
  <c r="C53" i="59"/>
  <c r="B74" i="43"/>
  <c r="D67" i="59"/>
  <c r="O66" i="59"/>
  <c r="O67" i="59"/>
  <c r="F39" i="40"/>
  <c r="AA39" i="40" s="1"/>
  <c r="C36" i="59"/>
  <c r="D35" i="59"/>
  <c r="C48" i="59"/>
  <c r="D48" i="59" s="1"/>
  <c r="D47" i="59"/>
  <c r="J39" i="40"/>
  <c r="E67" i="59"/>
  <c r="P68" i="59"/>
  <c r="T61" i="59"/>
  <c r="D61" i="59"/>
  <c r="X25" i="31"/>
  <c r="C37" i="57" s="1"/>
  <c r="F125" i="57" s="1"/>
  <c r="G125" i="57" s="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O68" i="59"/>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B67" i="59"/>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4" i="61"/>
  <c r="D5" i="61"/>
  <c r="D3" i="61"/>
  <c r="C20" i="11" l="1"/>
  <c r="C28" i="11" s="1"/>
  <c r="C27" i="11" s="1"/>
  <c r="C105" i="57"/>
  <c r="D126" i="57"/>
  <c r="E125" i="57"/>
  <c r="C112" i="9"/>
  <c r="H110" i="9" s="1"/>
  <c r="C114" i="9"/>
  <c r="H112" i="9" s="1"/>
  <c r="C116" i="9"/>
  <c r="H114" i="9" s="1"/>
  <c r="C106" i="9"/>
  <c r="H102" i="9" s="1"/>
  <c r="F126" i="57"/>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W7" i="37"/>
  <c r="E27" i="1"/>
  <c r="F22" i="11" s="1"/>
  <c r="F41" i="11" s="1"/>
  <c r="G69" i="39"/>
  <c r="H67" i="39"/>
  <c r="C18" i="59"/>
  <c r="D19" i="59"/>
  <c r="D28" i="59"/>
  <c r="C27" i="59"/>
  <c r="D27" i="59" s="1"/>
  <c r="B12" i="59"/>
  <c r="B11" i="59" s="1"/>
  <c r="B10" i="59" s="1"/>
  <c r="B9" i="59" s="1"/>
  <c r="S13" i="59"/>
  <c r="W7" i="35"/>
  <c r="T65" i="59"/>
  <c r="D65" i="59"/>
  <c r="T37" i="59"/>
  <c r="D37" i="59"/>
  <c r="E42" i="37"/>
  <c r="E46" i="37" s="1"/>
  <c r="F46" i="37" s="1"/>
  <c r="F16" i="59"/>
  <c r="F15" i="59" s="1"/>
  <c r="F14" i="59" s="1"/>
  <c r="F13" i="59" s="1"/>
  <c r="V17" i="59"/>
  <c r="Q66" i="59"/>
  <c r="Q67"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D16" i="59" l="1"/>
  <c r="C15"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81" i="57"/>
  <c r="C82" i="57" s="1"/>
  <c r="E82" i="57" s="1"/>
  <c r="E83" i="57" s="1"/>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9" i="9"/>
  <c r="C20" i="9"/>
  <c r="C102" i="9" l="1"/>
  <c r="C101" i="9"/>
  <c r="C83" i="57"/>
  <c r="D14" i="59"/>
  <c r="C13" i="59"/>
  <c r="C98" i="57"/>
  <c r="E98" i="57" s="1"/>
  <c r="E99" i="57" s="1"/>
  <c r="M67" i="39"/>
  <c r="L69"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D13" i="59"/>
  <c r="T13" i="59"/>
  <c r="C12" i="59"/>
  <c r="O63" i="57"/>
  <c r="O62" i="57"/>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19" i="9"/>
  <c r="D20" i="9"/>
  <c r="D102" i="9" l="1"/>
  <c r="G20" i="9"/>
  <c r="C32" i="9" s="1"/>
  <c r="C35" i="9" s="1"/>
  <c r="C34" i="9" s="1"/>
  <c r="D101" i="9"/>
  <c r="D22" i="9"/>
  <c r="G19" i="9"/>
  <c r="E53" i="34"/>
  <c r="F53" i="34" s="1"/>
  <c r="E54" i="34"/>
  <c r="F54" i="34" s="1"/>
  <c r="G52" i="39"/>
  <c r="H52" i="39" s="1"/>
  <c r="R50" i="34"/>
  <c r="C49" i="34" s="1"/>
  <c r="C8" i="59"/>
  <c r="T9" i="59"/>
  <c r="D9" i="59"/>
  <c r="R48" i="39"/>
  <c r="E47" i="39"/>
  <c r="I53" i="34"/>
  <c r="J53" i="34" s="1"/>
  <c r="I54" i="34"/>
  <c r="J54" i="34" s="1"/>
  <c r="C50" i="34"/>
  <c r="B2" i="34" s="1"/>
  <c r="B3" i="34" s="1"/>
  <c r="H7" i="40"/>
  <c r="J7" i="40"/>
  <c r="F7" i="40"/>
  <c r="I52" i="39" l="1"/>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B56" i="39" l="1"/>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5" i="59" l="1"/>
  <c r="D6" i="59"/>
  <c r="I47" i="40"/>
  <c r="J47" i="40" s="1"/>
  <c r="E47" i="40"/>
  <c r="F47" i="40" s="1"/>
  <c r="E46" i="40"/>
  <c r="F46" i="40" s="1"/>
  <c r="C43" i="40"/>
  <c r="C42" i="40"/>
  <c r="D5" i="59" l="1"/>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D8" i="50"/>
  <c r="B22" i="60" s="1"/>
  <c r="D16" i="50" l="1"/>
  <c r="B30" i="60" s="1"/>
  <c r="G121" i="9" l="1"/>
  <c r="F121" i="9" s="1"/>
  <c r="F122" i="9" s="1"/>
  <c r="E121" i="9"/>
  <c r="D121" i="9" s="1"/>
  <c r="D122" i="9" s="1"/>
  <c r="I121" i="9"/>
  <c r="H121" i="9" s="1"/>
  <c r="D106" i="9" s="1"/>
  <c r="D112" i="9" s="1"/>
  <c r="I102" i="9" l="1"/>
  <c r="D14" i="62"/>
  <c r="H122" i="9"/>
  <c r="C103" i="9"/>
  <c r="I103" i="9"/>
  <c r="D107" i="9"/>
  <c r="D113" i="9" s="1"/>
  <c r="I111" i="9" s="1"/>
  <c r="D126" i="9" s="1"/>
  <c r="C104" i="9"/>
  <c r="D117" i="9"/>
  <c r="I115" i="9" s="1"/>
  <c r="F14" i="62" l="1"/>
  <c r="E14" i="62"/>
  <c r="B5" i="62"/>
  <c r="N48" i="9"/>
  <c r="D45" i="9"/>
  <c r="I110" i="9"/>
  <c r="N49" i="9" l="1"/>
  <c r="D125" i="9"/>
  <c r="G14" i="62" s="1"/>
  <c r="B6" i="62" s="1"/>
  <c r="D5" i="62"/>
  <c r="C5" i="62"/>
  <c r="C64" i="9"/>
  <c r="C63" i="9" s="1"/>
  <c r="C67" i="9" s="1"/>
  <c r="C68" i="9" s="1"/>
  <c r="D54" i="9" s="1"/>
  <c r="C72" i="9"/>
  <c r="D53" i="9"/>
  <c r="D48" i="9" s="1"/>
  <c r="N52" i="9" s="1"/>
  <c r="O57" i="9" s="1"/>
  <c r="C78" i="9"/>
  <c r="C73" i="9" s="1"/>
  <c r="C93" i="9"/>
  <c r="C86" i="9" s="1"/>
  <c r="C85" i="9"/>
  <c r="D52" i="9"/>
  <c r="C95" i="9" l="1"/>
  <c r="C79" i="9"/>
  <c r="Q57" i="9"/>
  <c r="O58" i="9"/>
  <c r="D6" i="62"/>
  <c r="C6" i="62"/>
  <c r="M63" i="9"/>
  <c r="N63" i="9" s="1"/>
  <c r="M68" i="9"/>
  <c r="N68" i="9" s="1"/>
  <c r="M66" i="9"/>
  <c r="N66" i="9" s="1"/>
  <c r="M64" i="9"/>
  <c r="N64" i="9" s="1"/>
  <c r="M67" i="9"/>
  <c r="N67" i="9" s="1"/>
  <c r="O59" i="9"/>
  <c r="M65" i="9"/>
  <c r="N65" i="9" s="1"/>
  <c r="N69" i="9" l="1"/>
  <c r="O69" i="9" s="1"/>
  <c r="O61" i="9"/>
  <c r="O60" i="9"/>
  <c r="C80" i="9"/>
  <c r="E80" i="9" s="1"/>
  <c r="E81" i="9" s="1"/>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<sst xmlns="http://schemas.openxmlformats.org/spreadsheetml/2006/main" count="6906" uniqueCount="3048">
  <si>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</si>
  <si>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</si>
  <si>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</si>
  <si>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</si>
  <si>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</si>
  <si>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</si>
  <si>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</si>
  <si>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</si>
  <si>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</si>
  <si>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</si>
  <si>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</si>
  <si>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</si>
  <si>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</si>
  <si>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</si>
  <si>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</si>
  <si>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</si>
  <si>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</si>
  <si>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</si>
  <si>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</si>
  <si>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</si>
  <si>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</si>
  <si>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</si>
  <si>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</si>
  <si>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</si>
  <si>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</si>
  <si>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</si>
  <si>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</si>
  <si>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</si>
  <si>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</si>
  <si>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</si>
  <si>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</si>
  <si>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</si>
  <si>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</si>
  <si>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</si>
  <si>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</si>
  <si>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</si>
  <si>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</si>
  <si>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</si>
  <si>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</si>
  <si>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</si>
  <si>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</si>
  <si>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</si>
  <si>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</si>
  <si>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</si>
  <si>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</si>
  <si>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</si>
  <si>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</si>
  <si>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</si>
  <si>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</si>
  <si>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</si>
  <si>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</si>
  <si>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</si>
  <si>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</si>
  <si>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</si>
  <si>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</si>
  <si>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</si>
  <si>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</si>
  <si>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</si>
  <si>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</si>
  <si>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</si>
  <si>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</si>
  <si>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</si>
  <si>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</si>
  <si>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</si>
  <si>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</si>
  <si>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</si>
  <si>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</si>
  <si>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</si>
  <si>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</si>
  <si>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</si>
  <si>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</si>
  <si>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</si>
  <si>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</si>
  <si>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</si>
  <si>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</si>
  <si>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</si>
  <si>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</si>
  <si>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</si>
  <si>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</si>
  <si>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</si>
  <si>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</si>
  <si>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</si>
  <si>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</si>
  <si>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</si>
  <si>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</si>
  <si>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</si>
  <si>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</si>
  <si>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</si>
  <si>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</si>
  <si>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</si>
  <si>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</si>
  <si>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</si>
  <si>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</si>
  <si>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</si>
  <si>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</si>
  <si>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</si>
  <si>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</si>
  <si>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</si>
  <si>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</si>
  <si>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</si>
  <si>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</si>
  <si>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</si>
  <si>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</si>
  <si>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</si>
  <si>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</si>
  <si>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</si>
  <si>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</si>
  <si>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</si>
  <si>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</si>
  <si>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</si>
  <si>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</si>
  <si>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</si>
  <si>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</si>
  <si>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</si>
  <si>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</si>
  <si>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</si>
  <si>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</si>
  <si>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</si>
  <si>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</si>
  <si>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</si>
  <si>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</si>
  <si>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</si>
  <si>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</si>
  <si>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</si>
  <si>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</si>
  <si>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</si>
  <si>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</si>
  <si>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</si>
  <si>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</si>
  <si>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</si>
  <si>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</si>
  <si>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</si>
  <si>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</si>
  <si>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</si>
  <si>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</si>
  <si>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</si>
  <si>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</si>
  <si>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</si>
  <si>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</si>
  <si>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</si>
  <si>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</si>
  <si>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</si>
  <si>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</si>
  <si>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</si>
  <si>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</si>
  <si>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</si>
  <si>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</si>
  <si>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</si>
  <si>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</si>
  <si>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</si>
  <si>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</si>
  <si>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</si>
  <si>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</si>
  <si>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</si>
  <si>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</si>
  <si>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</si>
  <si>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</si>
  <si>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</si>
  <si>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</si>
  <si>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</si>
  <si>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</si>
  <si>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</si>
  <si>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</si>
  <si>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</si>
  <si>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</si>
  <si>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</si>
  <si>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</si>
  <si>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</si>
  <si>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</si>
  <si>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</si>
  <si>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</si>
  <si>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</si>
  <si>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</si>
  <si>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</si>
  <si>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</si>
  <si>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</si>
  <si>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</si>
  <si>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</si>
  <si>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</si>
  <si>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</si>
  <si>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</si>
  <si>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</si>
  <si>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</si>
  <si>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</si>
  <si>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</si>
  <si>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</si>
  <si>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</si>
  <si>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</si>
  <si>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</si>
  <si>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</si>
  <si>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</si>
  <si>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</si>
  <si>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</si>
  <si>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</si>
  <si>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</si>
  <si>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</si>
  <si>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</si>
  <si>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</si>
  <si>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</si>
  <si>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</si>
  <si>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</si>
  <si>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</si>
  <si>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</si>
  <si>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</si>
  <si>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</si>
  <si>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</si>
  <si>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</si>
  <si>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</si>
  <si>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</si>
  <si>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</si>
  <si>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</si>
  <si>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</si>
  <si>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</si>
  <si>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</si>
  <si>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</si>
  <si>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</si>
  <si>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</si>
  <si>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</si>
  <si>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</si>
  <si>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</si>
  <si>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</si>
  <si>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</si>
  <si>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</si>
  <si>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</si>
  <si>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</si>
  <si>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</si>
  <si>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</si>
  <si>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</si>
  <si>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</si>
  <si>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</si>
  <si>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</si>
  <si>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</si>
  <si>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</si>
  <si>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</si>
  <si>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</si>
  <si>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</si>
  <si>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</si>
  <si>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</si>
  <si>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</si>
  <si>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</si>
  <si>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</si>
  <si>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</si>
  <si>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</si>
  <si>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</si>
  <si>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</si>
  <si>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</si>
  <si>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</si>
  <si>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</si>
  <si>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</si>
  <si>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</si>
  <si>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</si>
  <si>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</si>
  <si>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</si>
  <si>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</si>
  <si>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</si>
  <si>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</si>
  <si>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</si>
  <si>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</si>
  <si>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</si>
  <si>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</si>
  <si>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</si>
  <si>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</si>
  <si>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</si>
  <si>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</si>
  <si>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</si>
  <si>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</si>
  <si>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</si>
  <si>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</si>
  <si>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</si>
  <si>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</si>
  <si>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</si>
  <si>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</si>
  <si>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</si>
  <si>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</si>
  <si>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</si>
  <si>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</si>
  <si>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</si>
  <si>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</si>
  <si>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</si>
  <si>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</si>
  <si>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</si>
  <si>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</si>
  <si>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</si>
  <si>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</si>
  <si>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</si>
  <si>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</si>
  <si>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</si>
  <si>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</si>
  <si>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</si>
  <si>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</si>
  <si>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</si>
  <si>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</si>
  <si>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</si>
  <si>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</si>
  <si>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</si>
  <si>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</si>
  <si>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</si>
  <si>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</si>
  <si>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</si>
  <si>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</si>
  <si>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</si>
  <si>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</si>
  <si>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</si>
  <si>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</si>
  <si>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</si>
  <si>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</si>
  <si>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</si>
  <si>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</si>
  <si>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</si>
  <si>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</si>
  <si>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</si>
  <si>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</si>
  <si>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</si>
  <si>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</si>
  <si>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</si>
  <si>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</si>
  <si>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</si>
  <si>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</si>
  <si>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</si>
  <si>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</si>
  <si>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</si>
  <si>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</si>
  <si>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</si>
  <si>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</si>
  <si>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</si>
  <si>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</si>
  <si>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</si>
  <si>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</si>
  <si>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</si>
  <si>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</si>
  <si>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</si>
  <si>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</si>
  <si>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</si>
  <si>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</si>
  <si>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</si>
  <si>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</si>
  <si>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</si>
  <si>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</si>
  <si>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</si>
  <si>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</si>
  <si>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</si>
  <si>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</si>
  <si>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</si>
  <si>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</si>
  <si>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</si>
  <si>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</si>
  <si>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</si>
  <si>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</si>
  <si>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</si>
  <si>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</si>
  <si>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</si>
  <si>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</si>
  <si>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</si>
  <si>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</si>
  <si>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</si>
  <si>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</si>
  <si>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</si>
  <si>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</si>
  <si>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</si>
  <si>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</si>
  <si>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</si>
  <si>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</si>
  <si>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</si>
  <si>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</si>
  <si>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</si>
  <si>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</si>
  <si>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</si>
  <si>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</si>
  <si>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</si>
  <si>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</si>
  <si>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</si>
  <si>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</si>
  <si>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</si>
  <si>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</si>
  <si>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</si>
  <si>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</si>
  <si>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</si>
  <si>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</si>
  <si>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</si>
  <si>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</si>
  <si>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</si>
  <si>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</si>
  <si>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</si>
  <si>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</si>
  <si>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</si>
  <si>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</si>
  <si>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</si>
  <si>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</si>
  <si>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</si>
  <si>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</si>
  <si>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</si>
  <si>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</si>
  <si>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</si>
  <si>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</si>
  <si>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</si>
  <si>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</si>
  <si>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</si>
  <si>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</si>
  <si>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</si>
  <si>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</si>
  <si>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</si>
  <si>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</si>
  <si>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</si>
  <si>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</si>
  <si>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</si>
  <si>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</si>
  <si>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</si>
  <si>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</si>
  <si>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</si>
  <si>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</si>
  <si>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</si>
  <si>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</si>
  <si>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</si>
  <si>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</si>
  <si>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</si>
  <si>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</si>
  <si>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</si>
  <si>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</si>
  <si>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</si>
  <si>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</si>
  <si>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</si>
  <si>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</si>
  <si>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</si>
  <si>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</si>
  <si>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</si>
  <si>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</si>
  <si>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</si>
  <si>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</si>
  <si>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</si>
  <si>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</si>
  <si>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</si>
  <si>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</si>
  <si>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</si>
  <si>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</si>
  <si>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</si>
  <si>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</si>
  <si>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</si>
  <si>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</si>
  <si>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</si>
  <si>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</si>
  <si>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</si>
  <si>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</si>
  <si>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</si>
  <si>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</si>
  <si>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</si>
  <si>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</si>
  <si>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</si>
  <si>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</si>
  <si>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</si>
  <si>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</si>
  <si>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</si>
  <si>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</si>
  <si>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</si>
  <si>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</si>
  <si>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</si>
  <si>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</si>
  <si>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</si>
  <si>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</si>
  <si>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</si>
  <si>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</si>
  <si>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</si>
  <si>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</si>
  <si>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</si>
  <si>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</si>
  <si>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</si>
  <si>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</si>
  <si>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</si>
  <si>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</si>
  <si>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</si>
  <si>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</si>
  <si>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</si>
  <si>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</si>
  <si>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</si>
  <si>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</si>
  <si>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</si>
  <si>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</si>
  <si>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</si>
  <si>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</si>
  <si>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</si>
  <si>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</si>
  <si>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</si>
  <si>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</si>
  <si>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</si>
  <si>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</si>
  <si>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</si>
  <si>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</si>
  <si>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</si>
  <si>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</si>
  <si>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</si>
  <si>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</si>
  <si>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</si>
  <si>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</si>
  <si>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</si>
  <si>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</si>
  <si>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</si>
  <si>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</si>
  <si>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</si>
  <si>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</si>
  <si>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</si>
  <si>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</si>
  <si>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</si>
  <si>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</si>
  <si>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</si>
  <si>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</si>
  <si>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</si>
  <si>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</si>
  <si>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</si>
  <si>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</si>
  <si>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</si>
  <si>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</si>
  <si>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</si>
  <si>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</si>
  <si>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</si>
  <si>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</si>
  <si>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</si>
  <si>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</si>
  <si>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</si>
  <si>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</si>
  <si>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</si>
  <si>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</si>
  <si>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</si>
  <si>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</si>
  <si>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</si>
  <si>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</si>
  <si>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</si>
  <si>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</si>
  <si>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</si>
  <si>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</si>
  <si>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</si>
  <si>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</si>
  <si>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</si>
  <si>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</si>
  <si>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</si>
  <si>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</si>
  <si>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</si>
  <si>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</si>
  <si>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</si>
  <si>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</si>
  <si>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</si>
  <si>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</si>
  <si>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</si>
  <si>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</si>
  <si>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</si>
  <si>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</si>
  <si>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</si>
  <si>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</si>
  <si>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</si>
  <si>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</si>
  <si>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</si>
  <si>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</si>
  <si>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</si>
  <si>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</si>
  <si>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</si>
  <si>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</si>
  <si>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</si>
  <si>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</si>
  <si>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</si>
  <si>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</si>
  <si>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</si>
  <si>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</si>
  <si>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</si>
  <si>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</si>
  <si>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</si>
  <si>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</si>
  <si>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</si>
  <si>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</si>
  <si>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</si>
  <si>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</si>
  <si>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</si>
  <si>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</si>
  <si>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</si>
  <si>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</si>
  <si>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</si>
  <si>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</si>
  <si>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</si>
  <si>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</si>
  <si>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</si>
  <si>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</si>
  <si>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</si>
  <si>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</si>
  <si>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</si>
  <si>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</si>
  <si>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</si>
  <si>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</si>
  <si>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</si>
  <si>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</si>
  <si>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</si>
  <si>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</si>
  <si>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</si>
  <si>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</si>
  <si>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</si>
  <si>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</si>
  <si>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</si>
  <si>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</si>
  <si>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</si>
  <si>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</si>
  <si>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</si>
  <si>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</si>
  <si>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</si>
  <si>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</si>
  <si>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</si>
  <si>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</si>
  <si>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</si>
  <si>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</si>
  <si>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</si>
  <si>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</si>
  <si>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</si>
  <si>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</si>
  <si>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</si>
  <si>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</si>
  <si>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</si>
  <si>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</si>
  <si>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</si>
  <si>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</si>
  <si>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</si>
  <si>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</si>
  <si>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</si>
  <si>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</si>
  <si>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</si>
  <si>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</si>
  <si>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</si>
  <si>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</si>
  <si>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</si>
  <si>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</si>
  <si>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</si>
  <si>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</si>
  <si>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</si>
  <si>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</si>
  <si>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</si>
  <si>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</si>
  <si>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</si>
  <si>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</si>
  <si>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</si>
  <si>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</si>
  <si>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</si>
  <si>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</si>
  <si>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</si>
  <si>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</si>
  <si>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</si>
  <si>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</si>
  <si>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</si>
  <si>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</si>
  <si>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</si>
  <si>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</si>
  <si>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</si>
  <si>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</si>
  <si>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</si>
  <si>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</si>
  <si>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</si>
  <si>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</si>
  <si>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</si>
  <si>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</si>
  <si>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</si>
  <si>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</si>
  <si>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</si>
  <si>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</si>
  <si>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</si>
  <si>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</si>
  <si>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</si>
  <si>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</si>
  <si>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</si>
  <si>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</si>
  <si>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</si>
  <si>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</si>
  <si>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</si>
  <si>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</si>
  <si>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</si>
  <si>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</si>
  <si>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</si>
  <si>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</si>
  <si>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</si>
  <si>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</si>
  <si>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</si>
  <si>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</si>
  <si>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</si>
  <si>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</si>
  <si>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</si>
  <si>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</si>
  <si>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</si>
  <si>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</si>
  <si>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</si>
  <si>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</si>
  <si>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</si>
  <si>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</si>
  <si>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</si>
  <si>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</si>
  <si>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</si>
  <si>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</si>
  <si>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</si>
  <si>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</si>
  <si>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</si>
  <si>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</si>
  <si>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</si>
  <si>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</si>
  <si>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</si>
  <si>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</si>
  <si>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</si>
  <si>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</si>
  <si>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</si>
  <si>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</si>
  <si>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</si>
  <si>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</si>
  <si>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</si>
  <si>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</si>
  <si>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</si>
  <si>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</si>
  <si>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</si>
  <si>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</si>
  <si>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</si>
  <si>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</si>
  <si>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</si>
  <si>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</si>
  <si>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</si>
  <si>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</si>
  <si>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</si>
  <si>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</si>
  <si>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</si>
  <si>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</si>
  <si>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</si>
  <si>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</si>
  <si>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</si>
  <si>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</si>
  <si>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</si>
  <si>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</si>
  <si>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</si>
  <si>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</si>
  <si>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</si>
  <si>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</si>
  <si>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</si>
  <si>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</si>
  <si>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</si>
  <si>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</si>
  <si>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</si>
  <si>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</si>
  <si>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</si>
  <si>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</si>
  <si>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</si>
  <si>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</si>
  <si>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</si>
  <si>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</si>
  <si>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</si>
  <si>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</si>
  <si>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</si>
  <si>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</si>
  <si>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</si>
  <si>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</si>
  <si>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</si>
  <si>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</si>
  <si>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</si>
  <si>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</si>
  <si>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</si>
  <si>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</si>
  <si>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</si>
  <si>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</si>
  <si>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</si>
  <si>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</si>
  <si>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</si>
  <si>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</si>
  <si>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</si>
  <si>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</si>
  <si>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</si>
  <si>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</si>
  <si>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</si>
  <si>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</si>
  <si>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</si>
  <si>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</si>
  <si>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</si>
  <si>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</si>
  <si>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</si>
  <si>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</si>
  <si>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</si>
  <si>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</si>
  <si>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</si>
  <si>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</si>
  <si>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</si>
  <si>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</si>
  <si>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</si>
  <si>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</si>
  <si>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</si>
  <si>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</si>
  <si>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</si>
  <si>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</si>
  <si>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</si>
  <si>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</si>
  <si>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</si>
  <si>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</si>
  <si>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</si>
  <si>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</si>
  <si>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</si>
  <si>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</si>
  <si>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</si>
  <si>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</si>
  <si>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</si>
  <si>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</si>
  <si>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</si>
  <si>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</si>
  <si>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</si>
  <si>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</si>
  <si>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</si>
  <si>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</si>
  <si>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</si>
  <si>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</si>
  <si>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</si>
  <si>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</si>
  <si>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</si>
  <si>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</si>
  <si>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</si>
  <si>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</si>
  <si>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</si>
  <si>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</si>
  <si>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</si>
  <si>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</si>
  <si>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</si>
  <si>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</si>
  <si>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</si>
  <si>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</si>
  <si>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</si>
  <si>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</si>
  <si>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</si>
  <si>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</si>
  <si>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</si>
  <si>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</si>
  <si>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</si>
  <si>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</si>
  <si>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</si>
  <si>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</si>
  <si>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</si>
  <si>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</si>
  <si>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</si>
  <si>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</si>
  <si>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</si>
  <si>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</si>
  <si>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</si>
  <si>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</si>
  <si>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</si>
  <si>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</si>
  <si>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</si>
  <si>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</si>
  <si>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</si>
  <si>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</si>
  <si>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</si>
  <si>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</si>
  <si>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</si>
  <si>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</si>
  <si>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</si>
  <si>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</si>
  <si>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</si>
  <si>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</si>
  <si>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</si>
  <si>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</si>
  <si>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</si>
  <si>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</si>
  <si>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</si>
  <si>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</si>
  <si>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</si>
  <si>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</si>
  <si>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</si>
  <si>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</si>
  <si>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</si>
  <si>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</si>
  <si>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</si>
  <si>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</si>
  <si>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</si>
  <si>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</si>
  <si>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</si>
  <si>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</si>
  <si>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</si>
  <si>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</si>
  <si>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</si>
  <si>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</si>
  <si>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</si>
  <si>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</si>
  <si>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</si>
  <si>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</si>
  <si>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</si>
  <si>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</si>
  <si>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</si>
  <si>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</si>
  <si>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</si>
  <si>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</si>
  <si>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</si>
  <si>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</si>
  <si>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</si>
  <si>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</si>
  <si>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</si>
  <si>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</si>
  <si>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</si>
  <si>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</si>
  <si>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</si>
  <si>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</si>
  <si>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</si>
  <si>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</si>
  <si>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</si>
  <si>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</si>
  <si>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</si>
  <si>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</si>
  <si>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</si>
  <si>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</si>
  <si>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</si>
  <si>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</si>
  <si>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</si>
  <si>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</si>
  <si>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</si>
  <si>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</si>
  <si>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</si>
  <si>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</si>
  <si>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</si>
  <si>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</si>
  <si>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</si>
  <si>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</si>
  <si>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</si>
  <si>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</si>
  <si>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</si>
  <si>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</si>
  <si>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</si>
  <si>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</si>
  <si>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</si>
  <si>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</si>
  <si>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</si>
  <si>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</si>
  <si>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</si>
  <si>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</si>
  <si>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</si>
  <si>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</si>
  <si>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</si>
  <si>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</si>
  <si>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</si>
  <si>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</si>
  <si>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</si>
  <si>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</si>
  <si>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</si>
  <si>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</si>
  <si>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</si>
  <si>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</si>
  <si>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</si>
  <si>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</si>
  <si>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</si>
  <si>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</si>
  <si>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</si>
  <si>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</si>
  <si>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</si>
  <si>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</si>
  <si>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</si>
  <si>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</si>
  <si>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</si>
  <si>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</si>
  <si>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</si>
  <si>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</si>
  <si>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</si>
  <si>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</si>
  <si>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</si>
  <si>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</si>
  <si>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</si>
  <si>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</si>
  <si>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</si>
  <si>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</si>
  <si>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</si>
  <si>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</si>
  <si>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</si>
  <si>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</si>
  <si>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</si>
  <si>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</si>
  <si>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</si>
  <si>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</si>
  <si>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</si>
  <si>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</si>
  <si>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</si>
  <si>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</si>
  <si>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</si>
  <si>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</si>
  <si>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</si>
  <si>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</si>
  <si>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</si>
  <si>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</si>
  <si>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</si>
  <si>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</si>
  <si>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</si>
  <si>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</si>
  <si>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</si>
  <si>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</si>
  <si>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</si>
  <si>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</si>
  <si>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</si>
  <si>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</si>
  <si>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</si>
  <si>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</si>
  <si>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</si>
  <si>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</si>
  <si>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</si>
  <si>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</si>
  <si>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</si>
  <si>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</si>
  <si>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</si>
  <si>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</si>
  <si>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</si>
  <si>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</si>
  <si>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</si>
  <si>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</si>
  <si>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</si>
  <si>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</si>
  <si>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</si>
  <si>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</si>
  <si>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</si>
  <si>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</si>
  <si>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</si>
  <si>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</si>
  <si>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</si>
  <si>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</si>
  <si>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</si>
  <si>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</si>
  <si>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</si>
  <si>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</si>
  <si>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</si>
  <si>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</si>
  <si>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</si>
  <si>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</si>
  <si>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</si>
  <si>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</si>
  <si>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</si>
  <si>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</si>
  <si>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</si>
  <si>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</si>
  <si>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</si>
  <si>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</si>
  <si>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</si>
  <si>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</si>
  <si>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</si>
  <si>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</si>
  <si>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</si>
  <si>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</si>
  <si>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</si>
  <si>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</si>
  <si>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</si>
  <si>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</si>
  <si>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</si>
  <si>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</si>
  <si>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</si>
  <si>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</si>
  <si>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</si>
  <si>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</si>
  <si>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</si>
  <si>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</si>
  <si>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</si>
  <si>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</si>
  <si>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</si>
  <si>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</si>
  <si>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</si>
  <si>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</si>
  <si>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</si>
  <si>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</si>
  <si>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</si>
  <si>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</si>
  <si>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</si>
  <si>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</si>
  <si>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</si>
  <si>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</si>
  <si>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</si>
  <si>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</si>
  <si>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</si>
  <si>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</si>
  <si>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</si>
  <si>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</si>
  <si>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</si>
  <si>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</si>
  <si>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</si>
  <si>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</si>
  <si>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</si>
  <si>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</si>
  <si>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</si>
  <si>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</si>
  <si>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</si>
  <si>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</si>
  <si>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</si>
  <si>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</si>
  <si>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</si>
  <si>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</si>
  <si>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</si>
  <si>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</si>
  <si>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</si>
  <si>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</si>
  <si>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</si>
  <si>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</si>
  <si>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</si>
  <si>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</si>
  <si>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</si>
  <si>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</si>
  <si>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</si>
  <si>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</si>
  <si>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</si>
  <si>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</si>
  <si>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</si>
  <si>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</si>
  <si>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</si>
  <si>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</si>
  <si>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</si>
  <si>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</si>
  <si>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</si>
  <si>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</si>
  <si>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</si>
  <si>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</si>
  <si>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</si>
  <si>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</si>
  <si>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</si>
  <si>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</si>
  <si>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</si>
  <si>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</si>
  <si>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</si>
  <si>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</si>
  <si>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</si>
  <si>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</si>
  <si>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</si>
  <si>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</si>
  <si>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</si>
  <si>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</si>
  <si>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</si>
  <si>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</si>
  <si>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</si>
  <si>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</si>
  <si>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</si>
  <si>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</si>
  <si>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</si>
  <si>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</si>
  <si>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</si>
  <si>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</si>
  <si>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</si>
  <si>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</si>
  <si>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</si>
  <si>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</si>
  <si>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</si>
  <si>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</si>
  <si>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</si>
  <si>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</si>
  <si>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</si>
  <si>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</si>
  <si>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</si>
  <si>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</si>
  <si>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</si>
  <si>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</si>
  <si>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</si>
  <si>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</si>
  <si>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</si>
  <si>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</si>
  <si>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</si>
  <si>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</si>
  <si>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</si>
  <si>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</si>
  <si>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</si>
  <si>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</si>
  <si>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</si>
  <si>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</si>
  <si>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</si>
  <si>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</si>
  <si>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</si>
  <si>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</si>
  <si>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</si>
  <si>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</si>
  <si>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</si>
  <si>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</si>
  <si>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</si>
  <si>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</si>
  <si>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</si>
  <si>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</si>
  <si>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</si>
  <si>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</si>
  <si>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</si>
  <si>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</si>
  <si>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</si>
  <si>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</si>
  <si>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</si>
  <si>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</si>
  <si>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</si>
  <si>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</si>
  <si>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</si>
  <si>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</si>
  <si>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</si>
  <si>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</si>
  <si>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</si>
  <si>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</si>
  <si>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</si>
  <si>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</si>
  <si>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</si>
  <si>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</si>
  <si>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</si>
  <si>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</si>
  <si>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</si>
  <si>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</si>
  <si>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</si>
  <si>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</si>
  <si>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</si>
  <si>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</si>
  <si>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</si>
  <si>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</si>
  <si>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</si>
  <si>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</si>
  <si>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</si>
  <si>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</si>
  <si>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</si>
  <si>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</si>
  <si>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</si>
  <si>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</si>
  <si>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</si>
  <si>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</si>
  <si>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</si>
  <si>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</si>
  <si>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</si>
  <si>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</si>
  <si>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</si>
  <si>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</si>
  <si>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</si>
  <si>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</si>
  <si>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</si>
  <si>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</si>
  <si>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</si>
  <si>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</si>
  <si>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</si>
  <si>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</si>
  <si>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</si>
  <si>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</si>
  <si>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</si>
  <si>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</si>
  <si>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</si>
  <si>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</si>
  <si>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</si>
  <si>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</si>
  <si>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</si>
  <si>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</si>
  <si>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</si>
  <si>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</si>
  <si>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</si>
  <si>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</si>
  <si>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</si>
  <si>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</si>
  <si>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</si>
  <si>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</si>
  <si>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</si>
  <si>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</si>
  <si>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</si>
  <si>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</si>
  <si>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</si>
  <si>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</si>
  <si>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</si>
  <si>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</si>
  <si>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</si>
  <si>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</si>
  <si>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</si>
  <si>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</si>
  <si>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</si>
  <si>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</si>
  <si>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</si>
  <si>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</si>
  <si>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</si>
  <si>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</si>
  <si>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</si>
  <si>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</si>
  <si>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</si>
  <si>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</si>
  <si>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</si>
  <si>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</si>
  <si>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</si>
  <si>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</si>
  <si>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</si>
  <si>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</si>
  <si>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</si>
  <si>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</si>
  <si>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</si>
  <si>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</si>
  <si>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</si>
  <si>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</si>
  <si>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</si>
  <si>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</si>
  <si>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</si>
  <si>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</si>
  <si>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</si>
  <si>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</si>
  <si>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</si>
  <si>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</si>
  <si>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</si>
  <si>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</si>
  <si>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</si>
  <si>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</si>
  <si>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</si>
  <si>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</si>
  <si>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</si>
  <si>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</si>
  <si>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</si>
  <si>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</si>
  <si>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</si>
  <si>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</si>
  <si>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</si>
  <si>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</si>
  <si>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</si>
  <si>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</si>
  <si>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</si>
  <si>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</si>
  <si>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</si>
  <si>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</si>
  <si>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</si>
  <si>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</si>
  <si>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</si>
  <si>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</si>
  <si>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</si>
  <si>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</si>
  <si>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</si>
  <si>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</si>
  <si>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</si>
  <si>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</si>
  <si>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</si>
  <si>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</si>
  <si>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</si>
  <si>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</si>
  <si>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</si>
  <si>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</si>
  <si>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</si>
  <si>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</si>
  <si>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</si>
  <si>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</si>
  <si>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</si>
  <si>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</si>
  <si>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</si>
  <si>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</si>
  <si>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</si>
  <si>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</si>
  <si>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</si>
  <si>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</si>
  <si>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</si>
  <si>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</si>
  <si>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</si>
  <si>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</si>
  <si>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</si>
  <si>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</si>
  <si>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</si>
  <si>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</si>
  <si>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</si>
  <si>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</si>
  <si>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</si>
  <si>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</si>
  <si>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</si>
  <si>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</si>
  <si>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</si>
  <si>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</si>
  <si>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</si>
  <si>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</si>
  <si>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</si>
  <si>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</si>
  <si>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</si>
  <si>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</si>
  <si>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</si>
  <si>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</si>
  <si>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</si>
  <si>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</si>
  <si>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</si>
  <si>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</si>
  <si>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</si>
  <si>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</si>
  <si>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</si>
  <si>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</si>
  <si>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</si>
  <si>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</si>
  <si>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</si>
  <si>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</si>
  <si>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</si>
  <si>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</si>
  <si>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</si>
  <si>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</si>
  <si>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</si>
  <si>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</si>
  <si>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</si>
  <si>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</si>
  <si>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</si>
  <si>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</si>
  <si>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</si>
  <si>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</si>
  <si>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</si>
  <si>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</si>
  <si>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</si>
  <si>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</si>
  <si>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</si>
  <si>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</si>
  <si>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</si>
  <si>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</si>
  <si>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</si>
  <si>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</si>
  <si>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</si>
  <si>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</si>
  <si>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</si>
  <si>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</si>
  <si>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</si>
  <si>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</si>
  <si>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</si>
  <si>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</si>
  <si>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</si>
  <si>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</si>
  <si>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</si>
  <si>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</si>
  <si>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</si>
  <si>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</si>
  <si>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</si>
  <si>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</si>
  <si>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</si>
  <si>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</si>
  <si>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</si>
  <si>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</si>
  <si>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</si>
  <si>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</si>
  <si>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</si>
  <si>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</si>
  <si>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</si>
  <si>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</si>
  <si>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</si>
  <si>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</si>
  <si>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</si>
  <si>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</si>
  <si>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</si>
  <si>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</si>
  <si>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</si>
  <si>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</si>
  <si>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</si>
  <si>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</si>
  <si>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</si>
  <si>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</si>
  <si>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</si>
  <si>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</si>
  <si>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</si>
  <si>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</si>
  <si>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</si>
  <si>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</si>
  <si>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</si>
  <si>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</si>
  <si>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</si>
  <si>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</si>
  <si>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</si>
  <si>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</si>
  <si>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</si>
  <si>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</si>
  <si>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</si>
  <si>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</si>
  <si>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</si>
  <si>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</si>
  <si>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</si>
  <si>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</si>
  <si>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</si>
  <si>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</si>
  <si>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</si>
  <si>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</si>
  <si>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</si>
  <si>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</si>
  <si>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</si>
  <si>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</si>
  <si>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</si>
  <si>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</si>
  <si>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</si>
  <si>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</si>
  <si>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</si>
  <si>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</si>
  <si>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</si>
  <si>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</si>
  <si>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</si>
  <si>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</si>
  <si>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</si>
  <si>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</si>
  <si>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</si>
  <si>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</si>
  <si>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</si>
  <si>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</si>
  <si>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</si>
  <si>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</si>
  <si>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</si>
  <si>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</si>
  <si>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</si>
  <si>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</si>
  <si>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</si>
  <si>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</si>
  <si>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</si>
  <si>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</si>
  <si>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</si>
  <si>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</si>
  <si>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</si>
  <si>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</si>
  <si>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</si>
  <si>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</si>
  <si>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</si>
  <si>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</si>
  <si>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</si>
  <si>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</si>
  <si>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</si>
  <si>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</si>
  <si>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</si>
  <si>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</si>
  <si>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</si>
  <si>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</si>
  <si>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</si>
  <si>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</si>
  <si>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</si>
  <si>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</si>
  <si>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</si>
  <si>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</si>
  <si>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</si>
  <si>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</si>
  <si>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</si>
  <si>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</si>
  <si>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</si>
  <si>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</si>
  <si>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</si>
  <si>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</si>
  <si>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</si>
  <si>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</si>
  <si>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</si>
  <si>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</si>
  <si>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</si>
  <si>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</si>
  <si>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</si>
  <si>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</si>
  <si>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</si>
  <si>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</si>
  <si>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</si>
  <si>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</si>
  <si>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</si>
  <si>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</si>
  <si>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</si>
  <si>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</si>
  <si>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</si>
  <si>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</si>
  <si>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</si>
  <si>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</si>
  <si>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</si>
  <si>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</si>
  <si>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</si>
  <si>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</si>
  <si>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</si>
  <si>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</si>
  <si>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</si>
  <si>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</si>
  <si>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</si>
  <si>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</si>
  <si>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</si>
  <si>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</si>
  <si>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</si>
  <si>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</si>
  <si>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</si>
  <si>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</si>
  <si>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</si>
  <si>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</si>
  <si>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</si>
  <si>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</si>
  <si>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</si>
  <si>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</si>
  <si>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</si>
  <si>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</si>
  <si>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</si>
  <si>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</si>
  <si>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</si>
  <si>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</si>
  <si>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</si>
  <si>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</si>
  <si>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</si>
  <si>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</si>
  <si>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</si>
  <si>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</si>
  <si>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</si>
  <si>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</si>
  <si>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</si>
  <si>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</si>
  <si>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</si>
  <si>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</si>
  <si>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</si>
  <si>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</si>
  <si>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</si>
  <si>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</si>
  <si>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</si>
  <si>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</si>
  <si>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</si>
  <si>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</si>
  <si>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</si>
  <si>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</si>
  <si>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</si>
  <si>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</si>
  <si>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</si>
  <si>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</si>
  <si>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</si>
  <si>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</si>
  <si>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</si>
  <si>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</si>
  <si>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</si>
  <si>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</si>
  <si>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</si>
  <si>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</si>
  <si>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</si>
  <si>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</si>
  <si>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</si>
  <si>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</si>
  <si>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</si>
  <si>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</si>
  <si>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</si>
  <si>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</si>
  <si>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</si>
  <si>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</si>
  <si>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</si>
  <si>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</si>
  <si>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</si>
  <si>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</si>
  <si>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</si>
  <si>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</si>
  <si>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</si>
  <si>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</si>
  <si>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</si>
  <si>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</si>
  <si>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</si>
  <si>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</si>
  <si>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</si>
  <si>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</si>
  <si>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</si>
  <si>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</si>
  <si>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</si>
  <si>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</si>
  <si>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</si>
  <si>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</si>
  <si>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</si>
  <si>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</si>
  <si>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</si>
  <si>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</si>
  <si>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</si>
  <si>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</si>
  <si>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</si>
  <si>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</si>
  <si>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</si>
  <si>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</si>
  <si>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</si>
  <si>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</si>
  <si>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</si>
  <si>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</si>
  <si>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</si>
  <si>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</si>
  <si>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</si>
  <si>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</si>
  <si>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</si>
  <si>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</si>
  <si>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</si>
  <si>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</si>
  <si>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</si>
  <si>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</si>
  <si>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</si>
  <si>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</si>
  <si>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</si>
  <si>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</si>
  <si>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</si>
  <si>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</si>
  <si>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</si>
  <si>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</si>
  <si>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</si>
  <si>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</si>
  <si>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</si>
  <si>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</si>
  <si>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</si>
  <si>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</si>
  <si>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</si>
  <si>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</si>
  <si>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</si>
  <si>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</si>
  <si>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</si>
  <si>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</si>
  <si>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</si>
  <si>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</si>
  <si>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</si>
  <si>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</si>
  <si>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</si>
  <si>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</si>
  <si>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</si>
  <si>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</si>
  <si>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</si>
  <si>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</si>
  <si>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</si>
  <si>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</si>
  <si>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</si>
  <si>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</si>
  <si>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</si>
  <si>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</si>
  <si>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</si>
  <si>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</si>
  <si>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</si>
  <si>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</si>
  <si>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</si>
  <si>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</si>
  <si>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</si>
  <si>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</si>
  <si>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</si>
  <si>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</si>
  <si>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</si>
  <si>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</si>
  <si>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</si>
  <si>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</si>
  <si>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</si>
  <si>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</si>
  <si>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</si>
  <si>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</si>
  <si>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</si>
  <si>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</si>
  <si>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</si>
  <si>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</si>
  <si>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</si>
  <si>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</si>
  <si>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</si>
  <si>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</si>
  <si>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</si>
  <si>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</si>
  <si>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</si>
  <si>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</si>
  <si>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</si>
  <si>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</si>
  <si>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</si>
  <si>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</si>
  <si>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</si>
  <si>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</si>
  <si>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</si>
  <si>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</si>
  <si>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</si>
  <si>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</si>
  <si>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</si>
  <si>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</si>
  <si>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</si>
  <si>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</si>
  <si>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</si>
  <si>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</si>
  <si>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</si>
  <si>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</si>
  <si>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</si>
  <si>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</si>
  <si>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</si>
  <si>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</si>
  <si>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</si>
  <si>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</si>
  <si>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</si>
  <si>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</si>
  <si>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</si>
  <si>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</si>
  <si>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</si>
  <si>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</si>
  <si>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</si>
  <si>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</si>
  <si>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</si>
  <si>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</si>
  <si>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</si>
  <si>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</si>
  <si>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</si>
  <si>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</si>
  <si>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</si>
  <si>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</si>
  <si>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</si>
  <si>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</si>
  <si>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</si>
  <si>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</si>
  <si>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</si>
  <si>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</si>
  <si>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</si>
  <si>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</si>
  <si>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</si>
  <si>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</si>
  <si>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</si>
  <si>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</si>
  <si>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</si>
  <si>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</si>
  <si>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</si>
  <si>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</si>
  <si>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</si>
  <si>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</si>
  <si>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</si>
  <si>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</si>
  <si>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</si>
  <si>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</si>
  <si>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</si>
  <si>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</si>
  <si>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</si>
  <si>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</si>
  <si>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</si>
  <si>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</si>
  <si>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</si>
  <si>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</si>
  <si>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</si>
  <si>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</si>
  <si>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</si>
  <si>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</si>
  <si>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</si>
  <si>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</si>
  <si>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</si>
  <si>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</si>
  <si>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</si>
  <si>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</si>
  <si>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</si>
  <si>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</si>
  <si>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</si>
  <si>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</si>
  <si>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</si>
  <si>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</si>
  <si>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</si>
  <si>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</si>
  <si>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</si>
  <si>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</si>
  <si>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</si>
  <si>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</si>
  <si>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</si>
  <si>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</si>
  <si>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</si>
  <si>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</si>
  <si>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</si>
  <si>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</si>
  <si>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</si>
  <si>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</si>
  <si>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</si>
  <si>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</si>
  <si>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</si>
  <si>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</si>
  <si>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</si>
  <si>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</si>
  <si>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</si>
  <si>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</si>
  <si>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</si>
  <si>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</si>
  <si>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</si>
  <si>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</si>
  <si>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</si>
  <si>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</si>
  <si>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</si>
  <si>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</si>
  <si>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</si>
  <si>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</si>
  <si>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</si>
  <si>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</si>
  <si>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</si>
  <si>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</si>
  <si>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</si>
  <si>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</si>
  <si>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</si>
  <si>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</si>
  <si>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</si>
  <si>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</si>
  <si>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</si>
  <si>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</si>
  <si>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</si>
  <si>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</si>
  <si>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</si>
  <si>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</si>
  <si>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</si>
  <si>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</si>
  <si>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</si>
  <si>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</si>
  <si>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</si>
  <si>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</si>
  <si>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</si>
  <si>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</si>
  <si>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</si>
  <si>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</si>
  <si>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</si>
  <si>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</si>
  <si>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</si>
  <si>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</si>
  <si>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</si>
  <si>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</si>
  <si>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</si>
  <si>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</si>
  <si>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</si>
  <si>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</si>
  <si>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</si>
  <si>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</si>
  <si>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</si>
  <si>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</si>
  <si>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</si>
  <si>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</si>
  <si>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</si>
  <si>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</si>
  <si>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</si>
  <si>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</si>
  <si>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</si>
  <si>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</si>
  <si>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</si>
  <si>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</si>
  <si>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</si>
  <si>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</si>
  <si>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</si>
  <si>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</si>
  <si>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</si>
  <si>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</si>
  <si>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</si>
  <si>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</si>
  <si>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</si>
  <si>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</si>
  <si>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</si>
  <si>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</si>
  <si>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</si>
  <si>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</si>
  <si>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</si>
  <si>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</si>
  <si>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</si>
  <si>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</si>
  <si>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</si>
  <si>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</si>
  <si>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</si>
  <si>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</si>
  <si>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</si>
  <si>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</si>
  <si>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</si>
  <si>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</si>
  <si>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</si>
  <si>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</si>
  <si>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</si>
  <si>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</si>
  <si>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</si>
  <si>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</si>
  <si>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</si>
  <si>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</si>
  <si>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</si>
  <si>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</si>
  <si>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</si>
  <si>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</si>
  <si>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</si>
  <si>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</si>
  <si>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</si>
  <si>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</si>
  <si>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</si>
  <si>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</si>
  <si>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</si>
  <si>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</si>
  <si>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</si>
  <si>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</si>
  <si>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</si>
  <si>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</si>
  <si>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</si>
  <si>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</si>
  <si>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</si>
  <si>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</si>
  <si>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</si>
  <si>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</si>
  <si>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</si>
  <si>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</si>
  <si>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</si>
  <si>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</si>
  <si>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</si>
  <si>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</si>
  <si>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</si>
  <si>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</si>
  <si>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</si>
  <si>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</si>
  <si>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</si>
  <si>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</si>
  <si>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</si>
  <si>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</si>
  <si>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</si>
  <si>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</si>
  <si>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</si>
  <si>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</si>
  <si>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</si>
  <si>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</si>
  <si>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</si>
  <si>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</si>
  <si>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</si>
  <si>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</si>
  <si>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</si>
  <si>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</si>
  <si>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</si>
  <si>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</si>
  <si>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</si>
  <si>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</si>
  <si>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</si>
  <si>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</si>
  <si>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</si>
  <si>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</si>
  <si>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</si>
  <si>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</si>
  <si>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</si>
  <si>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</si>
  <si>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</si>
  <si>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</si>
  <si>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</si>
  <si>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</si>
  <si>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</si>
  <si>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</si>
  <si>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</si>
  <si>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</si>
  <si>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</si>
  <si>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</si>
  <si>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</si>
  <si>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</si>
  <si>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</si>
  <si>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</si>
  <si>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</si>
  <si>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</si>
  <si>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</si>
  <si>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</si>
  <si>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</si>
  <si>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</si>
  <si>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</si>
  <si>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</si>
  <si>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</si>
  <si>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</si>
  <si>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</si>
  <si>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</si>
  <si>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</si>
  <si>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</si>
  <si>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</si>
  <si>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</si>
  <si>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</si>
  <si>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</si>
  <si>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</si>
  <si>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</si>
  <si>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</si>
  <si>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</si>
  <si>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</si>
  <si>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</si>
  <si>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</si>
  <si>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</si>
  <si>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</si>
  <si>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</si>
  <si>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</si>
  <si>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</si>
  <si>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</si>
  <si>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</si>
  <si>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</si>
  <si>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</si>
  <si>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</si>
  <si>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</si>
  <si>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</si>
  <si>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</si>
  <si>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</si>
  <si>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</si>
  <si>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</si>
  <si>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</si>
  <si>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</si>
  <si>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</si>
  <si>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</si>
  <si>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</si>
  <si>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</si>
  <si>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</si>
  <si>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</si>
  <si>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</si>
  <si>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</si>
  <si>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</si>
  <si>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</si>
  <si>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</si>
  <si>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</si>
  <si>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</si>
  <si>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</si>
  <si>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</si>
  <si>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</si>
  <si>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</si>
  <si>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</si>
  <si>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</si>
  <si>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</si>
  <si>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</si>
  <si>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</si>
  <si>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</si>
  <si>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</si>
  <si>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</si>
  <si>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</si>
  <si>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</si>
  <si>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</si>
  <si>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</si>
  <si>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</si>
  <si>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</si>
  <si>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</si>
  <si>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</si>
  <si>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</si>
  <si>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</si>
  <si>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</si>
  <si>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</si>
  <si>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</si>
  <si>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</si>
  <si>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</si>
  <si>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</si>
  <si>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</si>
  <si>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</si>
  <si>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</si>
  <si>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</si>
  <si>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</si>
  <si>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</si>
  <si>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</si>
  <si>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</si>
  <si>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</si>
  <si>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</si>
  <si>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</si>
  <si>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</si>
  <si>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</si>
  <si>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</si>
  <si>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</si>
  <si>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</si>
  <si>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</si>
  <si>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</si>
  <si>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</si>
  <si>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</si>
  <si>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</si>
  <si>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</si>
  <si>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</si>
  <si>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</si>
  <si>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</si>
  <si>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</si>
  <si>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</si>
  <si>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</si>
  <si>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</si>
  <si>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</si>
  <si>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</si>
  <si>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</si>
  <si>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</si>
  <si>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</si>
  <si>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</si>
  <si>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</si>
  <si>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</si>
  <si>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</si>
  <si>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</si>
  <si>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</si>
  <si>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</si>
  <si>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</si>
  <si>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</si>
  <si>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</si>
  <si>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</si>
  <si>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</si>
  <si>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</si>
  <si>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</si>
  <si>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</si>
  <si>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</si>
  <si>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</si>
  <si>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</si>
  <si>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</si>
  <si>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</si>
  <si>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</si>
  <si>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</si>
  <si>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</si>
  <si>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</si>
  <si>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</si>
  <si>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</si>
  <si>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</si>
  <si>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</si>
  <si>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</si>
  <si>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</si>
  <si>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</si>
  <si>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</si>
  <si>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</si>
  <si>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</si>
  <si>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</si>
  <si>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</si>
  <si>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</si>
  <si>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</si>
  <si>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</si>
  <si>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</si>
  <si>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</si>
  <si>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</si>
  <si>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</si>
  <si>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</si>
  <si>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</si>
  <si>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</si>
  <si>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</si>
  <si>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</si>
  <si>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</si>
  <si>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</si>
  <si>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</si>
  <si>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</si>
  <si>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</si>
  <si>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</si>
  <si>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</si>
  <si>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</si>
  <si>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</si>
  <si>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</si>
  <si>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</si>
  <si>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</si>
  <si>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</si>
  <si>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</si>
  <si>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</si>
  <si>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</si>
  <si>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</si>
  <si>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</si>
  <si>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</si>
  <si>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</si>
  <si>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</si>
  <si>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</si>
  <si>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</si>
  <si>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</si>
  <si>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</si>
  <si>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</si>
  <si>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</si>
  <si>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</si>
  <si>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</si>
  <si>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</si>
  <si>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</si>
  <si>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</si>
  <si>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</si>
  <si>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</si>
  <si>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</si>
  <si>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</si>
  <si>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</si>
  <si>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</si>
  <si>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</si>
  <si>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</si>
  <si>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</si>
  <si>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</si>
  <si>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</si>
  <si>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</si>
  <si>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</si>
  <si>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</si>
  <si>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</si>
  <si>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</si>
  <si>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</si>
  <si>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</si>
  <si>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</si>
  <si>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</si>
  <si>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</si>
  <si>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</si>
  <si>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</si>
  <si>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</si>
  <si>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</si>
  <si>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</si>
  <si>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</si>
  <si>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</si>
  <si>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</si>
  <si>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</si>
  <si>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</si>
  <si>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</si>
  <si>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</si>
  <si>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</si>
  <si>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</si>
  <si>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</si>
  <si>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</si>
  <si>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</si>
  <si>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</si>
  <si>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</si>
  <si>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</si>
  <si>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</si>
  <si>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</si>
  <si>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</si>
  <si>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</si>
  <si>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</si>
  <si>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</si>
  <si>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</si>
  <si>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</si>
  <si>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</si>
  <si>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</si>
  <si>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</si>
  <si>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</si>
  <si>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</si>
  <si>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</si>
  <si>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</si>
  <si>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</si>
  <si>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</si>
  <si>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</si>
  <si>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</si>
  <si>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</si>
  <si>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</si>
  <si>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</si>
  <si>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</si>
  <si>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</si>
  <si>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</si>
  <si>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</si>
  <si>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</si>
  <si>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</si>
  <si>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</si>
  <si>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</si>
  <si>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</si>
  <si>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</si>
  <si>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</si>
  <si>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</si>
  <si>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</si>
  <si>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</si>
  <si>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</si>
  <si>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</si>
  <si>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</si>
  <si>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</si>
  <si>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</si>
  <si>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</si>
  <si>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</si>
  <si>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</si>
  <si>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</si>
  <si>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</si>
  <si>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</si>
  <si>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</si>
  <si>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</si>
  <si>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</si>
  <si>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</si>
  <si>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</si>
  <si>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</si>
  <si>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</si>
  <si>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</si>
  <si>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</si>
  <si>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</si>
  <si>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</si>
  <si>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</si>
  <si>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</si>
  <si>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</si>
  <si>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</si>
  <si>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</si>
  <si>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</si>
  <si>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</si>
  <si>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</si>
  <si>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</si>
  <si>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</si>
  <si>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</si>
  <si>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</si>
  <si>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</si>
  <si>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</si>
  <si>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</si>
  <si>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</si>
  <si>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</si>
  <si>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</si>
  <si>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</si>
  <si>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</si>
  <si>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</si>
  <si>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</si>
  <si>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</si>
  <si>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</si>
  <si>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</si>
  <si>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</si>
  <si>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</si>
  <si>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</si>
  <si>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</si>
  <si>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</si>
  <si>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</si>
  <si>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</si>
  <si>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</si>
  <si>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</si>
  <si>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</si>
  <si>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</si>
  <si>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</si>
  <si>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</si>
  <si>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</si>
  <si>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</si>
  <si>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</si>
  <si>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</si>
  <si>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</si>
  <si>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</si>
  <si>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</si>
  <si>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</si>
  <si>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</si>
  <si>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</si>
  <si>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</si>
  <si>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</si>
  <si>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</si>
  <si>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</si>
  <si>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</si>
  <si>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</si>
  <si>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</si>
  <si>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</si>
  <si>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</si>
  <si>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</si>
  <si>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</si>
  <si>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</si>
  <si>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</si>
  <si>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</si>
  <si>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</si>
  <si>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</si>
  <si>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</si>
  <si>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</si>
  <si>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</si>
  <si>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</si>
  <si>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</si>
  <si>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</si>
  <si>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</si>
  <si>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</si>
  <si>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</si>
  <si>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</si>
  <si>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</si>
  <si>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</si>
  <si>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</si>
  <si>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</si>
  <si>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</si>
  <si>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</si>
  <si>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</si>
  <si>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</si>
  <si>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</si>
  <si>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</si>
  <si>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</si>
  <si>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</si>
  <si>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</si>
  <si>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</si>
  <si>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</si>
  <si>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</si>
  <si>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</si>
  <si>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</si>
  <si>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</si>
  <si>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</si>
  <si>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</si>
  <si>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</si>
  <si>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</si>
  <si>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</si>
  <si>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</si>
  <si>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</si>
  <si>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</si>
  <si>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</si>
  <si>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</si>
  <si>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</si>
  <si>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</si>
  <si>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</si>
  <si>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</si>
  <si>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</si>
  <si>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</si>
  <si>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</si>
  <si>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</si>
  <si>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</si>
  <si>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</si>
  <si>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</si>
  <si>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</si>
  <si>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</si>
  <si>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</si>
  <si>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</si>
  <si>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</si>
  <si>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</si>
  <si>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</si>
  <si>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</si>
  <si>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</si>
  <si>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</si>
  <si>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</si>
  <si>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</si>
  <si>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</si>
  <si>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</si>
  <si>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</si>
  <si>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</si>
  <si>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</si>
  <si>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</si>
  <si>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</si>
  <si>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</si>
  <si>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</si>
  <si>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</si>
  <si>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</si>
  <si>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</si>
  <si>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</si>
  <si>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</si>
  <si>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</si>
  <si>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</si>
  <si>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</si>
  <si>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</si>
  <si>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</si>
  <si>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</si>
  <si>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</si>
  <si>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</si>
  <si>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</si>
  <si>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</si>
  <si>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</si>
  <si>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</si>
  <si>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</si>
  <si>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</si>
  <si>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</si>
  <si>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</si>
  <si>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</si>
  <si>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</si>
  <si>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</si>
  <si>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</si>
  <si>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</si>
  <si>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</si>
  <si>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</si>
  <si>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</si>
  <si>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</si>
  <si>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</si>
  <si>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</si>
  <si>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</si>
  <si>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</si>
  <si>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</si>
  <si>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</si>
  <si>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</si>
  <si>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</si>
  <si>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</si>
  <si>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</si>
  <si>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</si>
  <si>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</si>
  <si>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</si>
  <si>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</si>
  <si>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</si>
  <si>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</si>
  <si>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</si>
  <si>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</si>
  <si>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</si>
  <si>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</si>
  <si>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</si>
  <si>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</si>
  <si>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</si>
  <si>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</si>
  <si>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</si>
  <si>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</si>
  <si>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</si>
  <si>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</si>
  <si>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</si>
  <si>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</si>
  <si>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</si>
  <si>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</si>
  <si>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</si>
  <si>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</si>
  <si>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</si>
  <si>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</si>
  <si>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</si>
  <si>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</si>
  <si>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</si>
  <si>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</si>
  <si>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</si>
  <si>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</si>
  <si>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</si>
  <si>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</si>
  <si>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</si>
  <si>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</si>
  <si>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</si>
  <si>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</si>
  <si>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</si>
  <si>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</si>
  <si>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</si>
  <si>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</si>
  <si>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</si>
  <si>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</si>
  <si>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</si>
  <si>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</si>
  <si>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</si>
  <si>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</si>
  <si>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</si>
  <si>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</si>
  <si>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</si>
  <si>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</si>
  <si>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</si>
  <si>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</si>
  <si>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</si>
  <si>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</si>
  <si>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</si>
  <si>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</si>
  <si>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</si>
  <si>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</si>
  <si>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</si>
  <si>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</si>
  <si>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</si>
  <si>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</si>
  <si>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</si>
  <si>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</si>
  <si>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</si>
  <si>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</si>
  <si>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</si>
  <si>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</si>
  <si>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</si>
  <si>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</si>
  <si>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</si>
  <si>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</si>
  <si>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</si>
  <si>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</si>
  <si>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</si>
  <si>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</si>
  <si>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</si>
  <si>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</si>
  <si>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</si>
  <si>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</si>
  <si>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</si>
  <si>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</si>
  <si>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</si>
  <si>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</si>
  <si>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</si>
  <si>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</si>
  <si>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</si>
  <si>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</si>
  <si>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</si>
  <si>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</si>
  <si>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</si>
  <si>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</si>
  <si>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</si>
  <si>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</si>
  <si>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</si>
  <si>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</si>
  <si>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</si>
  <si>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</si>
  <si>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</si>
  <si>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</si>
  <si>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</si>
  <si>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</si>
  <si>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</si>
  <si>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</si>
  <si>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</si>
  <si>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</si>
  <si>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</si>
  <si>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</si>
  <si>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</si>
  <si>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</si>
  <si>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</si>
  <si>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</si>
  <si>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</si>
  <si>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</si>
  <si>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</si>
  <si>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</si>
  <si>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</si>
  <si>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</si>
  <si>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</si>
  <si>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</si>
  <si>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</si>
  <si>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</si>
  <si>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</si>
  <si>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</si>
  <si>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</si>
  <si>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</si>
  <si>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</si>
  <si>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</si>
  <si>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</si>
  <si>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</si>
  <si>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</si>
  <si>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</si>
  <si>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</si>
  <si>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</si>
  <si>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</si>
  <si>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</si>
  <si>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</si>
  <si>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</si>
  <si>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</si>
  <si>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</si>
  <si>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</si>
  <si>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</si>
  <si>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</si>
  <si>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</si>
  <si>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</si>
  <si>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</si>
  <si>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</si>
  <si>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</si>
  <si>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</si>
  <si>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</si>
  <si>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</si>
  <si>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</si>
  <si>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</si>
  <si>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</si>
  <si>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</si>
  <si>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</si>
  <si>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</si>
  <si>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</si>
  <si>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</si>
  <si>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</si>
  <si>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</si>
  <si>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</si>
  <si>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</si>
  <si>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</si>
  <si>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</si>
  <si>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</si>
  <si>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</si>
  <si>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</si>
  <si>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</si>
  <si>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</si>
  <si>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</si>
  <si>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</si>
  <si>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</si>
  <si>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</si>
  <si>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</si>
  <si>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</si>
  <si>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</si>
  <si>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</si>
  <si>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</si>
  <si>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</si>
  <si>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</si>
  <si>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</si>
  <si>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</si>
  <si>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</si>
  <si>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</si>
  <si>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</si>
  <si>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</si>
  <si>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</si>
  <si>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</si>
  <si>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</si>
  <si>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</si>
  <si>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</si>
  <si>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</si>
  <si>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</si>
  <si>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</si>
  <si>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</si>
  <si>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</si>
  <si>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</si>
  <si>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</si>
  <si>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</si>
  <si>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</si>
  <si>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</si>
  <si>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</si>
  <si>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</si>
  <si>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</si>
  <si>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</si>
  <si>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</si>
  <si>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</si>
  <si>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</si>
  <si>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</si>
  <si>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</si>
  <si>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</si>
  <si>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</si>
  <si>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</si>
  <si>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</si>
  <si>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</si>
  <si>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</si>
  <si>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</si>
  <si>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</si>
  <si>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</si>
  <si>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</si>
  <si>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</si>
  <si>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</si>
  <si>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</si>
  <si>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</si>
  <si>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</si>
  <si>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</si>
  <si>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</si>
  <si>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</si>
  <si>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</si>
  <si>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</si>
  <si>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</si>
  <si>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</si>
  <si>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</si>
  <si>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</si>
  <si>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</si>
  <si>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</si>
  <si>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</si>
  <si>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</si>
  <si>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</si>
  <si>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</si>
  <si>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</si>
  <si>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</si>
  <si>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</si>
  <si>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</si>
  <si>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</si>
  <si>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</si>
  <si>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</si>
  <si>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</si>
  <si>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</si>
  <si>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</si>
  <si>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</si>
  <si>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</si>
  <si>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</si>
  <si>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</si>
  <si>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</si>
  <si>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</si>
  <si>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</si>
  <si>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</si>
  <si>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</si>
  <si>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</si>
  <si>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</si>
  <si>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</si>
  <si>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</si>
  <si>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</si>
  <si>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</si>
  <si>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</si>
  <si>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</si>
  <si>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</si>
  <si>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</si>
  <si>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</si>
  <si>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</si>
  <si>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</si>
  <si>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</si>
  <si>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</si>
  <si>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</si>
  <si>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</si>
  <si>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</si>
  <si>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</si>
  <si>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</si>
  <si>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</si>
  <si>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</si>
  <si>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</si>
  <si>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</si>
  <si>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</si>
  <si>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</si>
  <si>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</si>
  <si>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</si>
  <si>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</si>
  <si>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</si>
  <si>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</si>
  <si>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</si>
  <si>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</si>
  <si>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</si>
  <si>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</si>
  <si>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</si>
  <si>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</si>
  <si>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</si>
  <si>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</si>
  <si>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</si>
  <si>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</si>
  <si>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</si>
  <si>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</si>
  <si>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</si>
  <si>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</si>
  <si>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</si>
  <si>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</si>
  <si>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</si>
  <si>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</si>
  <si>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</si>
  <si>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</si>
  <si>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</si>
  <si>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</si>
  <si>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</si>
  <si>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</si>
  <si>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</si>
  <si>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</si>
  <si>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</si>
  <si>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</si>
  <si>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</si>
  <si>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</si>
  <si>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</si>
  <si>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</si>
  <si>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</si>
  <si>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</si>
  <si>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</si>
  <si>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</si>
  <si>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</si>
  <si>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</si>
  <si>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</si>
  <si>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</si>
  <si>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</si>
  <si>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</si>
  <si>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</si>
  <si>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</si>
  <si>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</si>
  <si>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</si>
  <si>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</si>
  <si>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</si>
  <si>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</si>
  <si>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</si>
  <si>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</si>
  <si>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</si>
  <si>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</si>
  <si>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</si>
  <si>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</si>
  <si>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</si>
  <si>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</si>
  <si>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</si>
  <si>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</si>
  <si>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</si>
  <si>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</si>
  <si>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</si>
  <si>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</si>
  <si>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</si>
  <si>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</si>
  <si>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</si>
  <si>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</si>
  <si>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</si>
  <si>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</si>
  <si>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</si>
  <si>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</si>
  <si>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</si>
  <si>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</si>
  <si>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</si>
  <si>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</si>
  <si>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</si>
  <si>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</si>
  <si>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</si>
  <si>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</si>
  <si>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</si>
  <si>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</si>
  <si>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</si>
  <si>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</si>
  <si>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</si>
  <si>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</si>
  <si>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</si>
  <si>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</si>
  <si>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</si>
  <si>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</si>
  <si>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</si>
  <si>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</si>
  <si>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</si>
  <si>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</si>
  <si>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</si>
  <si>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</si>
  <si>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</si>
  <si>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</si>
  <si>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</si>
  <si>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</si>
  <si>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</si>
  <si>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</si>
  <si>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</si>
  <si>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</si>
  <si>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</si>
  <si>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</si>
  <si>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</si>
  <si>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</si>
  <si>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</si>
  <si>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</si>
  <si>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</si>
  <si>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</si>
  <si>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</si>
  <si>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</si>
  <si>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</si>
  <si>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</si>
  <si>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</si>
  <si>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</si>
  <si>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</si>
  <si>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</si>
  <si>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</si>
  <si>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</si>
  <si>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</si>
  <si>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</si>
  <si>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</si>
  <si>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</si>
  <si>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</si>
  <si>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</si>
  <si>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</si>
  <si>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</si>
  <si>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</si>
  <si>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</si>
  <si>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</si>
  <si>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</si>
  <si>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</si>
  <si>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</si>
  <si>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</si>
  <si>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</si>
  <si>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</si>
  <si>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</si>
  <si>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</si>
  <si>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</si>
  <si>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</si>
  <si>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</si>
  <si>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</si>
  <si>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</si>
  <si>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</si>
  <si>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</si>
  <si>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</si>
  <si>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</si>
  <si>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</si>
  <si>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</si>
  <si>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</si>
  <si>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</si>
  <si>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</si>
  <si>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</si>
  <si>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</si>
  <si>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</si>
  <si>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</si>
  <si>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</si>
  <si>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</si>
  <si>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</si>
  <si>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</si>
  <si>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</si>
  <si>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</si>
  <si>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</si>
  <si>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</si>
  <si>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</si>
  <si>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</si>
  <si>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</si>
  <si>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</si>
  <si>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</si>
  <si>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</si>
  <si>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</si>
  <si>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</si>
  <si>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</si>
  <si>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</si>
  <si>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</si>
  <si>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</si>
  <si>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</si>
  <si>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</si>
  <si>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</si>
  <si>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</si>
  <si>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</si>
  <si>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</si>
  <si>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</si>
  <si>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</si>
  <si>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</si>
  <si>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</si>
  <si>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</si>
  <si>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</si>
  <si>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</si>
  <si>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</si>
  <si>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</si>
  <si>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</si>
  <si>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</si>
  <si>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</si>
  <si>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</si>
  <si>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</si>
  <si>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</si>
  <si>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</si>
  <si>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</si>
  <si>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</si>
  <si>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</si>
  <si>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</si>
  <si>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</si>
  <si>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</si>
  <si>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</si>
  <si>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</si>
  <si>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</si>
  <si>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</si>
  <si>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</si>
  <si>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</si>
  <si>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</si>
  <si>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</si>
  <si>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</si>
  <si>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</si>
  <si>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</si>
  <si>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</si>
  <si>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</si>
  <si>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</si>
  <si>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</si>
  <si>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</si>
  <si>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</si>
  <si>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</si>
  <si>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</si>
  <si>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</si>
  <si>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</si>
  <si>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</si>
  <si>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</si>
  <si>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</si>
  <si>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</si>
  <si>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</si>
  <si>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</si>
  <si>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</si>
  <si>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</si>
  <si>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</si>
  <si>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</si>
  <si>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</si>
  <si>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</si>
  <si>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</si>
  <si>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</si>
  <si>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</si>
  <si>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</si>
  <si>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</si>
  <si>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</si>
  <si>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</si>
  <si>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</si>
  <si>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</si>
  <si>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</si>
  <si>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</si>
  <si>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</si>
  <si>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</si>
  <si>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</si>
  <si>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</si>
  <si>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</si>
  <si>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</si>
  <si>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</si>
  <si>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</si>
  <si>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</si>
  <si>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</si>
  <si>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</si>
  <si>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</si>
  <si>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</si>
  <si>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</si>
  <si>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</si>
  <si>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</si>
  <si>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</si>
  <si>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</si>
  <si>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</si>
  <si>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</si>
  <si>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</si>
  <si>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</si>
  <si>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</si>
  <si>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</si>
  <si>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</si>
  <si>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</si>
  <si>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</si>
  <si>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</si>
  <si>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</si>
  <si>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</si>
  <si>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</si>
  <si>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</si>
  <si>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</si>
  <si>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</si>
  <si>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</si>
  <si>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</si>
  <si>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</si>
  <si>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</si>
  <si>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</si>
  <si>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楼面单价</t>
  </si>
  <si>
    <t>商业</t>
  </si>
  <si>
    <t>无租约</t>
  </si>
  <si>
    <t>万元</t>
  </si>
  <si>
    <t>利息：取LPR加浮动点数</t>
  </si>
  <si>
    <t>钢混</t>
  </si>
  <si>
    <t>非生产用房</t>
  </si>
  <si>
    <t>是</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</si>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</sst>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228190</xdr:colOff>
      <xdr:row>29</xdr:row>
      <xdr:rowOff>134575</xdr:rowOff>
    </xdr:to>
    <xdr:pic>
      <xdr:nvPicPr>
        <xdr:cNvPr id="2" name="图片 1">
          <a:extLst>
            <a:ext uri="{FF2B5EF4-FFF2-40B4-BE49-F238E27FC236}">
              <a16:creationId xmlns:a16="http://schemas.microsoft.com/office/drawing/2014/main" id="{30934083-C435-9F40-833E-B004F5D6BE09}"/>
            </a:ext>
          </a:extLst>
        </xdr:cNvPr>
        <xdr:cNvPicPr>
          <a:picLocks noChangeAspect="1"/>
        </xdr:cNvPicPr>
      </xdr:nvPicPr>
      <xdr:blipFill>
        <a:blip xmlns:r="http://schemas.openxmlformats.org/officeDocument/2006/relationships" r:embed="rId1"/>
        <a:stretch>
          <a:fillRect/>
        </a:stretch>
      </xdr:blipFill>
      <xdr:spPr>
        <a:xfrm>
          <a:off x="0" y="0"/>
          <a:ext cx="3276190"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0043;&#26143;&#20140;&#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20142</v>
          </cell>
          <cell r="U2">
            <v>1084.5</v>
          </cell>
        </row>
        <row r="3">
          <cell r="T3">
            <v>15876</v>
          </cell>
          <cell r="U3">
            <v>1478.42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估价对象为北京市房地产，为XX所有。根据《》[]，估价对象建筑面积为2562.92平方米。根据《》[]，估价对象（分摊）出让国有建设用地使用权面积为平方米。估价对象用途为。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2022年11月21日</v>
      </c>
    </row>
    <row r="10" spans="1:2">
      <c r="A10" s="1084" t="s">
        <v>865</v>
      </c>
      <c r="B10" s="1071" t="str">
        <f>'预评函-1'!A13</f>
        <v>本次估价的“房地产价值”是指在正常市场情况下，在价值时点2022年11月21日，估价对象规划用途为，假定未设立法定优先受偿款下的房地产市场价值。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2562.92</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8"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8" thickTop="1">
      <c r="A2" s="1280" t="s">
        <v>1290</v>
      </c>
      <c r="B2" s="2331"/>
      <c r="C2" s="2603" t="s">
        <v>1291</v>
      </c>
      <c r="D2" s="2331">
        <v>44886</v>
      </c>
      <c r="E2" s="747"/>
      <c r="F2" s="747"/>
      <c r="G2" s="1066"/>
      <c r="H2" s="28"/>
    </row>
    <row r="3" spans="1:17" ht="13.8"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t="s">
        <v>3031</v>
      </c>
      <c r="E4" s="747"/>
      <c r="F4" s="747"/>
      <c r="G4" s="1066"/>
    </row>
    <row r="5" spans="1:17" ht="24">
      <c r="A5" s="1283" t="s">
        <v>1295</v>
      </c>
      <c r="B5" s="1284" t="s">
        <v>2480</v>
      </c>
      <c r="C5" s="2605" t="s">
        <v>1296</v>
      </c>
      <c r="D5" s="1285" t="s">
        <v>3032</v>
      </c>
      <c r="E5" s="2606" t="s">
        <v>1297</v>
      </c>
      <c r="F5" s="1285" t="s">
        <v>3032</v>
      </c>
      <c r="G5" s="1286"/>
      <c r="I5" s="1313" t="str">
        <f>IF(C16="否","截至估价时点，估价对象抵押权未见登记。","截至价值时点，估价对象已设定抵押。")</f>
        <v>截至价值时点，估价对象已设定抵押。</v>
      </c>
      <c r="J5" s="724"/>
      <c r="K5" s="2625"/>
      <c r="L5" s="2625"/>
      <c r="M5" s="2625"/>
      <c r="N5" s="724"/>
      <c r="O5" s="724"/>
      <c r="P5" s="724"/>
      <c r="Q5" s="724"/>
    </row>
    <row r="6" spans="1:17">
      <c r="A6" s="2607" t="s">
        <v>1298</v>
      </c>
      <c r="B6" s="2335" t="s">
        <v>3033</v>
      </c>
      <c r="C6" s="2336" t="s">
        <v>2481</v>
      </c>
      <c r="D6" s="2337" t="s">
        <v>1299</v>
      </c>
      <c r="E6" s="724"/>
      <c r="F6" s="724"/>
      <c r="G6" s="753"/>
      <c r="I6" s="724" t="str">
        <f>IF(COUNTIF(B5,"*上海银行*"),"上海银行","")</f>
        <v/>
      </c>
      <c r="J6" s="724"/>
      <c r="K6" s="2625"/>
      <c r="L6" s="2625"/>
      <c r="M6" s="2625"/>
      <c r="N6" s="724"/>
      <c r="O6" s="724"/>
      <c r="P6" s="724"/>
      <c r="Q6" s="724"/>
    </row>
    <row r="7" spans="1:17" ht="13.8" thickBot="1">
      <c r="A7" s="2608" t="s">
        <v>1300</v>
      </c>
      <c r="B7" s="2338" t="s">
        <v>3034</v>
      </c>
      <c r="C7" s="1369" t="str">
        <f>IF(B7="自然人","姓名","名称")</f>
        <v>名称</v>
      </c>
      <c r="D7" s="1290" t="s">
        <v>2480</v>
      </c>
      <c r="E7" s="748"/>
      <c r="F7" s="748"/>
      <c r="G7" s="1067"/>
    </row>
    <row r="8" spans="1:17" ht="13.8" thickTop="1">
      <c r="A8" s="3110" t="s">
        <v>1301</v>
      </c>
      <c r="B8" s="1291" t="s">
        <v>1302</v>
      </c>
      <c r="C8" s="3123"/>
      <c r="D8" s="3124"/>
      <c r="E8" s="2339" t="s">
        <v>1303</v>
      </c>
      <c r="F8" s="2340" t="s">
        <v>1304</v>
      </c>
      <c r="G8" s="2341" t="str">
        <f>C6</f>
        <v>XX</v>
      </c>
    </row>
    <row r="9" spans="1:17" ht="26.4">
      <c r="A9" s="3110"/>
      <c r="B9" s="255" t="s">
        <v>1305</v>
      </c>
      <c r="C9" s="1284"/>
      <c r="D9" s="1292" t="s">
        <v>3035</v>
      </c>
      <c r="E9" s="2609" t="s">
        <v>1306</v>
      </c>
      <c r="F9" s="2342"/>
      <c r="G9" s="2343"/>
    </row>
    <row r="10" spans="1:17" ht="13.8" thickBot="1">
      <c r="A10" s="3110"/>
      <c r="B10" s="255" t="s">
        <v>1307</v>
      </c>
      <c r="C10" s="3125"/>
      <c r="D10" s="3126"/>
      <c r="E10" s="2610" t="s">
        <v>1308</v>
      </c>
      <c r="F10" s="2344"/>
      <c r="G10" s="2345"/>
    </row>
    <row r="11" spans="1:17" ht="13.8" thickBot="1">
      <c r="A11" s="3110"/>
      <c r="B11" s="1294" t="s">
        <v>1309</v>
      </c>
      <c r="C11" s="3127"/>
      <c r="D11" s="3128"/>
      <c r="E11" s="724"/>
      <c r="F11" s="724"/>
      <c r="G11" s="753"/>
    </row>
    <row r="12" spans="1:17" ht="13.8" thickBot="1">
      <c r="A12" s="3114" t="s">
        <v>2587</v>
      </c>
      <c r="B12" s="2611" t="s">
        <v>1310</v>
      </c>
      <c r="C12" s="732">
        <f>741.01+737.41+1084.5</f>
        <v>2562.92</v>
      </c>
      <c r="D12" s="1295" t="s">
        <v>1311</v>
      </c>
      <c r="E12" s="1296"/>
      <c r="F12" s="1297"/>
      <c r="G12" s="753"/>
    </row>
    <row r="13" spans="1:17" ht="21" customHeight="1" thickBot="1">
      <c r="A13" s="3115"/>
      <c r="B13" s="2612" t="s">
        <v>1312</v>
      </c>
      <c r="C13" s="733"/>
      <c r="D13" s="1298" t="s">
        <v>1313</v>
      </c>
      <c r="E13" s="1299"/>
      <c r="F13" s="724"/>
      <c r="G13" s="753"/>
      <c r="I13" s="3133"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8" thickBot="1">
      <c r="A14" s="2346"/>
      <c r="B14" s="1295" t="s">
        <v>2588</v>
      </c>
      <c r="C14" s="2347"/>
      <c r="D14" s="724"/>
      <c r="E14" s="724"/>
      <c r="F14" s="724"/>
      <c r="G14" s="753"/>
      <c r="I14" s="3133"/>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5"/>
      <c r="L14" s="2625"/>
      <c r="M14" s="2625"/>
      <c r="N14" s="724"/>
      <c r="O14" s="724"/>
      <c r="P14" s="724"/>
      <c r="Q14" s="724"/>
    </row>
    <row r="15" spans="1:17" ht="13.8" thickBot="1">
      <c r="A15" s="2348"/>
      <c r="B15" s="2613" t="s">
        <v>1315</v>
      </c>
      <c r="C15" s="749"/>
      <c r="D15" s="748"/>
      <c r="E15" s="748"/>
      <c r="F15" s="748"/>
      <c r="G15" s="1067"/>
      <c r="I15" s="3133"/>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2" thickTop="1" thickBot="1">
      <c r="A16" s="2346" t="s">
        <v>1316</v>
      </c>
      <c r="B16" s="1300" t="s">
        <v>1317</v>
      </c>
      <c r="C16" s="2349"/>
      <c r="D16" s="1293" t="s">
        <v>1318</v>
      </c>
      <c r="E16" s="2350"/>
      <c r="F16" s="1301" t="str">
        <f>IF(AND(C16="是",E16="否"),"是否提供他项权证或相关说明","")</f>
        <v/>
      </c>
      <c r="G16" s="2350"/>
      <c r="J16" s="28"/>
    </row>
    <row r="17" spans="1:66" ht="13.5" customHeight="1">
      <c r="A17" s="1307" t="s">
        <v>1319</v>
      </c>
      <c r="B17" s="3129" t="s">
        <v>1320</v>
      </c>
      <c r="C17" s="3130"/>
      <c r="D17" s="3131" t="s">
        <v>1321</v>
      </c>
      <c r="E17" s="3132"/>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7"/>
      <c r="L23" s="2617"/>
      <c r="M23" s="2617"/>
      <c r="N23" s="2617"/>
      <c r="O23" s="2617"/>
      <c r="P23" s="2617"/>
    </row>
    <row r="24" spans="1:66" s="2614" customFormat="1" ht="18" customHeight="1" thickBot="1">
      <c r="A24" s="3142" t="s">
        <v>2586</v>
      </c>
      <c r="B24" s="3142"/>
      <c r="C24" s="3142"/>
      <c r="D24" s="3142"/>
      <c r="E24" s="3142"/>
      <c r="F24" s="3142"/>
      <c r="G24" s="3142"/>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4" thickTop="1" thickBot="1">
      <c r="A25" s="751" t="s">
        <v>1330</v>
      </c>
      <c r="B25" s="724"/>
      <c r="C25" s="724"/>
      <c r="D25" s="724"/>
      <c r="E25" s="724"/>
      <c r="F25" s="724"/>
      <c r="G25" s="1187"/>
      <c r="K25" s="2615"/>
    </row>
    <row r="26" spans="1:66" s="758" customFormat="1" ht="13.8"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8"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17" t="s">
        <v>1334</v>
      </c>
      <c r="D28" s="3118"/>
      <c r="E28" s="725"/>
      <c r="F28" s="727" t="s">
        <v>1334</v>
      </c>
      <c r="G28" s="725"/>
      <c r="K28" s="2615"/>
    </row>
    <row r="29" spans="1:66">
      <c r="A29" s="728" t="s">
        <v>1335</v>
      </c>
      <c r="B29" s="722"/>
      <c r="C29" s="3119" t="s">
        <v>1336</v>
      </c>
      <c r="D29" s="3120"/>
      <c r="E29" s="722"/>
      <c r="F29" s="728" t="s">
        <v>1336</v>
      </c>
      <c r="G29" s="722"/>
      <c r="K29" s="2615"/>
    </row>
    <row r="30" spans="1:66">
      <c r="A30" s="728" t="s">
        <v>1337</v>
      </c>
      <c r="B30" s="722"/>
      <c r="C30" s="3119" t="s">
        <v>1337</v>
      </c>
      <c r="D30" s="3120"/>
      <c r="E30" s="722"/>
      <c r="F30" s="728" t="s">
        <v>1338</v>
      </c>
      <c r="G30" s="722"/>
      <c r="K30" s="2615"/>
    </row>
    <row r="31" spans="1:66">
      <c r="A31" s="728" t="s">
        <v>1339</v>
      </c>
      <c r="B31" s="722"/>
      <c r="C31" s="3139" t="s">
        <v>1340</v>
      </c>
      <c r="D31" s="724"/>
      <c r="E31" s="2362" t="str">
        <f>E32&amp;" "&amp;E33&amp;" "&amp;E34&amp;" "&amp;E35</f>
        <v xml:space="preserve">   </v>
      </c>
      <c r="F31" s="728" t="s">
        <v>1341</v>
      </c>
      <c r="G31" s="722"/>
    </row>
    <row r="32" spans="1:66">
      <c r="A32" s="728" t="s">
        <v>1342</v>
      </c>
      <c r="B32" s="722"/>
      <c r="C32" s="3140"/>
      <c r="D32" s="255" t="s">
        <v>1343</v>
      </c>
      <c r="E32" s="722"/>
      <c r="F32" s="728" t="s">
        <v>1344</v>
      </c>
      <c r="G32" s="722"/>
    </row>
    <row r="33" spans="1:7" ht="24.6" thickBot="1">
      <c r="A33" s="729" t="s">
        <v>1345</v>
      </c>
      <c r="B33" s="726"/>
      <c r="C33" s="3140"/>
      <c r="D33" s="255" t="s">
        <v>1346</v>
      </c>
      <c r="E33" s="722"/>
      <c r="F33" s="728" t="s">
        <v>1347</v>
      </c>
      <c r="G33" s="722"/>
    </row>
    <row r="34" spans="1:7">
      <c r="A34" s="727" t="s">
        <v>1348</v>
      </c>
      <c r="B34" s="725"/>
      <c r="C34" s="3140"/>
      <c r="D34" s="255" t="s">
        <v>1349</v>
      </c>
      <c r="E34" s="722"/>
      <c r="F34" s="728" t="s">
        <v>1350</v>
      </c>
      <c r="G34" s="722"/>
    </row>
    <row r="35" spans="1:7" ht="13.8" thickBot="1">
      <c r="A35" s="728" t="s">
        <v>1351</v>
      </c>
      <c r="B35" s="722"/>
      <c r="C35" s="3141"/>
      <c r="D35" s="255" t="s">
        <v>1352</v>
      </c>
      <c r="E35" s="722"/>
      <c r="F35" s="729" t="s">
        <v>1353</v>
      </c>
      <c r="G35" s="2363"/>
    </row>
    <row r="36" spans="1:7">
      <c r="A36" s="728" t="s">
        <v>1310</v>
      </c>
      <c r="B36" s="722"/>
      <c r="C36" s="3119" t="s">
        <v>1354</v>
      </c>
      <c r="D36" s="3120"/>
      <c r="E36" s="722"/>
      <c r="F36" s="2364" t="s">
        <v>1355</v>
      </c>
      <c r="G36" s="725"/>
    </row>
    <row r="37" spans="1:7" ht="24.6" thickBot="1">
      <c r="A37" s="728" t="s">
        <v>1356</v>
      </c>
      <c r="B37" s="722"/>
      <c r="C37" s="3121" t="s">
        <v>1357</v>
      </c>
      <c r="D37" s="3122"/>
      <c r="E37" s="726"/>
      <c r="F37" s="1314" t="s">
        <v>1358</v>
      </c>
      <c r="G37" s="722"/>
    </row>
    <row r="38" spans="1:7" ht="13.8" thickBot="1">
      <c r="A38" s="728" t="s">
        <v>1359</v>
      </c>
      <c r="B38" s="722"/>
      <c r="C38" s="3111" t="s">
        <v>1360</v>
      </c>
      <c r="D38" s="1295" t="s">
        <v>1344</v>
      </c>
      <c r="E38" s="725"/>
      <c r="F38" s="729" t="s">
        <v>1361</v>
      </c>
      <c r="G38" s="726"/>
    </row>
    <row r="39" spans="1:7">
      <c r="A39" s="728" t="s">
        <v>1362</v>
      </c>
      <c r="B39" s="722"/>
      <c r="C39" s="3112"/>
      <c r="D39" s="255" t="s">
        <v>1351</v>
      </c>
      <c r="E39" s="722"/>
      <c r="F39" s="727" t="s">
        <v>1363</v>
      </c>
      <c r="G39" s="725"/>
    </row>
    <row r="40" spans="1:7">
      <c r="A40" s="728" t="s">
        <v>1364</v>
      </c>
      <c r="B40" s="722"/>
      <c r="C40" s="3112" t="s">
        <v>1365</v>
      </c>
      <c r="D40" s="255" t="s">
        <v>1310</v>
      </c>
      <c r="E40" s="722"/>
      <c r="F40" s="728" t="s">
        <v>1366</v>
      </c>
      <c r="G40" s="722"/>
    </row>
    <row r="41" spans="1:7" ht="24.75" customHeight="1" thickBot="1">
      <c r="A41" s="729" t="s">
        <v>1367</v>
      </c>
      <c r="B41" s="726"/>
      <c r="C41" s="3113"/>
      <c r="D41" s="1298" t="s">
        <v>1312</v>
      </c>
      <c r="E41" s="726"/>
      <c r="F41" s="729" t="s">
        <v>1368</v>
      </c>
      <c r="G41" s="726"/>
    </row>
    <row r="42" spans="1:7" ht="24">
      <c r="A42" s="730" t="s">
        <v>1369</v>
      </c>
      <c r="B42" s="2365"/>
      <c r="C42" s="3134" t="s">
        <v>1369</v>
      </c>
      <c r="D42" s="3135"/>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8" thickBot="1">
      <c r="A49" s="729" t="s">
        <v>1372</v>
      </c>
      <c r="B49" s="726"/>
      <c r="C49" s="3136" t="s">
        <v>1372</v>
      </c>
      <c r="D49" s="3137"/>
      <c r="E49" s="743"/>
      <c r="F49" s="729" t="s">
        <v>1373</v>
      </c>
      <c r="G49" s="726"/>
    </row>
    <row r="50" spans="1:66">
      <c r="A50" s="728" t="s">
        <v>1374</v>
      </c>
      <c r="B50" s="742"/>
      <c r="C50" s="3111" t="s">
        <v>1375</v>
      </c>
      <c r="D50" s="3138"/>
      <c r="E50" s="2367"/>
      <c r="F50" s="759"/>
      <c r="G50" s="760"/>
    </row>
    <row r="51" spans="1:66" ht="13.8" thickBot="1">
      <c r="A51" s="728" t="s">
        <v>1376</v>
      </c>
      <c r="B51" s="742"/>
      <c r="C51" s="3113" t="s">
        <v>1377</v>
      </c>
      <c r="D51" s="3116"/>
      <c r="E51" s="726"/>
      <c r="F51" s="724"/>
      <c r="G51" s="753"/>
    </row>
    <row r="52" spans="1:66">
      <c r="A52" s="728" t="s">
        <v>1355</v>
      </c>
      <c r="B52" s="722"/>
      <c r="C52" s="724"/>
      <c r="D52" s="724"/>
      <c r="E52" s="724"/>
      <c r="F52" s="724"/>
      <c r="G52" s="753"/>
    </row>
    <row r="53" spans="1:66" ht="24.6"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3" t="s">
        <v>0</v>
      </c>
      <c r="B1" s="3143" t="s">
        <v>2</v>
      </c>
      <c r="C1" s="3143" t="s">
        <v>3</v>
      </c>
      <c r="D1" s="3144" t="s">
        <v>67</v>
      </c>
      <c r="E1" s="3144" t="s">
        <v>68</v>
      </c>
      <c r="F1" s="3144"/>
      <c r="G1" s="3144"/>
      <c r="H1" s="3144"/>
      <c r="I1" s="3144"/>
      <c r="J1" s="3144"/>
      <c r="K1" s="3144"/>
      <c r="L1" s="3144"/>
      <c r="M1" s="3144"/>
    </row>
    <row r="2" spans="1:13" ht="27" customHeight="1">
      <c r="A2" s="3143"/>
      <c r="B2" s="3143"/>
      <c r="C2" s="3143"/>
      <c r="D2" s="3144"/>
      <c r="E2" s="3144" t="s">
        <v>51</v>
      </c>
      <c r="F2" s="3144" t="s">
        <v>52</v>
      </c>
      <c r="G2" s="3144"/>
      <c r="H2" s="3144"/>
      <c r="I2" s="3144"/>
      <c r="J2" s="3144" t="s">
        <v>53</v>
      </c>
      <c r="K2" s="3144"/>
      <c r="L2" s="3144"/>
      <c r="M2" s="3144"/>
    </row>
    <row r="3" spans="1:13" ht="46.8">
      <c r="A3" s="3143"/>
      <c r="B3" s="3143"/>
      <c r="C3" s="3143"/>
      <c r="D3" s="3144"/>
      <c r="E3" s="314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4" t="s">
        <v>69</v>
      </c>
      <c r="B9" s="3144"/>
      <c r="C9" s="31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F35" sqref="F35"/>
    </sheetView>
  </sheetViews>
  <sheetFormatPr defaultColWidth="13.77734375" defaultRowHeight="13.2"/>
  <cols>
    <col min="1" max="1" width="20.88671875" style="1339" customWidth="1"/>
    <col min="2" max="2" width="16.77734375" style="2369" customWidth="1"/>
    <col min="3" max="3" width="18.21875" style="2369" customWidth="1"/>
    <col min="4" max="4" width="34.109375" style="2419" customWidth="1"/>
    <col min="5" max="5" width="17.6640625" style="2419" customWidth="1"/>
    <col min="6" max="6" width="15.44140625" style="2368" customWidth="1"/>
    <col min="7" max="8" width="9.109375" style="2419" customWidth="1"/>
    <col min="9" max="9" width="15" style="2369" bestFit="1" customWidth="1"/>
    <col min="10" max="14" width="8.88671875" style="2369" customWidth="1"/>
    <col min="15" max="16" width="12.33203125" style="2369" customWidth="1"/>
    <col min="17" max="17" width="8.6640625" style="2369" customWidth="1"/>
    <col min="18" max="18" width="12.44140625" style="2369" customWidth="1"/>
    <col min="19" max="19" width="8.44140625" style="2369" customWidth="1"/>
    <col min="20" max="21" width="10.88671875" style="2369" customWidth="1"/>
    <col min="22" max="23" width="12.44140625" style="2369" customWidth="1"/>
    <col min="24" max="24" width="12.109375" style="2369" customWidth="1"/>
    <col min="25" max="25" width="7.44140625" style="2369" customWidth="1"/>
    <col min="26" max="26" width="6.33203125" style="2369" customWidth="1"/>
    <col min="27" max="32" width="6.77734375" style="2369" customWidth="1"/>
    <col min="33" max="33" width="6.44140625" style="2369" customWidth="1"/>
    <col min="34" max="36" width="7.21875" style="2369" customWidth="1"/>
    <col min="37" max="41" width="8" style="2369" customWidth="1"/>
    <col min="42" max="16384" width="13.77734375" style="2369"/>
  </cols>
  <sheetData>
    <row r="1" spans="1:41" ht="18" thickBot="1">
      <c r="A1" s="2626" t="s">
        <v>1379</v>
      </c>
      <c r="B1" s="862"/>
      <c r="D1" s="2368"/>
      <c r="E1" s="2368"/>
    </row>
    <row r="2" spans="1:41" s="1520" customFormat="1" ht="15" thickBot="1">
      <c r="A2" s="2627" t="s">
        <v>1380</v>
      </c>
      <c r="B2" s="2628">
        <f>项目基本情况!D2</f>
        <v>44886</v>
      </c>
      <c r="D2" s="3145" t="s">
        <v>1381</v>
      </c>
      <c r="E2" s="2370"/>
      <c r="F2" s="2371"/>
      <c r="G2" s="2672"/>
      <c r="H2" s="2672"/>
    </row>
    <row r="3" spans="1:41" s="1520" customFormat="1" ht="15" customHeight="1" thickBot="1">
      <c r="A3" s="2374" t="s">
        <v>1382</v>
      </c>
      <c r="B3" s="2372" t="s">
        <v>3039</v>
      </c>
      <c r="D3" s="3146"/>
      <c r="E3" s="2373"/>
      <c r="F3" s="2371"/>
      <c r="G3" s="2672"/>
      <c r="H3" s="2672"/>
    </row>
    <row r="4" spans="1:41" s="1520" customFormat="1" ht="15" thickBot="1">
      <c r="A4" s="2376" t="s">
        <v>1383</v>
      </c>
      <c r="B4" s="2372" t="s">
        <v>3036</v>
      </c>
      <c r="D4" s="3146"/>
      <c r="E4" s="2373"/>
      <c r="F4" s="2371"/>
      <c r="G4" s="2672"/>
      <c r="H4" s="2672"/>
    </row>
    <row r="5" spans="1:41" s="1520" customFormat="1" ht="15" thickBot="1">
      <c r="A5" s="2374" t="s">
        <v>1384</v>
      </c>
      <c r="B5" s="2375">
        <f>项目基本情况!C12</f>
        <v>2562.92</v>
      </c>
      <c r="D5" s="2629" t="s">
        <v>1385</v>
      </c>
      <c r="E5" s="1277"/>
      <c r="F5" s="2371"/>
      <c r="G5" s="2672"/>
      <c r="H5" s="2672"/>
    </row>
    <row r="6" spans="1:41" s="1520" customFormat="1" ht="15" thickBot="1">
      <c r="A6" s="2376" t="s">
        <v>1386</v>
      </c>
      <c r="B6" s="2377">
        <f>项目基本情况!C13</f>
        <v>0</v>
      </c>
      <c r="D6" s="2629" t="s">
        <v>1387</v>
      </c>
      <c r="E6" s="1277"/>
      <c r="F6" s="2371"/>
      <c r="G6" s="2672"/>
      <c r="H6" s="2672"/>
    </row>
    <row r="7" spans="1:41" s="1520" customFormat="1" ht="14.4" thickBot="1">
      <c r="A7" s="2673"/>
      <c r="D7" s="2674"/>
      <c r="E7" s="2674"/>
      <c r="F7" s="2672"/>
      <c r="G7" s="2672"/>
      <c r="H7" s="2672"/>
    </row>
    <row r="8" spans="1:41" s="1520" customFormat="1" ht="13.8"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3037</v>
      </c>
      <c r="D10" s="2627" t="s">
        <v>1389</v>
      </c>
      <c r="E10" s="2631" t="s">
        <v>1390</v>
      </c>
      <c r="F10" s="2772" t="s">
        <v>2596</v>
      </c>
    </row>
    <row r="11" spans="1:41" s="1865" customFormat="1" ht="14.4">
      <c r="A11" s="2632" t="s">
        <v>1391</v>
      </c>
      <c r="B11" s="2381">
        <v>40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c r="D12" s="2634" t="s">
        <v>1395</v>
      </c>
      <c r="E12" s="2384">
        <v>200</v>
      </c>
      <c r="F12" s="1180"/>
    </row>
    <row r="13" spans="1:41" s="1520" customFormat="1" ht="15" thickBot="1">
      <c r="A13" s="2635" t="s">
        <v>1396</v>
      </c>
      <c r="B13" s="2636">
        <f>IF(B12="",B11-(YEAR($B$2)-B27+B24),ROUNDDOWN(MIN((B12-$B$2)/365,B11),2))</f>
        <v>37</v>
      </c>
      <c r="C13" s="2671"/>
      <c r="D13" s="2637" t="s">
        <v>1397</v>
      </c>
      <c r="E13" s="2385">
        <f>ROUND(E12*B5/10000,0)</f>
        <v>51</v>
      </c>
      <c r="F13" s="1179" t="s">
        <v>1398</v>
      </c>
    </row>
    <row r="14" spans="1:41" s="1520" customFormat="1" ht="14.4">
      <c r="A14" s="2634" t="s">
        <v>1399</v>
      </c>
      <c r="B14" s="2638">
        <f>IF(ISERROR(ROUND(POWER(1+B15,B11-B13)*(POWER(1+B15,B13)-1)/(POWER(1+B15,B11)-1),3)),0,ROUND(POWER(1+B15,B11-B13)*(POWER(1+B15,B13)-1)/(POWER(1+B15,B11)-1),3))</f>
        <v>0.97399999999999998</v>
      </c>
      <c r="D14" s="2639" t="s">
        <v>1400</v>
      </c>
      <c r="E14" s="2386">
        <v>200</v>
      </c>
      <c r="F14" s="1180"/>
    </row>
    <row r="15" spans="1:41" s="1520" customFormat="1" ht="14.4">
      <c r="A15" s="2634" t="s">
        <v>1401</v>
      </c>
      <c r="B15" s="2387">
        <v>0.05</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c r="D18" s="2643" t="str">
        <f>IF(B26=0,"建安总额","在建建安")</f>
        <v>建安总额</v>
      </c>
      <c r="E18" s="2644">
        <f>ROUND(B5*E17*IF(B26=0,1,E20),0)</f>
        <v>10251680</v>
      </c>
      <c r="F18" s="2390">
        <f>ROUND(E5*E17*IF(B26=0,1,E20),0)</f>
        <v>0</v>
      </c>
    </row>
    <row r="19" spans="1:14" s="1520" customFormat="1" ht="14.4"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ROUND(1-(2022-B27)/60,2)</f>
        <v>0.98</v>
      </c>
      <c r="F20" s="862"/>
    </row>
    <row r="21" spans="1:14" s="1520" customFormat="1" ht="14.4">
      <c r="A21" s="2646" t="s">
        <v>1408</v>
      </c>
      <c r="B21" s="2391"/>
      <c r="D21" s="2634" t="s">
        <v>1410</v>
      </c>
      <c r="E21" s="2394">
        <v>0.03</v>
      </c>
      <c r="F21" s="2405" t="s">
        <v>2605</v>
      </c>
    </row>
    <row r="22" spans="1:14" s="1520" customFormat="1" ht="14.4">
      <c r="A22" s="2648" t="s">
        <v>1409</v>
      </c>
      <c r="B22" s="2393">
        <v>2</v>
      </c>
      <c r="D22" s="2634" t="s">
        <v>1412</v>
      </c>
      <c r="E22" s="2397">
        <v>0</v>
      </c>
      <c r="F22" s="2405" t="s">
        <v>2603</v>
      </c>
    </row>
    <row r="23" spans="1:14" s="1520" customFormat="1" ht="14.4">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4">
      <c r="A25" s="2652" t="s">
        <v>1415</v>
      </c>
      <c r="B25" s="2653">
        <f>B21+B23</f>
        <v>2</v>
      </c>
      <c r="C25" s="1520"/>
      <c r="D25" s="2633" t="s">
        <v>1418</v>
      </c>
      <c r="E25" s="2394">
        <v>0.02</v>
      </c>
      <c r="F25" s="2405" t="s">
        <v>2604</v>
      </c>
      <c r="I25" s="2419"/>
    </row>
    <row r="26" spans="1:14" ht="15" thickBot="1">
      <c r="A26" s="2650" t="s">
        <v>1417</v>
      </c>
      <c r="B26" s="2654">
        <f>B22-B23</f>
        <v>0</v>
      </c>
      <c r="D26" s="2634" t="s">
        <v>1420</v>
      </c>
      <c r="E26" s="2397">
        <v>0.02</v>
      </c>
      <c r="F26" s="2405" t="s">
        <v>2604</v>
      </c>
      <c r="G26" s="2672"/>
      <c r="H26" s="2672"/>
      <c r="I26" s="1520"/>
      <c r="J26" s="1520"/>
      <c r="K26" s="1520"/>
      <c r="L26" s="1520"/>
      <c r="M26" s="1520"/>
      <c r="N26" s="1520"/>
    </row>
    <row r="27" spans="1:14" ht="15" thickBot="1">
      <c r="A27" s="2655" t="s">
        <v>1419</v>
      </c>
      <c r="B27" s="2399">
        <v>2021</v>
      </c>
      <c r="C27" s="1520"/>
      <c r="D27" s="2820" t="s">
        <v>3040</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0.15</v>
      </c>
      <c r="G28" s="2672"/>
      <c r="H28" s="2672"/>
      <c r="K28" s="1520"/>
      <c r="N28" s="1520"/>
    </row>
    <row r="29" spans="1:14" ht="14.4">
      <c r="A29" s="2657" t="s">
        <v>1421</v>
      </c>
      <c r="B29" s="2400" t="s">
        <v>3038</v>
      </c>
      <c r="D29" s="2639" t="s">
        <v>1423</v>
      </c>
      <c r="E29" s="2658">
        <f>E30+E31</f>
        <v>5.6000000000000001E-2</v>
      </c>
      <c r="F29" s="1179"/>
      <c r="G29" s="2672"/>
      <c r="H29" s="2672"/>
      <c r="K29" s="1520"/>
      <c r="N29" s="1520"/>
    </row>
    <row r="30" spans="1:14" ht="14.4">
      <c r="A30" s="2634" t="str">
        <f>IF(B29="租赁期内按合同租金","合同租金","市场租金")</f>
        <v>市场租金</v>
      </c>
      <c r="B30" s="2402">
        <v>3</v>
      </c>
      <c r="D30" s="2641" t="s">
        <v>1425</v>
      </c>
      <c r="E30" s="2403">
        <v>0.05</v>
      </c>
      <c r="F30" s="2660">
        <f>IF(B2&lt;DATE(2016,5,1),0,E30)</f>
        <v>0.05</v>
      </c>
      <c r="G30" s="2672"/>
      <c r="H30" s="2672"/>
      <c r="K30" s="1520"/>
      <c r="N30" s="1520"/>
    </row>
    <row r="31" spans="1:14" ht="14.4">
      <c r="A31" s="2634" t="s">
        <v>1424</v>
      </c>
      <c r="B31" s="2659">
        <f ca="1">存贷款利率!I1</f>
        <v>1.4999999999999999E-2</v>
      </c>
      <c r="D31" s="2641" t="s">
        <v>1427</v>
      </c>
      <c r="E31" s="2661">
        <f>E30*(E32+E33+E34)+E35</f>
        <v>6.000000000000001E-3</v>
      </c>
      <c r="F31" s="1179"/>
      <c r="G31" s="2672"/>
      <c r="H31" s="2672"/>
      <c r="K31" s="1520"/>
      <c r="N31" s="1520"/>
    </row>
    <row r="32" spans="1:14" ht="14.4">
      <c r="A32" s="2634" t="s">
        <v>1426</v>
      </c>
      <c r="B32" s="2387">
        <v>2.5000000000000001E-2</v>
      </c>
      <c r="D32" s="2641" t="s">
        <v>1429</v>
      </c>
      <c r="E32" s="2404">
        <v>7.0000000000000007E-2</v>
      </c>
      <c r="F32" s="2405" t="s">
        <v>2491</v>
      </c>
      <c r="G32" s="2672"/>
      <c r="H32" s="2672"/>
      <c r="K32" s="1520"/>
      <c r="L32" s="1520"/>
      <c r="M32" s="1520"/>
      <c r="N32" s="1520"/>
    </row>
    <row r="33" spans="1:14" ht="14.4">
      <c r="A33" s="2634" t="s">
        <v>1428</v>
      </c>
      <c r="B33" s="2387">
        <v>0.1</v>
      </c>
      <c r="D33" s="2641" t="s">
        <v>1431</v>
      </c>
      <c r="E33" s="2403">
        <v>0.03</v>
      </c>
      <c r="F33" s="1178" t="s">
        <v>1432</v>
      </c>
      <c r="G33" s="2672"/>
      <c r="H33" s="2672"/>
      <c r="K33" s="1520"/>
      <c r="L33" s="1520"/>
      <c r="M33" s="1520"/>
      <c r="N33" s="1520"/>
    </row>
    <row r="34" spans="1:14" ht="14.4">
      <c r="A34" s="2634" t="s">
        <v>1430</v>
      </c>
      <c r="B34" s="2662">
        <f>收益法!J54</f>
        <v>37</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4.4">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4">
      <c r="A38" s="2634" t="str">
        <f>IF(B29="租赁期内按合同租金","年租金增长率","——")</f>
        <v>——</v>
      </c>
      <c r="B38" s="2387"/>
      <c r="D38" s="2666" t="s">
        <v>1442</v>
      </c>
      <c r="E38" s="2667">
        <v>1.2E-2</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4">
      <c r="A40" s="2634" t="str">
        <f>IF(B29="租赁期内按合同租金","成新率","——")</f>
        <v>——</v>
      </c>
      <c r="B40" s="2387"/>
      <c r="D40" s="2666" t="s">
        <v>1444</v>
      </c>
      <c r="E40" s="2670">
        <f>SUMIF(D42:D51,E41,E42:E51)</f>
        <v>0</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c r="F41" s="1180" t="s">
        <v>1447</v>
      </c>
      <c r="G41" s="1601" t="s">
        <v>1448</v>
      </c>
      <c r="H41" s="2672"/>
      <c r="I41" s="1520"/>
      <c r="J41" s="1520"/>
      <c r="K41" s="1520"/>
      <c r="L41" s="1520"/>
      <c r="M41" s="1520"/>
      <c r="N41" s="1520"/>
    </row>
    <row r="42" spans="1:14" ht="14.4">
      <c r="A42" s="2633" t="s">
        <v>1445</v>
      </c>
      <c r="B42" s="2411"/>
      <c r="D42" s="1536" t="s">
        <v>1450</v>
      </c>
      <c r="E42" s="2402"/>
      <c r="F42" s="1180">
        <v>30</v>
      </c>
      <c r="G42" s="2672"/>
      <c r="H42" s="2672"/>
      <c r="I42" s="1520"/>
      <c r="J42" s="1520"/>
      <c r="K42" s="1520"/>
      <c r="L42" s="1520"/>
      <c r="M42" s="1520"/>
      <c r="N42" s="1520"/>
    </row>
    <row r="43" spans="1:14" ht="14.4">
      <c r="A43" s="2634" t="s">
        <v>1449</v>
      </c>
      <c r="B43" s="2413">
        <v>365</v>
      </c>
      <c r="D43" s="1536" t="s">
        <v>1452</v>
      </c>
      <c r="E43" s="2402"/>
      <c r="F43" s="1180">
        <v>24</v>
      </c>
      <c r="G43" s="2672"/>
      <c r="H43" s="2672"/>
      <c r="I43" s="1520"/>
      <c r="J43" s="1520"/>
      <c r="K43" s="1520"/>
      <c r="L43" s="1520"/>
      <c r="M43" s="1520"/>
      <c r="N43" s="1520"/>
    </row>
    <row r="44" spans="1:14" ht="14.4">
      <c r="A44" s="2634" t="s">
        <v>1451</v>
      </c>
      <c r="B44" s="2402"/>
      <c r="D44" s="1536" t="s">
        <v>1454</v>
      </c>
      <c r="E44" s="2402"/>
      <c r="F44" s="1180">
        <v>18</v>
      </c>
      <c r="G44" s="2369"/>
      <c r="H44" s="2369"/>
      <c r="I44" s="2672"/>
      <c r="J44" s="1520"/>
      <c r="K44" s="1520"/>
      <c r="L44" s="1520"/>
      <c r="M44" s="1520"/>
      <c r="N44" s="1520"/>
    </row>
    <row r="45" spans="1:14" ht="14.4">
      <c r="A45" s="2634" t="s">
        <v>1453</v>
      </c>
      <c r="B45" s="2414">
        <v>1.4999999999999999E-2</v>
      </c>
      <c r="C45" s="1330" t="s">
        <v>2602</v>
      </c>
      <c r="D45" s="1536" t="s">
        <v>1456</v>
      </c>
      <c r="E45" s="2402"/>
      <c r="F45" s="1180">
        <v>12</v>
      </c>
      <c r="G45" s="2369"/>
      <c r="H45" s="2369"/>
      <c r="M45" s="1520"/>
      <c r="N45" s="1520"/>
    </row>
    <row r="46" spans="1:14" ht="14.4">
      <c r="A46" s="2634" t="s">
        <v>1455</v>
      </c>
      <c r="B46" s="2415">
        <v>1.5E-3</v>
      </c>
      <c r="C46" s="1330" t="s">
        <v>2600</v>
      </c>
      <c r="D46" s="1536" t="s">
        <v>1218</v>
      </c>
      <c r="E46" s="2402"/>
      <c r="F46" s="1180">
        <v>3</v>
      </c>
      <c r="G46" s="2369"/>
      <c r="H46" s="2369"/>
      <c r="M46" s="1520"/>
      <c r="N46" s="1520"/>
    </row>
    <row r="47" spans="1:14" ht="15" thickBot="1">
      <c r="A47" s="2637" t="s">
        <v>1457</v>
      </c>
      <c r="B47" s="2416">
        <v>0.01</v>
      </c>
      <c r="C47" s="1330" t="s">
        <v>2601</v>
      </c>
      <c r="D47" s="1536" t="s">
        <v>1458</v>
      </c>
      <c r="E47" s="2402"/>
      <c r="F47" s="1180">
        <v>1.5</v>
      </c>
      <c r="G47" s="2369"/>
      <c r="H47" s="2369"/>
      <c r="M47" s="1520"/>
      <c r="N47" s="1520"/>
    </row>
    <row r="48" spans="1:14" ht="14.4">
      <c r="A48" s="2369"/>
      <c r="D48" s="1536" t="s">
        <v>1459</v>
      </c>
      <c r="E48" s="2402"/>
      <c r="F48" s="1180"/>
      <c r="G48" s="2369"/>
      <c r="H48" s="2369"/>
      <c r="M48" s="1520"/>
      <c r="N48" s="1520"/>
    </row>
    <row r="49" spans="1:41" ht="14.4">
      <c r="A49" s="2369"/>
      <c r="D49" s="1536" t="s">
        <v>1460</v>
      </c>
      <c r="E49" s="2402"/>
      <c r="F49" s="1180"/>
      <c r="G49" s="2369"/>
      <c r="H49" s="2369"/>
      <c r="M49" s="1520"/>
      <c r="N49" s="1520"/>
    </row>
    <row r="50" spans="1:41" ht="14.4">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3.8">
      <c r="A52" s="2369"/>
      <c r="D52" s="2672"/>
      <c r="E52" s="2672"/>
      <c r="F52" s="2672"/>
      <c r="G52" s="2672"/>
      <c r="H52" s="2672"/>
      <c r="I52" s="1520"/>
      <c r="J52" s="1520"/>
      <c r="K52" s="1520"/>
      <c r="L52" s="1520"/>
      <c r="M52" s="1520"/>
      <c r="N52" s="1520"/>
    </row>
    <row r="53" spans="1:41" ht="13.8">
      <c r="A53" s="2369"/>
      <c r="D53" s="2672"/>
      <c r="E53" s="2672"/>
      <c r="F53" s="2672"/>
      <c r="G53" s="2672"/>
      <c r="H53" s="2672"/>
      <c r="I53" s="1520"/>
      <c r="J53" s="1520"/>
      <c r="K53" s="1520"/>
      <c r="L53" s="1520"/>
      <c r="M53" s="1520"/>
      <c r="N53" s="1520"/>
    </row>
    <row r="54" spans="1:41" ht="13.8">
      <c r="A54" s="2369"/>
      <c r="D54" s="2672"/>
      <c r="E54" s="2672"/>
      <c r="F54" s="2672"/>
      <c r="G54" s="2672"/>
      <c r="H54" s="2672"/>
      <c r="I54" s="1520"/>
      <c r="J54" s="1520"/>
      <c r="K54" s="1520"/>
      <c r="L54" s="1520"/>
      <c r="M54" s="1520"/>
      <c r="N54" s="1520"/>
    </row>
    <row r="55" spans="1:41" ht="13.8">
      <c r="A55" s="2369"/>
      <c r="D55" s="2672"/>
      <c r="E55" s="2672"/>
      <c r="F55" s="2672"/>
      <c r="G55" s="2672"/>
      <c r="H55" s="2672"/>
      <c r="I55" s="1520"/>
      <c r="J55" s="1520"/>
      <c r="K55" s="1520"/>
      <c r="L55" s="1520"/>
      <c r="M55" s="1520"/>
      <c r="N55" s="1520"/>
    </row>
    <row r="56" spans="1:41" ht="13.8">
      <c r="A56" s="2369"/>
      <c r="D56" s="2672"/>
      <c r="E56" s="2672"/>
      <c r="F56" s="2672"/>
      <c r="G56" s="2672"/>
      <c r="H56" s="2672"/>
      <c r="I56" s="1520"/>
      <c r="J56" s="1520"/>
      <c r="K56" s="1520"/>
      <c r="L56" s="1520"/>
      <c r="M56" s="1520"/>
      <c r="N56" s="1520"/>
    </row>
    <row r="57" spans="1:41" ht="13.8">
      <c r="A57" s="2369"/>
      <c r="D57" s="2672"/>
      <c r="E57" s="2672"/>
      <c r="F57" s="2672"/>
      <c r="G57" s="2672"/>
      <c r="H57" s="2672"/>
      <c r="I57" s="1520"/>
      <c r="J57" s="1520"/>
      <c r="K57" s="1520"/>
      <c r="L57" s="1520"/>
      <c r="M57" s="1520"/>
      <c r="N57" s="1520"/>
    </row>
    <row r="58" spans="1:41" ht="13.8">
      <c r="A58" s="2369"/>
      <c r="D58" s="2672"/>
      <c r="E58" s="2672"/>
      <c r="F58" s="2672"/>
      <c r="G58" s="2672"/>
      <c r="H58" s="2672"/>
      <c r="I58" s="1520"/>
      <c r="J58" s="1520"/>
      <c r="K58" s="1520"/>
      <c r="L58" s="1520"/>
      <c r="M58" s="1520"/>
      <c r="N58" s="1520"/>
    </row>
    <row r="59" spans="1:41" ht="13.8">
      <c r="A59" s="2369"/>
      <c r="D59" s="2672"/>
      <c r="E59" s="2672"/>
      <c r="F59" s="2672"/>
      <c r="G59" s="2672"/>
      <c r="H59" s="2672"/>
      <c r="I59" s="1520"/>
      <c r="J59" s="1520"/>
      <c r="K59" s="1520"/>
      <c r="L59" s="1520"/>
      <c r="M59" s="1520"/>
      <c r="N59" s="1520"/>
    </row>
    <row r="60" spans="1:41" ht="13.8">
      <c r="A60" s="2369"/>
      <c r="D60" s="2672"/>
      <c r="E60" s="2672"/>
      <c r="F60" s="2672"/>
      <c r="G60" s="2672"/>
      <c r="H60" s="2672"/>
      <c r="I60" s="1520"/>
      <c r="J60" s="1520"/>
      <c r="K60" s="1520"/>
      <c r="L60" s="1520"/>
      <c r="M60" s="1520"/>
      <c r="N60" s="1520"/>
    </row>
    <row r="61" spans="1:41" ht="13.8">
      <c r="A61" s="2369"/>
      <c r="D61" s="2672"/>
      <c r="E61" s="2672"/>
      <c r="F61" s="2672"/>
      <c r="G61" s="2672"/>
      <c r="H61" s="2672"/>
      <c r="I61" s="1520"/>
      <c r="J61" s="1520"/>
      <c r="K61" s="1520"/>
      <c r="L61" s="1520"/>
      <c r="M61" s="1520"/>
      <c r="N61" s="1520"/>
    </row>
    <row r="62" spans="1:41" ht="13.8">
      <c r="A62" s="2369"/>
      <c r="D62" s="2672"/>
      <c r="E62" s="2672"/>
      <c r="F62" s="2672"/>
      <c r="G62" s="2672"/>
      <c r="H62" s="2672"/>
      <c r="I62" s="1520"/>
      <c r="J62" s="1520"/>
      <c r="K62" s="1520"/>
      <c r="L62" s="1520"/>
      <c r="M62" s="1520"/>
      <c r="N62" s="1520"/>
    </row>
    <row r="63" spans="1:41" ht="13.8">
      <c r="A63" s="2369"/>
      <c r="D63" s="2672"/>
      <c r="E63" s="2672"/>
      <c r="F63" s="2672"/>
      <c r="G63" s="2672"/>
      <c r="H63" s="2672"/>
      <c r="I63" s="1520"/>
      <c r="J63" s="1520"/>
      <c r="K63" s="1520"/>
      <c r="L63" s="1520"/>
      <c r="M63" s="1520"/>
      <c r="N63" s="1520"/>
    </row>
    <row r="64" spans="1:41" ht="13.8">
      <c r="A64" s="2369"/>
      <c r="D64" s="2672"/>
      <c r="E64" s="2672"/>
      <c r="F64" s="2672"/>
      <c r="G64" s="2672"/>
      <c r="H64" s="2672"/>
      <c r="I64" s="1520"/>
      <c r="J64" s="1520"/>
      <c r="K64" s="1520"/>
      <c r="L64" s="1520"/>
      <c r="M64" s="1520"/>
      <c r="N64" s="1520"/>
    </row>
    <row r="65" spans="1:14" ht="13.8">
      <c r="A65" s="2369"/>
      <c r="D65" s="2672"/>
      <c r="E65" s="2672"/>
      <c r="F65" s="2672"/>
      <c r="G65" s="2672"/>
      <c r="H65" s="2672"/>
      <c r="I65" s="1520"/>
      <c r="J65" s="1520"/>
      <c r="K65" s="1520"/>
      <c r="L65" s="1520"/>
      <c r="M65" s="1520"/>
      <c r="N65" s="1520"/>
    </row>
    <row r="66" spans="1:14" ht="13.8">
      <c r="A66" s="2369"/>
      <c r="D66" s="2672"/>
      <c r="E66" s="2672"/>
      <c r="F66" s="2672"/>
      <c r="G66" s="2672"/>
      <c r="H66" s="2672"/>
      <c r="I66" s="1520"/>
      <c r="J66" s="1520"/>
      <c r="K66" s="1520"/>
      <c r="L66" s="1520"/>
      <c r="M66" s="1520"/>
      <c r="N66" s="1520"/>
    </row>
    <row r="67" spans="1:14" ht="13.8">
      <c r="D67" s="2672"/>
      <c r="E67" s="2672"/>
      <c r="F67" s="2672"/>
      <c r="G67" s="2672"/>
      <c r="H67" s="2672"/>
      <c r="I67" s="1520"/>
      <c r="J67" s="1520"/>
      <c r="K67" s="1520"/>
      <c r="L67" s="1520"/>
      <c r="M67" s="1520"/>
      <c r="N67" s="1520"/>
    </row>
    <row r="68" spans="1:14" ht="13.8">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5" customWidth="1"/>
    <col min="3" max="3" width="28.33203125" style="1865" customWidth="1"/>
    <col min="4" max="4" width="2.6640625" style="1865" customWidth="1"/>
    <col min="5" max="5" width="5.88671875" style="1865" customWidth="1"/>
    <col min="6" max="6" width="27" style="1865" customWidth="1"/>
    <col min="7" max="7" width="32.33203125" style="1865" customWidth="1"/>
    <col min="8" max="8" width="11.88671875" style="2432" customWidth="1"/>
    <col min="9" max="9" width="16.77734375" style="2432" customWidth="1"/>
    <col min="10" max="10" width="2.6640625" style="2432" customWidth="1"/>
    <col min="11" max="11" width="11.88671875" style="2432" customWidth="1"/>
    <col min="12" max="12" width="16.77734375" style="2432" customWidth="1"/>
    <col min="13" max="13" width="2.6640625" style="2432" customWidth="1"/>
    <col min="14" max="14" width="11.88671875" style="2432" customWidth="1"/>
    <col min="15" max="15" width="16.77734375" style="2432" customWidth="1"/>
    <col min="16" max="16" width="2.6640625" style="2432" customWidth="1"/>
    <col min="17" max="17" width="11.88671875" style="2432" customWidth="1"/>
    <col min="18" max="18" width="16.77734375" style="2425" customWidth="1"/>
    <col min="19" max="29" width="9" style="2425"/>
    <col min="30" max="16384" width="9" style="1520"/>
  </cols>
  <sheetData>
    <row r="1" spans="1:29" s="2423" customFormat="1" ht="18" thickBot="1">
      <c r="A1" s="3147" t="s">
        <v>1463</v>
      </c>
      <c r="B1" s="3148"/>
      <c r="C1" s="3148"/>
      <c r="D1" s="3148"/>
      <c r="E1" s="3148"/>
      <c r="F1" s="3148"/>
      <c r="G1" s="314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48">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37.200000000000003">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37.200000000000003">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6"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3.2">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3.2">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7.399999999999999">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8" thickBot="1">
      <c r="A13" s="2431" t="s">
        <v>1469</v>
      </c>
      <c r="B13" s="2427"/>
      <c r="C13" s="2427"/>
      <c r="D13" s="2424"/>
      <c r="E13" s="2427"/>
      <c r="F13" s="2427"/>
      <c r="G13" s="2427"/>
    </row>
    <row r="14" spans="1:29" s="2369" customFormat="1"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52.8">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39.6">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39.6">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9.6">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26.4">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6.4">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6.4">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3.2">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2" customWidth="1"/>
    <col min="2" max="16384" width="14.6640625" style="2322"/>
  </cols>
  <sheetData>
    <row r="1" spans="1:9" ht="15.6">
      <c r="A1" s="2320" t="s">
        <v>973</v>
      </c>
      <c r="B1" s="2320">
        <f>SUM(B14:B23)</f>
        <v>2562.92</v>
      </c>
      <c r="C1" s="1471"/>
      <c r="D1" s="1471"/>
      <c r="E1" s="1471"/>
      <c r="F1" s="1471"/>
      <c r="G1" s="2321"/>
    </row>
    <row r="2" spans="1:9" ht="15.6">
      <c r="A2" s="2320" t="s">
        <v>974</v>
      </c>
      <c r="B2" s="2320">
        <f>SUM(C14:C23)</f>
        <v>0</v>
      </c>
      <c r="C2" s="1471"/>
      <c r="D2" s="1471"/>
      <c r="E2" s="1471"/>
      <c r="F2" s="1471"/>
      <c r="G2" s="2321"/>
    </row>
    <row r="3" spans="1:9" ht="15.6">
      <c r="A3" s="2320" t="s">
        <v>975</v>
      </c>
      <c r="B3" s="2323">
        <f>项目基本情况!D2</f>
        <v>44886</v>
      </c>
      <c r="C3" s="1471"/>
      <c r="D3" s="1471"/>
      <c r="E3" s="1471"/>
      <c r="F3" s="1471"/>
      <c r="G3" s="2321"/>
    </row>
    <row r="4" spans="1:9" ht="31.2">
      <c r="A4" s="2320" t="s">
        <v>976</v>
      </c>
      <c r="B4" s="2320" t="s">
        <v>977</v>
      </c>
      <c r="C4" s="2320" t="s">
        <v>978</v>
      </c>
      <c r="D4" s="2320" t="s">
        <v>979</v>
      </c>
      <c r="E4" s="1471"/>
      <c r="F4" s="2321"/>
      <c r="G4" s="2321"/>
    </row>
    <row r="5" spans="1:9" ht="15.6">
      <c r="A5" s="2320" t="s">
        <v>980</v>
      </c>
      <c r="B5" s="2320">
        <f ca="1">SUM(D14:D23)</f>
        <v>6677</v>
      </c>
      <c r="C5" s="2320">
        <f ca="1">ROUND(B5*10000/$B$1,0)</f>
        <v>26052</v>
      </c>
      <c r="D5" s="2320" t="e">
        <f ca="1">ROUND(B5*10000/$B$2,0)</f>
        <v>#DIV/0!</v>
      </c>
      <c r="E5" s="1471"/>
      <c r="F5" s="2321"/>
      <c r="G5" s="2321"/>
    </row>
    <row r="6" spans="1:9" ht="15.6">
      <c r="A6" s="2320" t="s">
        <v>981</v>
      </c>
      <c r="B6" s="2320">
        <f ca="1">SUM(G14:G23)</f>
        <v>6677</v>
      </c>
      <c r="C6" s="2320">
        <f t="shared" ref="C6:C8" ca="1" si="0">ROUND(B6*10000/$B$1,0)</f>
        <v>26052</v>
      </c>
      <c r="D6" s="2320" t="e">
        <f t="shared" ref="D6:D8" ca="1" si="1">ROUND(B6*10000/$B$2,0)</f>
        <v>#DIV/0!</v>
      </c>
      <c r="E6" s="1471"/>
      <c r="F6" s="2321"/>
      <c r="G6" s="2321"/>
    </row>
    <row r="7" spans="1:9" ht="15.6">
      <c r="A7" s="2320" t="s">
        <v>982</v>
      </c>
      <c r="B7" s="2320">
        <f>SUM(H14:H23)</f>
        <v>0</v>
      </c>
      <c r="C7" s="2320">
        <f>ROUND(B7*10000/$B$1,0)</f>
        <v>0</v>
      </c>
      <c r="D7" s="2320" t="e">
        <f t="shared" si="1"/>
        <v>#DIV/0!</v>
      </c>
      <c r="E7" s="1471"/>
      <c r="F7" s="2321"/>
      <c r="G7" s="2321"/>
    </row>
    <row r="8" spans="1:9" ht="15.6">
      <c r="A8" s="2320" t="s">
        <v>983</v>
      </c>
      <c r="B8" s="2320">
        <f>SUM(I14:I23)</f>
        <v>0</v>
      </c>
      <c r="C8" s="2320">
        <f t="shared" si="0"/>
        <v>0</v>
      </c>
      <c r="D8" s="2320" t="e">
        <f t="shared" si="1"/>
        <v>#DIV/0!</v>
      </c>
      <c r="E8" s="1471"/>
      <c r="F8" s="2321"/>
      <c r="G8" s="2321"/>
    </row>
    <row r="9" spans="1:9" ht="15.6">
      <c r="A9" s="2320" t="s">
        <v>984</v>
      </c>
      <c r="B9" s="2324"/>
      <c r="C9" s="1471"/>
      <c r="D9" s="1471"/>
      <c r="E9" s="1471"/>
      <c r="F9" s="2321"/>
      <c r="G9" s="2321"/>
    </row>
    <row r="10" spans="1:9" ht="15.6">
      <c r="A10" s="2320" t="s">
        <v>985</v>
      </c>
      <c r="B10" s="2324"/>
      <c r="C10" s="1471"/>
      <c r="D10" s="1471"/>
      <c r="E10" s="1471"/>
      <c r="F10" s="2321"/>
      <c r="G10" s="2321"/>
    </row>
    <row r="11" spans="1:9" ht="15.6">
      <c r="A11" s="2320" t="s">
        <v>1000</v>
      </c>
      <c r="B11" s="2324"/>
      <c r="C11" s="1471"/>
      <c r="D11" s="1471"/>
      <c r="E11" s="1471"/>
      <c r="F11" s="2321"/>
      <c r="G11" s="2321"/>
    </row>
    <row r="12" spans="1:9" ht="15.6">
      <c r="A12" s="1471"/>
      <c r="B12" s="1471"/>
      <c r="C12" s="1471"/>
      <c r="D12" s="1471"/>
      <c r="E12" s="1471"/>
      <c r="F12" s="2321"/>
      <c r="G12" s="2321"/>
    </row>
    <row r="13" spans="1:9" ht="31.2">
      <c r="A13" s="2325" t="s">
        <v>999</v>
      </c>
      <c r="B13" s="2326" t="s">
        <v>973</v>
      </c>
      <c r="C13" s="2326" t="s">
        <v>974</v>
      </c>
      <c r="D13" s="2326" t="s">
        <v>986</v>
      </c>
      <c r="E13" s="2320" t="s">
        <v>978</v>
      </c>
      <c r="F13" s="2320" t="s">
        <v>979</v>
      </c>
      <c r="G13" s="2326" t="s">
        <v>987</v>
      </c>
      <c r="H13" s="2326" t="s">
        <v>988</v>
      </c>
      <c r="I13" s="2326" t="s">
        <v>989</v>
      </c>
    </row>
    <row r="14" spans="1:9" ht="15.6">
      <c r="A14" s="2599" t="s">
        <v>3030</v>
      </c>
      <c r="B14" s="2624">
        <f>项目基本情况!C12</f>
        <v>2562.92</v>
      </c>
      <c r="C14" s="2624">
        <f>项目基本情况!C13</f>
        <v>0</v>
      </c>
      <c r="D14" s="2624">
        <f ca="1">IF('数据-取费表'!B3="万元",IF(A14="估价对象1（结果表）",结果表!H121,'结果表 (1修多)'!H125),IF(A14="估价对象1（结果表）",结果表!H121,'结果表 (1修多)'!H125)/10000)</f>
        <v>6677</v>
      </c>
      <c r="E14" s="2624">
        <f ca="1">ROUND(D14*10000/B14,0)</f>
        <v>26052</v>
      </c>
      <c r="F14" s="2624" t="e">
        <f ca="1">ROUND(D14*10000/C14,0)</f>
        <v>#DIV/0!</v>
      </c>
      <c r="G14" s="2624">
        <f ca="1">IF('数据-取费表'!B3="万元",IF(A14="估价对象1（结果表）",结果表!D125,'结果表 (1修多)'!D129),IF(A14="估价对象1（结果表）",结果表!D125,'结果表 (1修多)'!D129)/10000)</f>
        <v>6677</v>
      </c>
      <c r="H14" s="2624" t="str">
        <f>IF('数据-取费表'!B3="万元",IF(A14="估价对象1（结果表）",结果表!D127,'结果表 (1修多)'!D131),IF(A14="估价对象1（结果表）",结果表!D127,'结果表 (1修多)'!D131)/10000)</f>
        <v>——</v>
      </c>
      <c r="I14" s="2624" t="str">
        <f>IF('数据-取费表'!B3="万元",IF(A14="估价对象1（结果表）",结果表!D129,'结果表 (1修多)'!D133),IF(A14="估价对象1（结果表）",结果表!D129,'结果表 (1修多)'!D133)/10000)</f>
        <v>——</v>
      </c>
    </row>
    <row r="15" spans="1:9" ht="15.6">
      <c r="A15" s="2327" t="s">
        <v>990</v>
      </c>
      <c r="B15" s="2328"/>
      <c r="C15" s="2328"/>
      <c r="D15" s="2328"/>
      <c r="E15" s="2624" t="e">
        <f t="shared" ref="E15:E23" si="2">ROUND(D15*10000/B15,0)</f>
        <v>#DIV/0!</v>
      </c>
      <c r="F15" s="2624" t="e">
        <f t="shared" ref="F15:F23" si="3">ROUND(D15*10000/C15,0)</f>
        <v>#DIV/0!</v>
      </c>
      <c r="G15" s="1174"/>
      <c r="H15" s="1174"/>
      <c r="I15" s="2328"/>
    </row>
    <row r="16" spans="1:9" ht="15.6">
      <c r="A16" s="2327" t="s">
        <v>991</v>
      </c>
      <c r="B16" s="2328"/>
      <c r="C16" s="2328"/>
      <c r="D16" s="2328"/>
      <c r="E16" s="2624" t="e">
        <f t="shared" si="2"/>
        <v>#DIV/0!</v>
      </c>
      <c r="F16" s="2624" t="e">
        <f t="shared" si="3"/>
        <v>#DIV/0!</v>
      </c>
      <c r="G16" s="1174"/>
      <c r="H16" s="1174"/>
      <c r="I16" s="2328"/>
    </row>
    <row r="17" spans="1:9" ht="15.6">
      <c r="A17" s="2327" t="s">
        <v>992</v>
      </c>
      <c r="B17" s="2328"/>
      <c r="C17" s="2328"/>
      <c r="D17" s="2328"/>
      <c r="E17" s="2624" t="e">
        <f t="shared" si="2"/>
        <v>#DIV/0!</v>
      </c>
      <c r="F17" s="2624" t="e">
        <f t="shared" si="3"/>
        <v>#DIV/0!</v>
      </c>
      <c r="G17" s="1174"/>
      <c r="H17" s="1174"/>
      <c r="I17" s="2328"/>
    </row>
    <row r="18" spans="1:9" ht="15.6">
      <c r="A18" s="2327" t="s">
        <v>993</v>
      </c>
      <c r="B18" s="2328"/>
      <c r="C18" s="2328"/>
      <c r="D18" s="2328"/>
      <c r="E18" s="2624" t="e">
        <f t="shared" si="2"/>
        <v>#DIV/0!</v>
      </c>
      <c r="F18" s="2624" t="e">
        <f t="shared" si="3"/>
        <v>#DIV/0!</v>
      </c>
      <c r="G18" s="2328"/>
      <c r="H18" s="2328"/>
      <c r="I18" s="2328"/>
    </row>
    <row r="19" spans="1:9" ht="15.6">
      <c r="A19" s="2327" t="s">
        <v>994</v>
      </c>
      <c r="B19" s="2328"/>
      <c r="C19" s="2328"/>
      <c r="D19" s="2328"/>
      <c r="E19" s="2624" t="e">
        <f t="shared" si="2"/>
        <v>#DIV/0!</v>
      </c>
      <c r="F19" s="2624" t="e">
        <f t="shared" si="3"/>
        <v>#DIV/0!</v>
      </c>
      <c r="G19" s="2328"/>
      <c r="H19" s="2328"/>
      <c r="I19" s="2328"/>
    </row>
    <row r="20" spans="1:9" ht="15.6">
      <c r="A20" s="2327" t="s">
        <v>995</v>
      </c>
      <c r="B20" s="2328"/>
      <c r="C20" s="2328"/>
      <c r="D20" s="2328"/>
      <c r="E20" s="2624" t="e">
        <f t="shared" si="2"/>
        <v>#DIV/0!</v>
      </c>
      <c r="F20" s="2624" t="e">
        <f t="shared" si="3"/>
        <v>#DIV/0!</v>
      </c>
      <c r="G20" s="2328"/>
      <c r="H20" s="2328"/>
      <c r="I20" s="2328"/>
    </row>
    <row r="21" spans="1:9" ht="15.6">
      <c r="A21" s="2327" t="s">
        <v>996</v>
      </c>
      <c r="B21" s="2328"/>
      <c r="C21" s="2328"/>
      <c r="D21" s="2328"/>
      <c r="E21" s="2624" t="e">
        <f t="shared" si="2"/>
        <v>#DIV/0!</v>
      </c>
      <c r="F21" s="2624" t="e">
        <f t="shared" si="3"/>
        <v>#DIV/0!</v>
      </c>
      <c r="G21" s="2328"/>
      <c r="H21" s="2328"/>
      <c r="I21" s="2328"/>
    </row>
    <row r="22" spans="1:9" ht="15.6">
      <c r="A22" s="2327" t="s">
        <v>997</v>
      </c>
      <c r="B22" s="2328"/>
      <c r="C22" s="2328"/>
      <c r="D22" s="2328"/>
      <c r="E22" s="2624" t="e">
        <f t="shared" si="2"/>
        <v>#DIV/0!</v>
      </c>
      <c r="F22" s="2624" t="e">
        <f t="shared" si="3"/>
        <v>#DIV/0!</v>
      </c>
      <c r="G22" s="2328"/>
      <c r="H22" s="2328"/>
      <c r="I22" s="2328"/>
    </row>
    <row r="23" spans="1:9" ht="15.6">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D17" sqref="D17"/>
    </sheetView>
  </sheetViews>
  <sheetFormatPr defaultColWidth="12.6640625" defaultRowHeight="21.75" customHeight="1"/>
  <cols>
    <col min="1" max="2" width="12.6640625" style="734"/>
    <col min="3" max="4" width="12.6640625" style="734" customWidth="1"/>
    <col min="5" max="9" width="12.6640625" style="734"/>
    <col min="10" max="10" width="3.664062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20" t="str">
        <f>项目基本情况!B1</f>
        <v>北京市房地产抵押价值预评估</v>
      </c>
      <c r="B2" s="3220"/>
      <c r="C2" s="3220"/>
      <c r="D2" s="3220"/>
      <c r="E2" s="3220"/>
      <c r="F2" s="3220"/>
      <c r="G2" s="3220"/>
      <c r="H2" s="3220"/>
      <c r="I2" s="3220"/>
      <c r="J2" s="2559"/>
    </row>
    <row r="3" spans="1:15" ht="13.2">
      <c r="A3" s="3225" t="s">
        <v>1471</v>
      </c>
      <c r="B3" s="3226"/>
      <c r="C3" s="3226"/>
      <c r="D3" s="3226"/>
      <c r="E3" s="3226"/>
      <c r="F3" s="3226"/>
      <c r="G3" s="3226"/>
      <c r="H3" s="3226"/>
      <c r="I3" s="3226"/>
      <c r="J3" s="2560"/>
    </row>
    <row r="4" spans="1:15" ht="14.4">
      <c r="A4" s="2433" t="s">
        <v>1472</v>
      </c>
      <c r="B4" s="2433" t="s">
        <v>1473</v>
      </c>
      <c r="C4" s="2434" t="s">
        <v>3046</v>
      </c>
      <c r="D4" s="2434" t="s">
        <v>3047</v>
      </c>
      <c r="E4" s="3222" t="s">
        <v>1474</v>
      </c>
      <c r="F4" s="3210"/>
      <c r="G4" s="3210"/>
      <c r="H4" s="3210"/>
      <c r="I4" s="3211"/>
      <c r="J4" s="2561"/>
      <c r="L4" s="1313" t="str">
        <f>IF(ISNUMBER(FIND("比较法",结果表!C4)),"比较法",IF(ISNUMBER(FIND("成本法",结果表!C4)),"成本法",IF(ISNUMBER(FIND("假设开发法",结果表!C4)),"假设开发法",IF(ISNUMBER(FIND("收益法",结果表!C4)),"收益法","基准地价系数修正法"))))</f>
        <v>成本法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v>7</v>
      </c>
      <c r="D14" s="3224">
        <v>3</v>
      </c>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7</v>
      </c>
      <c r="D17" s="2436">
        <f>SUM(D5:D16)</f>
        <v>3</v>
      </c>
      <c r="E17" s="1330"/>
      <c r="F17" s="1330"/>
      <c r="G17" s="1330"/>
      <c r="H17" s="1330"/>
      <c r="I17" s="1330"/>
      <c r="J17" s="2562"/>
    </row>
    <row r="18" spans="1:36" ht="30" customHeight="1" thickBot="1">
      <c r="A18" s="2437" t="s">
        <v>1493</v>
      </c>
      <c r="B18" s="2438"/>
      <c r="C18" s="2439">
        <f>ROUND(C17/SUM(C17:D17),2)</f>
        <v>0.7</v>
      </c>
      <c r="D18" s="2439">
        <f>1-C18</f>
        <v>0.30000000000000004</v>
      </c>
      <c r="E18" s="3241" t="s">
        <v>2576</v>
      </c>
      <c r="F18" s="3242"/>
      <c r="G18" s="3242"/>
      <c r="H18" s="3242"/>
      <c r="I18" s="3242"/>
      <c r="J18" s="2562"/>
    </row>
    <row r="19" spans="1:36" ht="14.4">
      <c r="A19" s="1856" t="s">
        <v>1494</v>
      </c>
      <c r="B19" s="2440" t="s">
        <v>1495</v>
      </c>
      <c r="C19" s="2441">
        <f ca="1">SUMIF(INDIRECT("'"&amp;C4&amp;"'"&amp;"!A:A"),结果表!B19,INDIRECT("'"&amp;C4&amp;"'"&amp;"!B:B"))</f>
        <v>7817</v>
      </c>
      <c r="D19" s="2442">
        <f ca="1">SUMIF(INDIRECT("'"&amp;D4&amp;"'"&amp;"!A:A"),结果表!B19,INDIRECT("'"&amp;D4&amp;"'"&amp;"!B:B"))</f>
        <v>4017</v>
      </c>
      <c r="E19" s="1856" t="s">
        <v>1496</v>
      </c>
      <c r="F19" s="2440" t="s">
        <v>1495</v>
      </c>
      <c r="G19" s="2443">
        <f ca="1">ROUND(C19*$C$18+D19*$D$18,0)</f>
        <v>6677</v>
      </c>
      <c r="H19" s="2444" t="str">
        <f>'数据-取费表'!B3</f>
        <v>万元</v>
      </c>
      <c r="I19" s="2489"/>
      <c r="J19" s="2563"/>
    </row>
    <row r="20" spans="1:36" ht="14.4">
      <c r="A20" s="2445"/>
      <c r="B20" s="1519" t="s">
        <v>1497</v>
      </c>
      <c r="C20" s="1737">
        <f ca="1">SUMIF(INDIRECT("'"&amp;C4&amp;"'"&amp;"!A:A"),结果表!B20,INDIRECT("'"&amp;C4&amp;"'"&amp;"!B:B"))</f>
        <v>30500</v>
      </c>
      <c r="D20" s="1740">
        <f ca="1">SUMIF(INDIRECT("'"&amp;D4&amp;"'"&amp;"!A:A"),结果表!B20,INDIRECT("'"&amp;D4&amp;"'"&amp;"!B:B"))</f>
        <v>15674</v>
      </c>
      <c r="E20" s="2445"/>
      <c r="F20" s="1519" t="s">
        <v>1497</v>
      </c>
      <c r="G20" s="1884">
        <f ca="1">ROUND(C20*$C$18+D20*$D$18,0)</f>
        <v>26052</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0.94597958675628568</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3.8">
      <c r="A27" s="2459"/>
      <c r="B27" s="2457">
        <v>0</v>
      </c>
      <c r="C27" s="2457">
        <v>0</v>
      </c>
      <c r="D27" s="2458">
        <f>ROUND(C27*B27/10000,0)</f>
        <v>0</v>
      </c>
      <c r="E27" s="862"/>
      <c r="F27" s="862"/>
      <c r="G27" s="862"/>
      <c r="H27" s="862"/>
      <c r="I27" s="862"/>
      <c r="J27" s="2562"/>
    </row>
    <row r="28" spans="1:36" ht="13.8">
      <c r="A28" s="2456"/>
      <c r="B28" s="2457"/>
      <c r="C28" s="2457"/>
      <c r="D28" s="2458">
        <f t="shared" ref="D28:D29" si="0">ROUND(C28*B28/10000,0)</f>
        <v>0</v>
      </c>
      <c r="E28" s="862"/>
      <c r="F28" s="862"/>
      <c r="G28" s="862"/>
      <c r="H28" s="862"/>
      <c r="I28" s="862"/>
      <c r="J28" s="2562"/>
    </row>
    <row r="29" spans="1:36" ht="13.8">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5.6" thickTop="1" thickBot="1">
      <c r="A32" s="2543" t="s">
        <v>1506</v>
      </c>
      <c r="B32" s="2544" t="str">
        <f>'数据-取费表'!B4</f>
        <v>楼面单价</v>
      </c>
      <c r="C32" s="2545">
        <f ca="1">IF(B32="总价",G19-C24,G20-C25)</f>
        <v>26052</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4.4">
      <c r="A33" s="2461" t="s">
        <v>1507</v>
      </c>
      <c r="B33" s="251"/>
      <c r="C33" s="2462"/>
      <c r="D33" s="2463"/>
      <c r="E33" s="2464" t="s">
        <v>1508</v>
      </c>
      <c r="F33" s="2465" t="str">
        <f>IF(B32="楼面单价","取值（单价）","取值（总价）")</f>
        <v>取值（单价）</v>
      </c>
      <c r="G33" s="862"/>
      <c r="H33" s="862"/>
      <c r="I33" s="862"/>
      <c r="J33" s="2562"/>
    </row>
    <row r="34" spans="1:17" ht="14.4">
      <c r="A34" s="1316"/>
      <c r="B34" s="2466" t="s">
        <v>1509</v>
      </c>
      <c r="C34" s="2467">
        <f ca="1">IF(D33="自定义",F34,C32-C35)</f>
        <v>16647</v>
      </c>
      <c r="D34" s="2468">
        <f ca="1">IF(D33="自定义",ROUND(C34/C32,3),1-D35)</f>
        <v>0.63900000000000001</v>
      </c>
      <c r="E34" s="1287" t="s">
        <v>1510</v>
      </c>
      <c r="F34" s="2469">
        <v>2000</v>
      </c>
      <c r="G34" s="862"/>
      <c r="H34" s="862"/>
      <c r="I34" s="862"/>
      <c r="J34" s="2562"/>
    </row>
    <row r="35" spans="1:17" ht="15" thickBot="1">
      <c r="A35" s="1317"/>
      <c r="B35" s="2470" t="s">
        <v>1511</v>
      </c>
      <c r="C35" s="2471">
        <f ca="1">IF(D33="自定义",F35,ROUND(C32*D35,0))</f>
        <v>9405</v>
      </c>
      <c r="D35" s="2472">
        <f ca="1">IF(D33="自定义",ROUND(C35/C32,3),IF(D33="成本法成本比率",成本法!C56,IF(D33="收益法收益比率",收益法!J38,收益法!J41)))</f>
        <v>0.36099999999999999</v>
      </c>
      <c r="E35" s="2473" t="s">
        <v>1512</v>
      </c>
      <c r="F35" s="2474">
        <v>4460</v>
      </c>
      <c r="G35" s="862"/>
      <c r="H35" s="862"/>
      <c r="I35" s="862"/>
      <c r="J35" s="2562"/>
    </row>
    <row r="36" spans="1:17" ht="15" thickBot="1">
      <c r="A36" s="3230" t="s">
        <v>1513</v>
      </c>
      <c r="B36" s="1318" t="s">
        <v>1514</v>
      </c>
      <c r="C36" s="2475">
        <v>0</v>
      </c>
      <c r="D36" s="2476"/>
      <c r="E36" s="1180"/>
      <c r="F36" s="1180"/>
      <c r="G36" s="862"/>
      <c r="H36" s="862"/>
      <c r="I36" s="862"/>
      <c r="J36" s="2562"/>
    </row>
    <row r="37" spans="1:17" ht="15" thickBot="1">
      <c r="A37" s="3235"/>
      <c r="B37" s="1885" t="s">
        <v>1515</v>
      </c>
      <c r="C37" s="2477">
        <v>0</v>
      </c>
      <c r="D37" s="1180"/>
      <c r="E37" s="1180"/>
      <c r="F37" s="1180"/>
      <c r="G37" s="1180"/>
      <c r="H37" s="1180"/>
      <c r="I37" s="1180"/>
      <c r="J37" s="2566"/>
    </row>
    <row r="38" spans="1:17" ht="15" thickBot="1">
      <c r="A38" s="3236"/>
      <c r="B38" s="1319" t="s">
        <v>1516</v>
      </c>
      <c r="C38" s="2478">
        <v>0</v>
      </c>
      <c r="D38" s="2479" t="s">
        <v>1517</v>
      </c>
      <c r="E38" s="1180"/>
      <c r="F38" s="1180"/>
      <c r="G38" s="1180"/>
      <c r="H38" s="1180"/>
      <c r="I38" s="1180"/>
      <c r="J38" s="2566"/>
    </row>
    <row r="39" spans="1:17" ht="14.4">
      <c r="A39" s="2445" t="s">
        <v>1518</v>
      </c>
      <c r="B39" s="2480" t="s">
        <v>1502</v>
      </c>
      <c r="C39" s="2481" t="s">
        <v>1503</v>
      </c>
      <c r="D39" s="2481" t="s">
        <v>1519</v>
      </c>
      <c r="E39" s="2482" t="s">
        <v>1504</v>
      </c>
      <c r="F39" s="1180"/>
      <c r="G39" s="1180"/>
      <c r="H39" s="1180"/>
      <c r="I39" s="1180"/>
      <c r="J39" s="2566"/>
    </row>
    <row r="40" spans="1:17" ht="13.8">
      <c r="A40" s="2483" t="s">
        <v>1520</v>
      </c>
      <c r="B40" s="2484"/>
      <c r="C40" s="2485"/>
      <c r="D40" s="2485"/>
      <c r="E40" s="2469"/>
      <c r="F40" s="1180"/>
      <c r="G40" s="1180"/>
      <c r="H40" s="1180"/>
      <c r="I40" s="1180"/>
      <c r="J40" s="2566"/>
    </row>
    <row r="41" spans="1:17" ht="13.8">
      <c r="A41" s="2483" t="s">
        <v>1521</v>
      </c>
      <c r="B41" s="2484"/>
      <c r="C41" s="2485"/>
      <c r="D41" s="2485"/>
      <c r="E41" s="2469"/>
      <c r="F41" s="1180"/>
      <c r="G41" s="1180"/>
      <c r="H41" s="1180"/>
      <c r="I41" s="1180"/>
      <c r="J41" s="2566"/>
    </row>
    <row r="42" spans="1:17" ht="14.4" thickBot="1">
      <c r="A42" s="2486"/>
      <c r="B42" s="2487"/>
      <c r="C42" s="2488"/>
      <c r="D42" s="2488"/>
      <c r="E42" s="2474"/>
      <c r="F42" s="1180"/>
      <c r="G42" s="1180"/>
      <c r="H42" s="1180"/>
      <c r="I42" s="1180"/>
      <c r="J42" s="2566"/>
    </row>
    <row r="43" spans="1:17" ht="13.2">
      <c r="A43" s="862"/>
      <c r="B43" s="862"/>
      <c r="C43" s="862"/>
      <c r="D43" s="862"/>
      <c r="E43" s="862"/>
      <c r="F43" s="2395"/>
      <c r="G43" s="2395"/>
      <c r="H43" s="2395"/>
      <c r="I43" s="2395"/>
      <c r="J43" s="2567"/>
    </row>
    <row r="44" spans="1:17" ht="17.399999999999999">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55" t="s">
        <v>1524</v>
      </c>
      <c r="B45" s="3156"/>
      <c r="C45" s="3166"/>
      <c r="D45" s="242">
        <f ca="1">ROUND(I102*F45,0)</f>
        <v>6677</v>
      </c>
      <c r="E45" s="1386" t="s">
        <v>1525</v>
      </c>
      <c r="F45" s="2301">
        <v>1</v>
      </c>
      <c r="G45" s="2302" t="s">
        <v>1526</v>
      </c>
      <c r="H45" s="862"/>
      <c r="I45" s="862"/>
      <c r="J45" s="2562"/>
      <c r="K45" s="3161" t="s">
        <v>2505</v>
      </c>
      <c r="L45" s="3161"/>
      <c r="M45" s="3161"/>
      <c r="N45" s="3161"/>
      <c r="O45" s="3161"/>
      <c r="P45" s="3161"/>
      <c r="Q45" s="1177"/>
    </row>
    <row r="46" spans="1:17" ht="14.25" customHeight="1">
      <c r="A46" s="3232" t="s">
        <v>1528</v>
      </c>
      <c r="B46" s="3233"/>
      <c r="C46" s="3233"/>
      <c r="D46" s="3233"/>
      <c r="E46" s="3233"/>
      <c r="F46" s="3233"/>
      <c r="G46" s="3234"/>
      <c r="H46" s="2678"/>
      <c r="I46" s="862"/>
      <c r="J46" s="2562"/>
      <c r="K46" s="2276">
        <v>1</v>
      </c>
      <c r="L46" s="3162" t="s">
        <v>2506</v>
      </c>
      <c r="M46" s="3162"/>
      <c r="N46" s="3163" t="str">
        <f>项目基本情况!B1</f>
        <v>北京市房地产抵押价值预评估</v>
      </c>
      <c r="O46" s="3163"/>
      <c r="P46" s="3163"/>
      <c r="Q46" s="1177"/>
    </row>
    <row r="47" spans="1:17" ht="12" customHeight="1">
      <c r="A47" s="34" t="s">
        <v>1530</v>
      </c>
      <c r="B47" s="35"/>
      <c r="C47" s="36"/>
      <c r="D47" s="979" t="s">
        <v>1531</v>
      </c>
      <c r="E47" s="231" t="s">
        <v>1532</v>
      </c>
      <c r="F47" s="37" t="s">
        <v>1533</v>
      </c>
      <c r="G47" s="2303" t="s">
        <v>1534</v>
      </c>
      <c r="H47" s="2678"/>
      <c r="I47" s="862"/>
      <c r="J47" s="2562"/>
      <c r="K47" s="2276">
        <v>2</v>
      </c>
      <c r="L47" s="3162" t="s">
        <v>2507</v>
      </c>
      <c r="M47" s="3162"/>
      <c r="N47" s="3164">
        <f>'数据-取费表'!B2</f>
        <v>44886</v>
      </c>
      <c r="O47" s="3164"/>
      <c r="P47" s="3164"/>
      <c r="Q47" s="1177"/>
    </row>
    <row r="48" spans="1:17" ht="26.4">
      <c r="A48" s="3237" t="s">
        <v>1536</v>
      </c>
      <c r="B48" s="3171"/>
      <c r="C48" s="3171"/>
      <c r="D48" s="11">
        <f ca="1">IF(H48="情况1",0,IF(H48="情况2",D52,IF(H48="情况3",D53,IF(H48="情况4",D54))))</f>
        <v>356</v>
      </c>
      <c r="E48" s="1199" t="str">
        <f>IF(H48="情况4","(销售额-原购置价)×税（费）率","销售额×税（费）率")</f>
        <v>销售额×税（费）率</v>
      </c>
      <c r="F48" s="2304">
        <f>IF(H48="情况1","免征",'数据-取费表'!E29)</f>
        <v>5.6000000000000001E-2</v>
      </c>
      <c r="G48" s="2305" t="s">
        <v>1537</v>
      </c>
      <c r="H48" s="2306" t="s">
        <v>1538</v>
      </c>
      <c r="I48" s="2678"/>
      <c r="J48" s="2569"/>
      <c r="K48" s="2276">
        <v>3</v>
      </c>
      <c r="L48" s="3162" t="s">
        <v>2508</v>
      </c>
      <c r="M48" s="3162"/>
      <c r="N48" s="3163">
        <f ca="1">I102</f>
        <v>6677</v>
      </c>
      <c r="O48" s="3163"/>
      <c r="P48" s="3163"/>
      <c r="Q48" s="1177"/>
    </row>
    <row r="49" spans="1:17" ht="25.5" customHeight="1">
      <c r="A49" s="1883" t="s">
        <v>1540</v>
      </c>
      <c r="B49" s="3210" t="s">
        <v>1541</v>
      </c>
      <c r="C49" s="3210"/>
      <c r="D49" s="2307">
        <v>0</v>
      </c>
      <c r="E49" s="257" t="s">
        <v>1542</v>
      </c>
      <c r="F49" s="2308" t="s">
        <v>48</v>
      </c>
      <c r="G49" s="3152"/>
      <c r="H49" s="2309" t="s">
        <v>2582</v>
      </c>
      <c r="I49" s="2310"/>
      <c r="J49" s="2570"/>
      <c r="K49" s="2276">
        <v>4</v>
      </c>
      <c r="L49" s="3162" t="str">
        <f>IF(项目基本情况!F5="房地产抵押价值","房地产抵押价值","抵押担保权已注销时的房地产抵押价值")</f>
        <v>房地产抵押价值</v>
      </c>
      <c r="M49" s="3162"/>
      <c r="N49" s="3163">
        <f ca="1">IF(项目基本情况!F5="房地产抵押价值",I110,I112)</f>
        <v>6677</v>
      </c>
      <c r="O49" s="3163"/>
      <c r="P49" s="3163"/>
      <c r="Q49" s="1177"/>
    </row>
    <row r="50" spans="1:17" ht="25.5" customHeight="1">
      <c r="A50" s="1875"/>
      <c r="B50" s="3210" t="s">
        <v>1543</v>
      </c>
      <c r="C50" s="3210"/>
      <c r="D50" s="2311"/>
      <c r="E50" s="265"/>
      <c r="F50" s="2308"/>
      <c r="G50" s="3153"/>
      <c r="H50" s="2312" t="s">
        <v>2501</v>
      </c>
      <c r="I50" s="2310"/>
      <c r="J50" s="2570"/>
      <c r="K50" s="3162" t="s">
        <v>2509</v>
      </c>
      <c r="L50" s="3162"/>
      <c r="M50" s="3162"/>
      <c r="N50" s="3162"/>
      <c r="O50" s="3162"/>
      <c r="P50" s="3162"/>
      <c r="Q50" s="1177"/>
    </row>
    <row r="51" spans="1:17" ht="20.399999999999999" customHeight="1">
      <c r="A51" s="2313"/>
      <c r="B51" s="3210" t="s">
        <v>1545</v>
      </c>
      <c r="C51" s="3210"/>
      <c r="D51" s="979"/>
      <c r="E51" s="260"/>
      <c r="F51" s="2308"/>
      <c r="G51" s="3154"/>
      <c r="H51" s="2312" t="s">
        <v>2502</v>
      </c>
      <c r="I51" s="2310"/>
      <c r="J51" s="2570"/>
      <c r="K51" s="2277" t="s">
        <v>2510</v>
      </c>
      <c r="L51" s="3162" t="s">
        <v>2511</v>
      </c>
      <c r="M51" s="3162"/>
      <c r="N51" s="2277" t="s">
        <v>2512</v>
      </c>
      <c r="O51" s="2277" t="s">
        <v>2513</v>
      </c>
      <c r="P51" s="2277" t="s">
        <v>2514</v>
      </c>
      <c r="Q51" s="1177"/>
    </row>
    <row r="52" spans="1:17" ht="24" customHeight="1">
      <c r="A52" s="1876" t="s">
        <v>1551</v>
      </c>
      <c r="B52" s="3210" t="s">
        <v>1552</v>
      </c>
      <c r="C52" s="3210"/>
      <c r="D52" s="979">
        <f ca="1">ROUND(D45*'数据-取费表'!E29/(1+'数据-取费表'!F30),0)</f>
        <v>356</v>
      </c>
      <c r="E52" s="1199" t="s">
        <v>1553</v>
      </c>
      <c r="F52" s="2314">
        <f>'数据-取费表'!E29</f>
        <v>5.6000000000000001E-2</v>
      </c>
      <c r="G52" s="2315"/>
      <c r="H52" s="862"/>
      <c r="I52" s="2679"/>
      <c r="J52" s="2570"/>
      <c r="K52" s="2276">
        <v>1</v>
      </c>
      <c r="L52" s="3151" t="s">
        <v>2515</v>
      </c>
      <c r="M52" s="3151"/>
      <c r="N52" s="2278">
        <f ca="1">D48</f>
        <v>356</v>
      </c>
      <c r="O52" s="2276" t="str">
        <f>E48</f>
        <v>销售额×税（费）率</v>
      </c>
      <c r="P52" s="2279">
        <f>F48</f>
        <v>5.6000000000000001E-2</v>
      </c>
      <c r="Q52" s="1177"/>
    </row>
    <row r="53" spans="1:17" ht="12" customHeight="1">
      <c r="A53" s="1876" t="s">
        <v>1555</v>
      </c>
      <c r="B53" s="3222" t="s">
        <v>2593</v>
      </c>
      <c r="C53" s="3211"/>
      <c r="D53" s="979">
        <f ca="1">ROUND(D45*'数据-取费表'!E29/(1+'数据-取费表'!F30),0)</f>
        <v>356</v>
      </c>
      <c r="E53" s="1199" t="s">
        <v>1553</v>
      </c>
      <c r="F53" s="2314">
        <f>'数据-取费表'!E29</f>
        <v>5.6000000000000001E-2</v>
      </c>
      <c r="G53" s="2315"/>
      <c r="H53" s="862"/>
      <c r="I53" s="2679"/>
      <c r="J53" s="2570"/>
      <c r="K53" s="2276">
        <v>2</v>
      </c>
      <c r="L53" s="3151" t="s">
        <v>2516</v>
      </c>
      <c r="M53" s="3151"/>
      <c r="N53" s="2278">
        <f t="shared" ref="N53:P54" si="1">D55</f>
        <v>0</v>
      </c>
      <c r="O53" s="2276" t="str">
        <f t="shared" si="1"/>
        <v>销售额×税（费）率</v>
      </c>
      <c r="P53" s="2279" t="str">
        <f t="shared" si="1"/>
        <v>免征</v>
      </c>
      <c r="Q53" s="1177"/>
    </row>
    <row r="54" spans="1:17" ht="12" customHeight="1">
      <c r="A54" s="1876" t="s">
        <v>1557</v>
      </c>
      <c r="B54" s="3222" t="s">
        <v>2594</v>
      </c>
      <c r="C54" s="3211"/>
      <c r="D54" s="979">
        <f ca="1">C68</f>
        <v>356</v>
      </c>
      <c r="E54" s="260" t="s">
        <v>1558</v>
      </c>
      <c r="F54" s="2314">
        <f>'数据-取费表'!E29</f>
        <v>5.6000000000000001E-2</v>
      </c>
      <c r="G54" s="2315"/>
      <c r="H54" s="2680"/>
      <c r="I54" s="2679"/>
      <c r="J54" s="2570"/>
      <c r="K54" s="2276">
        <v>3</v>
      </c>
      <c r="L54" s="3151" t="s">
        <v>2517</v>
      </c>
      <c r="M54" s="3151"/>
      <c r="N54" s="2278">
        <f t="shared" si="1"/>
        <v>0</v>
      </c>
      <c r="O54" s="2276" t="str">
        <f t="shared" si="1"/>
        <v>增值额×税（费）率</v>
      </c>
      <c r="P54" s="2280" t="str">
        <f t="shared" si="1"/>
        <v>免征</v>
      </c>
      <c r="Q54" s="1177"/>
    </row>
    <row r="55" spans="1:17" ht="24" customHeight="1">
      <c r="A55" s="3175" t="s">
        <v>1560</v>
      </c>
      <c r="B55" s="3171"/>
      <c r="C55" s="3171"/>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151" t="str">
        <f>IF(H59="非个人房产","——","个人所得税")</f>
        <v>——</v>
      </c>
      <c r="M55" s="3151"/>
      <c r="N55" s="2281" t="str">
        <f>D59</f>
        <v>——</v>
      </c>
      <c r="O55" s="2282" t="str">
        <f>E59</f>
        <v>——</v>
      </c>
      <c r="P55" s="2283" t="str">
        <f>F59</f>
        <v>——</v>
      </c>
      <c r="Q55" s="1177"/>
    </row>
    <row r="56" spans="1:17" ht="25.2">
      <c r="A56" s="3175" t="s">
        <v>1563</v>
      </c>
      <c r="B56" s="3171"/>
      <c r="C56" s="3171"/>
      <c r="D56" s="11">
        <f>IF(H56="个人住宅",D57,D58)</f>
        <v>0</v>
      </c>
      <c r="E56" s="1199" t="s">
        <v>1564</v>
      </c>
      <c r="F56" s="2314" t="str">
        <f>IF(H56="正常",F58,"免征")</f>
        <v>免征</v>
      </c>
      <c r="G56" s="2316" t="s">
        <v>1565</v>
      </c>
      <c r="H56" s="2317" t="s">
        <v>2498</v>
      </c>
      <c r="I56" s="2681"/>
      <c r="J56" s="2570"/>
      <c r="K56" s="2276" t="str">
        <f>IF(项目基本情况!I6="上海银行",IF(K55="",4,K55+1),"")</f>
        <v/>
      </c>
      <c r="L56" s="3149" t="str">
        <f>IF(项目基本情况!I6="上海银行","其他处置费用","")</f>
        <v/>
      </c>
      <c r="M56" s="3169"/>
      <c r="N56" s="2278" t="str">
        <f>IF(项目基本情况!I6="上海银行",N69,"")</f>
        <v/>
      </c>
      <c r="O56" s="3149" t="str">
        <f>IF(项目基本情况!I6="上海银行","包含处置中涉及的律师、诉讼、拍卖、评估等费用","")</f>
        <v/>
      </c>
      <c r="P56" s="3150"/>
      <c r="Q56" s="1177"/>
    </row>
    <row r="57" spans="1:17" ht="13.2">
      <c r="A57" s="1876" t="s">
        <v>1540</v>
      </c>
      <c r="B57" s="3222" t="s">
        <v>1566</v>
      </c>
      <c r="C57" s="3211"/>
      <c r="D57" s="2307">
        <v>0</v>
      </c>
      <c r="E57" s="257" t="s">
        <v>1542</v>
      </c>
      <c r="F57" s="231"/>
      <c r="G57" s="2315"/>
      <c r="H57" s="2681"/>
      <c r="I57" s="2681"/>
      <c r="J57" s="2570"/>
      <c r="K57" s="3151">
        <f>IF(AND(K55="",K56=""),4,IF(项目基本情况!I6="上海银行",K56+1,K55+1))</f>
        <v>4</v>
      </c>
      <c r="L57" s="3151" t="s">
        <v>2518</v>
      </c>
      <c r="M57" s="2284" t="s">
        <v>2519</v>
      </c>
      <c r="N57" s="2285"/>
      <c r="O57" s="2286">
        <f ca="1">SUMIF(N52:N56,"&lt;9e307")</f>
        <v>356</v>
      </c>
      <c r="P57" s="2287"/>
      <c r="Q57" s="1175">
        <f ca="1">O57/N49</f>
        <v>5.3317358094952826E-2</v>
      </c>
    </row>
    <row r="58" spans="1:17" ht="25.2">
      <c r="A58" s="1876" t="s">
        <v>1551</v>
      </c>
      <c r="B58" s="3222" t="s">
        <v>1569</v>
      </c>
      <c r="C58" s="3210"/>
      <c r="D58" s="11">
        <f ca="1">IF(H58="转让取得",C81,C97)</f>
        <v>3779</v>
      </c>
      <c r="E58" s="1199" t="s">
        <v>1564</v>
      </c>
      <c r="F58" s="231" t="s">
        <v>48</v>
      </c>
      <c r="G58" s="2315"/>
      <c r="H58" s="2317" t="s">
        <v>1570</v>
      </c>
      <c r="I58" s="2681"/>
      <c r="J58" s="2570"/>
      <c r="K58" s="3151"/>
      <c r="L58" s="3151"/>
      <c r="M58" s="2284" t="s">
        <v>2520</v>
      </c>
      <c r="N58" s="2288"/>
      <c r="O58" s="2289" t="str">
        <f ca="1">IF(H19="元",NUMBERSTRING(INT(O57),2)&amp;"元整",NUMBERSTRING(INT(O57*10000),2)&amp;"元整")</f>
        <v>叁佰伍拾陆万元整</v>
      </c>
      <c r="P58" s="2290"/>
      <c r="Q58" s="1177"/>
    </row>
    <row r="59" spans="1:17" ht="24.6" thickBot="1">
      <c r="A59" s="3238" t="s">
        <v>1572</v>
      </c>
      <c r="B59" s="3239"/>
      <c r="C59" s="3239"/>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04">
        <f>K57+1</f>
        <v>5</v>
      </c>
      <c r="L59" s="3151" t="s">
        <v>2521</v>
      </c>
      <c r="M59" s="2276" t="s">
        <v>2519</v>
      </c>
      <c r="N59" s="2291"/>
      <c r="O59" s="2292">
        <f ca="1">N49-O57</f>
        <v>6321</v>
      </c>
      <c r="P59" s="2293"/>
      <c r="Q59" s="1177"/>
    </row>
    <row r="60" spans="1:17" ht="12" customHeight="1">
      <c r="A60" s="1309"/>
      <c r="B60" s="1313"/>
      <c r="C60" s="1313"/>
      <c r="D60" s="1313"/>
      <c r="E60" s="735"/>
      <c r="F60" s="2682"/>
      <c r="G60" s="2682"/>
      <c r="H60" s="2683"/>
      <c r="I60" s="27"/>
      <c r="K60" s="3205"/>
      <c r="L60" s="3151"/>
      <c r="M60" s="2284" t="s">
        <v>2520</v>
      </c>
      <c r="N60" s="2288"/>
      <c r="O60" s="2289" t="str">
        <f ca="1">IF(H19="元",NUMBERSTRING(INT(O59),2)&amp;"元整",NUMBERSTRING(INT(O59*10000),2)&amp;"元整")</f>
        <v>陆仟叁佰贰拾壹万元整</v>
      </c>
      <c r="P60" s="2290"/>
      <c r="Q60" s="1177"/>
    </row>
    <row r="61" spans="1:17" ht="13.8" thickBot="1">
      <c r="A61" s="3240" t="s">
        <v>1574</v>
      </c>
      <c r="B61" s="3240"/>
      <c r="C61" s="3240"/>
      <c r="D61" s="3240"/>
      <c r="E61" s="3240"/>
      <c r="F61" s="2682"/>
      <c r="G61" s="2682"/>
      <c r="H61" s="33"/>
      <c r="I61" s="27"/>
      <c r="K61" s="2276">
        <f>K59+1</f>
        <v>6</v>
      </c>
      <c r="L61" s="3151" t="s">
        <v>2522</v>
      </c>
      <c r="M61" s="3151"/>
      <c r="N61" s="2294"/>
      <c r="O61" s="2295">
        <f ca="1">IF(H19="元",ROUND(O59/项目基本情况!C12,0),ROUND(O59*10000/项目基本情况!C12,0))</f>
        <v>24663</v>
      </c>
      <c r="P61" s="2296"/>
      <c r="Q61" s="1177"/>
    </row>
    <row r="62" spans="1:17" ht="13.2">
      <c r="A62" s="3189" t="s">
        <v>1576</v>
      </c>
      <c r="B62" s="3190"/>
      <c r="C62" s="1445"/>
      <c r="D62" s="1445" t="s">
        <v>1577</v>
      </c>
      <c r="E62" s="41" t="s">
        <v>1578</v>
      </c>
      <c r="F62" s="2682"/>
      <c r="G62" s="2682"/>
      <c r="H62" s="33"/>
      <c r="I62" s="27"/>
      <c r="K62" s="2297"/>
      <c r="L62" s="2297"/>
      <c r="M62" s="2297"/>
      <c r="N62" s="2297"/>
      <c r="O62" s="2297"/>
      <c r="P62" s="2297"/>
      <c r="Q62" s="1177"/>
    </row>
    <row r="63" spans="1:17" ht="13.2">
      <c r="A63" s="42">
        <v>1</v>
      </c>
      <c r="B63" s="43" t="s">
        <v>1579</v>
      </c>
      <c r="C63" s="2501">
        <f ca="1">ROUND((C64+C65)/(1+'数据-取费表'!F30),0)</f>
        <v>6359</v>
      </c>
      <c r="D63" s="43"/>
      <c r="E63" s="44"/>
      <c r="F63" s="2682"/>
      <c r="G63" s="2682"/>
      <c r="H63" s="33"/>
      <c r="I63" s="27"/>
      <c r="K63" s="3170" t="s">
        <v>2523</v>
      </c>
      <c r="L63" s="2298" t="s">
        <v>2524</v>
      </c>
      <c r="M63" s="2298">
        <f ca="1">IF(N49&gt;10000,N49*0.5%,IF(AND(N49&gt;1000,N49&lt;=10000),N49*1%,IF(AND(N49&gt;100,N49&lt;=1000),N49*3%,IF(AND(N49&gt;10,N49&lt;=100),N49*5%,N49*8%))))</f>
        <v>66.77</v>
      </c>
      <c r="N63" s="2299">
        <f ca="1">ROUND(M63,1)</f>
        <v>66.8</v>
      </c>
      <c r="O63" s="2297"/>
      <c r="P63" s="2297"/>
      <c r="Q63" s="1177"/>
    </row>
    <row r="64" spans="1:17" ht="13.2">
      <c r="A64" s="45" t="s">
        <v>71</v>
      </c>
      <c r="B64" s="46" t="s">
        <v>1582</v>
      </c>
      <c r="C64" s="2502">
        <f ca="1">D45</f>
        <v>6677</v>
      </c>
      <c r="D64" s="46" t="s">
        <v>41</v>
      </c>
      <c r="E64" s="48"/>
      <c r="F64" s="2682"/>
      <c r="G64" s="2682"/>
      <c r="H64" s="33"/>
      <c r="I64" s="27"/>
      <c r="K64" s="3170"/>
      <c r="L64" s="2298" t="s">
        <v>2525</v>
      </c>
      <c r="M64" s="2298">
        <f ca="1">IF(N49&gt;2000,N49*0.5%,IF(AND(N49&gt;1000,N49&lt;=2000),N49*0.6%,IF(AND(N49&gt;500,N49&lt;=1000),N49*0.7%,IF(AND(N49&gt;200,N49&lt;=500),N49*0.8%,IF(AND(N49&gt;100,N49&lt;=200),N49*0.9%,IF(AND(N49&gt;50,N49&lt;=100),N49*1%,IF(AND(N49&gt;20,N49&lt;=50),N49*1.5%,IF(AND(N49&gt;10,N49&lt;=20),N49*2%,IF(AND(N49&gt;1,N49&lt;=10),N49*2.5%)))))))))</f>
        <v>33.384999999999998</v>
      </c>
      <c r="N64" s="2299">
        <f t="shared" ref="N64:N65" ca="1" si="2">ROUND(M64,1)</f>
        <v>33.4</v>
      </c>
      <c r="O64" s="2297" t="s">
        <v>2526</v>
      </c>
      <c r="P64" s="2297"/>
      <c r="Q64" s="1177"/>
    </row>
    <row r="65" spans="1:36" ht="13.2">
      <c r="A65" s="45" t="s">
        <v>72</v>
      </c>
      <c r="B65" s="46" t="s">
        <v>1585</v>
      </c>
      <c r="C65" s="2503"/>
      <c r="D65" s="46"/>
      <c r="E65" s="48"/>
      <c r="F65" s="2682"/>
      <c r="G65" s="2682"/>
      <c r="H65" s="33"/>
      <c r="I65" s="27"/>
      <c r="K65" s="3170"/>
      <c r="L65" s="2298" t="s">
        <v>2527</v>
      </c>
      <c r="M65" s="2298">
        <f ca="1">IF(N49&gt;1000,N49*0.1%,IF(AND(N49&gt;500,N49&lt;=1000),N49*0.5%,IF(AND(N49&gt;50,N49&lt;=500),N49*1%,IF(AND(N49&gt;1,N49&lt;=50),N49*1.5%))))</f>
        <v>6.6770000000000005</v>
      </c>
      <c r="N65" s="2299">
        <f t="shared" ca="1" si="2"/>
        <v>6.7</v>
      </c>
      <c r="O65" s="2297" t="s">
        <v>2526</v>
      </c>
      <c r="P65" s="2297"/>
      <c r="Q65" s="1177"/>
    </row>
    <row r="66" spans="1:36" ht="25.2">
      <c r="A66" s="49" t="s">
        <v>47</v>
      </c>
      <c r="B66" s="50" t="s">
        <v>1587</v>
      </c>
      <c r="C66" s="2504"/>
      <c r="D66" s="50" t="s">
        <v>41</v>
      </c>
      <c r="E66" s="1185" t="s">
        <v>1588</v>
      </c>
      <c r="F66" s="2682"/>
      <c r="G66" s="2682"/>
      <c r="H66" s="33"/>
      <c r="I66" s="27"/>
      <c r="K66" s="3170"/>
      <c r="L66" s="2298" t="s">
        <v>2528</v>
      </c>
      <c r="M66" s="2298">
        <f ca="1">N49*0.5%</f>
        <v>33.384999999999998</v>
      </c>
      <c r="N66" s="2299">
        <f ca="1">IF(M66&gt;0.5,0.5,ROUND(M66,0))</f>
        <v>0.5</v>
      </c>
      <c r="O66" s="2297" t="s">
        <v>2529</v>
      </c>
      <c r="P66" s="2297"/>
      <c r="Q66" s="1177"/>
    </row>
    <row r="67" spans="1:36" ht="13.2">
      <c r="A67" s="49" t="s">
        <v>42</v>
      </c>
      <c r="B67" s="50" t="s">
        <v>1591</v>
      </c>
      <c r="C67" s="2505">
        <f ca="1">C63-C66</f>
        <v>6359</v>
      </c>
      <c r="D67" s="46" t="s">
        <v>41</v>
      </c>
      <c r="E67" s="48"/>
      <c r="F67" s="2682"/>
      <c r="G67" s="2682"/>
      <c r="H67" s="33"/>
      <c r="I67" s="27"/>
      <c r="K67" s="3170"/>
      <c r="L67" s="2298" t="s">
        <v>2530</v>
      </c>
      <c r="M67" s="2298">
        <f ca="1">IF(N49&gt;=10000,(8.25+(N49-10000)*0.01%),IF(AND(N49&gt;=8000,N49&lt;10000),(7.85+(N49-8000)*0.02%),IF(AND(N49&gt;=5000,N49&lt;8000),(6.65+(N49-5000)*0.04%),IF(AND(N49&gt;=2000,N49&lt;5000),(4.25+(PN49-2000)*0.08%),IF(AND(N49&gt;=1000,N49&lt;2000),(2.75+(N49-1000)*0.15%),IF(AND(N49&gt;=100,N49&lt;1000),(0.5+(N49-100)*0.25%),IF(AND(N49&gt;0,N49&lt;100),N49*0.5%)))))))</f>
        <v>7.3208000000000002</v>
      </c>
      <c r="N67" s="2299">
        <f ca="1">ROUND(M67*0.9,1)</f>
        <v>6.6</v>
      </c>
      <c r="O67" s="2297"/>
      <c r="P67" s="2297"/>
      <c r="Q67" s="1177"/>
    </row>
    <row r="68" spans="1:36" ht="13.8" thickBot="1">
      <c r="A68" s="51" t="s">
        <v>46</v>
      </c>
      <c r="B68" s="52" t="s">
        <v>1593</v>
      </c>
      <c r="C68" s="2506">
        <f ca="1">IF(C67&lt;=0,0,ROUND(C67*D68,0))</f>
        <v>356</v>
      </c>
      <c r="D68" s="2023">
        <f>'数据-取费表'!E29</f>
        <v>5.6000000000000001E-2</v>
      </c>
      <c r="E68" s="53"/>
      <c r="F68" s="2682"/>
      <c r="G68" s="2682"/>
      <c r="H68" s="33"/>
      <c r="I68" s="27"/>
      <c r="K68" s="3170"/>
      <c r="L68" s="2298" t="s">
        <v>2531</v>
      </c>
      <c r="M68" s="2298">
        <f ca="1">IF(N49&gt;10000,N49*0.5%,IF(AND(N49&gt;5000,N49&lt;=10000),N49*1%,IF(AND(N49&gt;1000,N49&lt;=5000),N49*2%,IF(AND(N49&gt;200,N49&lt;=1000),N49*3%,N49*5%))))</f>
        <v>66.77</v>
      </c>
      <c r="N68" s="2299">
        <f ca="1">ROUND(M68,1)</f>
        <v>66.8</v>
      </c>
      <c r="O68" s="2297"/>
      <c r="P68" s="2297"/>
      <c r="Q68" s="1177"/>
    </row>
    <row r="69" spans="1:36" ht="7.5" customHeight="1">
      <c r="A69" s="1326"/>
      <c r="B69" s="1327"/>
      <c r="C69" s="1328"/>
      <c r="D69" s="1329"/>
      <c r="E69" s="1330"/>
      <c r="F69" s="735"/>
      <c r="G69" s="735"/>
      <c r="H69" s="786"/>
      <c r="I69" s="1313"/>
      <c r="K69" s="3170"/>
      <c r="L69" s="2298" t="s">
        <v>54</v>
      </c>
      <c r="M69" s="2298"/>
      <c r="N69" s="2299">
        <f ca="1">ROUND(SUM(N63:N68),0)</f>
        <v>181</v>
      </c>
      <c r="O69" s="2300">
        <f ca="1">N69/N49</f>
        <v>2.7107982626928262E-2</v>
      </c>
      <c r="P69" s="2297"/>
      <c r="Q69" s="1177"/>
    </row>
    <row r="70" spans="1:36" s="582" customFormat="1" ht="14.4" thickBot="1">
      <c r="A70" s="3191" t="s">
        <v>1596</v>
      </c>
      <c r="B70" s="3192"/>
      <c r="C70" s="3192"/>
      <c r="D70" s="3192"/>
      <c r="E70" s="3192"/>
      <c r="F70" s="3192"/>
      <c r="G70" s="3192"/>
      <c r="H70" s="3192"/>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189" t="s">
        <v>1576</v>
      </c>
      <c r="B71" s="3190"/>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5">
        <f ca="1">ROUND(D45/(1+'数据-取费表'!F30),0)</f>
        <v>6359</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5">
        <f ca="1">C74+C78</f>
        <v>38</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222" t="s">
        <v>1606</v>
      </c>
      <c r="F76" s="3210"/>
      <c r="G76" s="3210"/>
      <c r="H76" s="3223"/>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38</v>
      </c>
      <c r="D78" s="2514">
        <f>'数据-取费表'!E31</f>
        <v>6.000000000000001E-3</v>
      </c>
      <c r="E78" s="3158" t="s">
        <v>1611</v>
      </c>
      <c r="F78" s="3159"/>
      <c r="G78" s="3159"/>
      <c r="H78" s="3179"/>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5">
        <f ca="1">C72-C73</f>
        <v>6321</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f ca="1">IF(C79&lt;=0,0,C79/C73)</f>
        <v>166.34210526315789</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6">
        <f ca="1">ROUND(IF(C79&lt;=0,0,IF(C80&gt;=200%,C79*60%-C73*35%,IF(C80&gt;=100%,C79*50%-C73*15%,IF(C80&gt;=50%,C79*40%-C73*5%,IF(C80&lt;50%,C79*30%,0))))),0)</f>
        <v>3779</v>
      </c>
      <c r="D81" s="1957"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191" t="s">
        <v>1615</v>
      </c>
      <c r="B83" s="3192"/>
      <c r="C83" s="3192"/>
      <c r="D83" s="3192"/>
      <c r="E83" s="3192"/>
      <c r="F83" s="3192"/>
      <c r="G83" s="3192"/>
      <c r="H83" s="3192"/>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189" t="s">
        <v>1576</v>
      </c>
      <c r="B84" s="3190"/>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6359</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5">
        <f ca="1">IF(H88="仅含出让金",C87+C90+C91+C92+C93+C94,C87+C91+C92+C93+C94)</f>
        <v>38</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198" t="s">
        <v>2493</v>
      </c>
      <c r="H90" s="3198"/>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58" t="s">
        <v>1623</v>
      </c>
      <c r="F91" s="3159"/>
      <c r="G91" s="3159"/>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58" t="s">
        <v>1626</v>
      </c>
      <c r="F92" s="3159"/>
      <c r="G92" s="3159"/>
      <c r="H92" s="3179"/>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38</v>
      </c>
      <c r="D93" s="2514">
        <f>'数据-取费表'!E31</f>
        <v>6.000000000000001E-3</v>
      </c>
      <c r="E93" s="3158" t="s">
        <v>1611</v>
      </c>
      <c r="F93" s="3159"/>
      <c r="G93" s="3159"/>
      <c r="H93" s="3179"/>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58" t="s">
        <v>1628</v>
      </c>
      <c r="F94" s="3159"/>
      <c r="G94" s="3159"/>
      <c r="H94" s="3179"/>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5">
        <f ca="1">ROUND(C85-C86,0)</f>
        <v>6321</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f ca="1">IF(C95&lt;=0,0,C95/C86)</f>
        <v>166.34210526315789</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6">
        <f ca="1">ROUND(IF(C95&lt;=0,0,IF(C96&gt;=200%,C95*60%-C86*35%,IF(C96&gt;=100%,C95*50%-C86*15%,IF(C96&gt;=50%,C95*40%-C86*5%,IF(C96&lt;50%,C95*30%,0))))),0)</f>
        <v>3779</v>
      </c>
      <c r="D97" s="1957"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176" t="s">
        <v>1630</v>
      </c>
      <c r="B99" s="3177"/>
      <c r="C99" s="3177"/>
      <c r="D99" s="3178"/>
      <c r="E99" s="1313"/>
      <c r="F99" s="3186" t="s">
        <v>1631</v>
      </c>
      <c r="G99" s="3187"/>
      <c r="H99" s="3187"/>
      <c r="I99" s="3188"/>
      <c r="J99" s="2576"/>
    </row>
    <row r="100" spans="1:36" ht="15">
      <c r="A100" s="3193" t="s">
        <v>1632</v>
      </c>
      <c r="B100" s="3194"/>
      <c r="C100" s="1176" t="str">
        <f>C4</f>
        <v>成本法</v>
      </c>
      <c r="D100" s="2524" t="str">
        <f>D4</f>
        <v>收益法</v>
      </c>
      <c r="E100" s="1313"/>
      <c r="F100" s="3195" t="s">
        <v>2537</v>
      </c>
      <c r="G100" s="3197"/>
      <c r="H100" s="3195" t="s">
        <v>2538</v>
      </c>
      <c r="I100" s="3196"/>
      <c r="J100" s="2577"/>
    </row>
    <row r="101" spans="1:36" ht="13.2">
      <c r="A101" s="3212" t="s">
        <v>2570</v>
      </c>
      <c r="B101" s="1840" t="str">
        <f>IF(H19="元","总价（元）","总价（万元）")</f>
        <v>总价（万元）</v>
      </c>
      <c r="C101" s="1176">
        <f ca="1">C19</f>
        <v>7817</v>
      </c>
      <c r="D101" s="2524">
        <f ca="1">D19</f>
        <v>4017</v>
      </c>
      <c r="E101" s="1313"/>
      <c r="F101" s="3195" t="str">
        <f>项目基本情况!I1</f>
        <v>北京市房地产</v>
      </c>
      <c r="G101" s="3197"/>
      <c r="H101" s="3199">
        <f>项目基本情况!C12</f>
        <v>2562.92</v>
      </c>
      <c r="I101" s="3196"/>
      <c r="J101" s="2577"/>
    </row>
    <row r="102" spans="1:36" ht="13.2">
      <c r="A102" s="3212"/>
      <c r="B102" s="1840" t="s">
        <v>2571</v>
      </c>
      <c r="C102" s="2525">
        <f ca="1">C20</f>
        <v>30500</v>
      </c>
      <c r="D102" s="2526">
        <f ca="1">D20</f>
        <v>15674</v>
      </c>
      <c r="E102" s="1313"/>
      <c r="F102" s="3182" t="s">
        <v>2567</v>
      </c>
      <c r="G102" s="3183"/>
      <c r="H102" s="2534" t="str">
        <f>C106</f>
        <v>总价（万元）</v>
      </c>
      <c r="I102" s="2535">
        <f ca="1">H121</f>
        <v>6677</v>
      </c>
      <c r="J102" s="2577"/>
    </row>
    <row r="103" spans="1:36" ht="13.2">
      <c r="A103" s="3212" t="s">
        <v>2572</v>
      </c>
      <c r="B103" s="2026" t="str">
        <f>B101</f>
        <v>总价（万元）</v>
      </c>
      <c r="C103" s="2529">
        <f ca="1">H121</f>
        <v>6677</v>
      </c>
      <c r="D103" s="2527"/>
      <c r="E103" s="1313"/>
      <c r="F103" s="3182"/>
      <c r="G103" s="3183"/>
      <c r="H103" s="2534" t="s">
        <v>2540</v>
      </c>
      <c r="I103" s="48">
        <f ca="1">I121</f>
        <v>26052</v>
      </c>
      <c r="J103" s="2561"/>
    </row>
    <row r="104" spans="1:36" ht="13.8" thickBot="1">
      <c r="A104" s="3213"/>
      <c r="B104" s="2531" t="s">
        <v>2571</v>
      </c>
      <c r="C104" s="2532">
        <f ca="1">I121</f>
        <v>26052</v>
      </c>
      <c r="D104" s="2533"/>
      <c r="E104" s="1313"/>
      <c r="F104" s="3182"/>
      <c r="G104" s="3183"/>
      <c r="H104" s="3214"/>
      <c r="I104" s="3215"/>
      <c r="J104" s="2578"/>
    </row>
    <row r="105" spans="1:36" ht="13.8">
      <c r="A105" s="3176" t="s">
        <v>1633</v>
      </c>
      <c r="B105" s="3177"/>
      <c r="C105" s="3177"/>
      <c r="D105" s="3178"/>
      <c r="E105" s="1313"/>
      <c r="F105" s="3218" t="s">
        <v>2541</v>
      </c>
      <c r="G105" s="3219"/>
      <c r="H105" s="2536" t="str">
        <f>C108</f>
        <v>总额（万元）</v>
      </c>
      <c r="I105" s="2535">
        <f>SUMIF(I106:I108,"&lt;9E307")</f>
        <v>0</v>
      </c>
      <c r="J105" s="2577"/>
    </row>
    <row r="106" spans="1:36" ht="13.8">
      <c r="A106" s="3182" t="s">
        <v>2564</v>
      </c>
      <c r="B106" s="3183"/>
      <c r="C106" s="2534" t="str">
        <f>B101</f>
        <v>总价（万元）</v>
      </c>
      <c r="D106" s="2535">
        <f ca="1">H121</f>
        <v>6677</v>
      </c>
      <c r="E106" s="1313"/>
      <c r="F106" s="3184" t="s">
        <v>2542</v>
      </c>
      <c r="G106" s="3185"/>
      <c r="H106" s="2536" t="str">
        <f>C109</f>
        <v>总额（万元）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82"/>
      <c r="B107" s="3183"/>
      <c r="C107" s="2534" t="s">
        <v>2565</v>
      </c>
      <c r="D107" s="48">
        <f ca="1">I121</f>
        <v>26052</v>
      </c>
      <c r="E107" s="1313"/>
      <c r="F107" s="3184" t="s">
        <v>2543</v>
      </c>
      <c r="G107" s="3185"/>
      <c r="H107" s="2536" t="str">
        <f>C110</f>
        <v>总额（万元）</v>
      </c>
      <c r="I107" s="48">
        <f>C37</f>
        <v>0</v>
      </c>
      <c r="J107" s="2561"/>
    </row>
    <row r="108" spans="1:36" ht="13.2">
      <c r="A108" s="3253" t="s">
        <v>2541</v>
      </c>
      <c r="B108" s="3254"/>
      <c r="C108" s="2536" t="str">
        <f>IF(H19="元","总额（元）","总额（万元）")</f>
        <v>总额（万元）</v>
      </c>
      <c r="D108" s="2535">
        <f>IF(D36="正常操作",I106+I107+I108,I107+I108)</f>
        <v>0</v>
      </c>
      <c r="E108" s="1313"/>
      <c r="F108" s="3184" t="s">
        <v>2568</v>
      </c>
      <c r="G108" s="3185"/>
      <c r="H108" s="2536" t="str">
        <f>C111</f>
        <v>总额（万元）</v>
      </c>
      <c r="I108" s="48">
        <f>C38</f>
        <v>0</v>
      </c>
      <c r="J108" s="2561"/>
    </row>
    <row r="109" spans="1:36" ht="13.2">
      <c r="A109" s="3184" t="s">
        <v>2542</v>
      </c>
      <c r="B109" s="3185"/>
      <c r="C109" s="2536" t="str">
        <f>C108</f>
        <v>总额（万元）</v>
      </c>
      <c r="D109" s="48">
        <f>IF(D36="同一抵押权人同一抵押物续贷",C36&amp;"（未扣减，详见特别提示）",C36)</f>
        <v>0</v>
      </c>
      <c r="E109" s="1313"/>
      <c r="F109" s="3182"/>
      <c r="G109" s="3183"/>
      <c r="H109" s="3216"/>
      <c r="I109" s="3217"/>
      <c r="J109" s="2579"/>
    </row>
    <row r="110" spans="1:36" ht="28.5" customHeight="1">
      <c r="A110" s="3184" t="s">
        <v>2566</v>
      </c>
      <c r="B110" s="3185"/>
      <c r="C110" s="2536" t="str">
        <f>C108</f>
        <v>总额（万元）</v>
      </c>
      <c r="D110" s="48">
        <f>C37</f>
        <v>0</v>
      </c>
      <c r="E110" s="1313"/>
      <c r="F110" s="3165" t="str">
        <f>IF(项目基本情况!F5="已注销","——","3.房地产抵押价值")</f>
        <v>3.房地产抵押价值</v>
      </c>
      <c r="G110" s="3166"/>
      <c r="H110" s="2522" t="str">
        <f>C112</f>
        <v>总价（万元）</v>
      </c>
      <c r="I110" s="2535">
        <f ca="1">IF(F110="——","——",I102-I105)</f>
        <v>6677</v>
      </c>
      <c r="J110" s="2577"/>
    </row>
    <row r="111" spans="1:36" ht="13.2">
      <c r="A111" s="3184" t="s">
        <v>2545</v>
      </c>
      <c r="B111" s="3185"/>
      <c r="C111" s="2536" t="str">
        <f>C108</f>
        <v>总额（万元）</v>
      </c>
      <c r="D111" s="48">
        <f>C38</f>
        <v>0</v>
      </c>
      <c r="E111" s="1313"/>
      <c r="F111" s="3167"/>
      <c r="G111" s="3168"/>
      <c r="H111" s="2534" t="s">
        <v>2540</v>
      </c>
      <c r="I111" s="2538">
        <f ca="1">D113</f>
        <v>26052</v>
      </c>
      <c r="J111" s="2580"/>
    </row>
    <row r="112" spans="1:36" ht="26.25" customHeight="1">
      <c r="A112" s="3182" t="str">
        <f>IF(项目基本情况!F5="已注销","——","3.房地产抵押价值")</f>
        <v>3.房地产抵押价值</v>
      </c>
      <c r="B112" s="3183"/>
      <c r="C112" s="2534" t="str">
        <f>B101</f>
        <v>总价（万元）</v>
      </c>
      <c r="D112" s="2535">
        <f ca="1">IF(A112="——","——",D106-D108)</f>
        <v>6677</v>
      </c>
      <c r="E112" s="1313"/>
      <c r="F112" s="3165" t="str">
        <f>IF(项目基本情况!F5="已注销及未注销","4.抵押担保权已注销时的房地产抵押价值",IF(项目基本情况!F5="已注销","3.抵押担保权已注销时的房地产抵押价值","——"))</f>
        <v>——</v>
      </c>
      <c r="G112" s="3166"/>
      <c r="H112" s="2522" t="str">
        <f>C114</f>
        <v>总价（万元）</v>
      </c>
      <c r="I112" s="2535" t="str">
        <f>IF(F112="——","——",I102-I107-I108)</f>
        <v>——</v>
      </c>
      <c r="J112" s="2577"/>
    </row>
    <row r="113" spans="1:16" ht="13.2">
      <c r="A113" s="3182"/>
      <c r="B113" s="3183"/>
      <c r="C113" s="2534" t="s">
        <v>2533</v>
      </c>
      <c r="D113" s="48">
        <f ca="1">ROUND(IF(D112=D106,D107,IF(H19="元",D112/项目基本情况!C12,D112*10000/项目基本情况!C12)),0)</f>
        <v>26052</v>
      </c>
      <c r="E113" s="1313"/>
      <c r="F113" s="3167"/>
      <c r="G113" s="3168"/>
      <c r="H113" s="2534" t="s">
        <v>2569</v>
      </c>
      <c r="I113" s="48" t="str">
        <f>D115</f>
        <v>——</v>
      </c>
      <c r="J113" s="2561"/>
    </row>
    <row r="114" spans="1:16" ht="13.2">
      <c r="A114" s="3182" t="str">
        <f>IF(项目基本情况!F5="已注销及未注销","4.抵押担保权已注销时的房地产抵押价值",IF(项目基本情况!F5="已注销","3.抵押担保权已注销时的房地产抵押价值","——"))</f>
        <v>——</v>
      </c>
      <c r="B114" s="3183"/>
      <c r="C114" s="2534" t="str">
        <f>B101</f>
        <v>总价（万元）</v>
      </c>
      <c r="D114" s="2535" t="str">
        <f>IF(A114="——","——",D106-D110-D111)</f>
        <v>——</v>
      </c>
      <c r="E114" s="1313"/>
      <c r="F114" s="3165" t="str">
        <f>IF(项目基本情况!G5="抵押净值",IF(OR(项目基本情况!F5="已注销",项目基本情况!F5="房地产抵押价值"),"4.抵押净值","5.抵押净值"),"——")</f>
        <v>——</v>
      </c>
      <c r="G114" s="3166"/>
      <c r="H114" s="2534" t="str">
        <f>C116</f>
        <v>总价（万元）</v>
      </c>
      <c r="I114" s="2535" t="str">
        <f>IF(F114="——","——",O59)</f>
        <v>——</v>
      </c>
      <c r="J114" s="2577"/>
    </row>
    <row r="115" spans="1:16" ht="13.8" thickBot="1">
      <c r="A115" s="3182"/>
      <c r="B115" s="3183"/>
      <c r="C115" s="2534" t="s">
        <v>2533</v>
      </c>
      <c r="D115" s="48" t="str">
        <f>IF(A114="——","——",ROUND(IF(D114=D106,D107,IF(H19="元",D114/项目基本情况!C12,D114*10000/项目基本情况!C12)),0))</f>
        <v>——</v>
      </c>
      <c r="E115" s="1313"/>
      <c r="F115" s="3245"/>
      <c r="G115" s="3246"/>
      <c r="H115" s="2539" t="s">
        <v>2533</v>
      </c>
      <c r="I115" s="2523" t="str">
        <f ca="1">D117</f>
        <v>——</v>
      </c>
      <c r="J115" s="2561"/>
    </row>
    <row r="116" spans="1:16" ht="15.6">
      <c r="A116" s="3182" t="str">
        <f>IF(项目基本情况!G5="抵押净值",IF(OR(项目基本情况!F5="已注销",项目基本情况!F5="房地产抵押价值"),"4.抵押净值","5.抵押净值"),"——")</f>
        <v>——</v>
      </c>
      <c r="B116" s="3183"/>
      <c r="C116" s="2534" t="str">
        <f>B101</f>
        <v>总价（万元）</v>
      </c>
      <c r="D116" s="2535" t="str">
        <f>IF(A116="——","——",O59)</f>
        <v>——</v>
      </c>
      <c r="E116" s="1313"/>
      <c r="F116" s="3160"/>
      <c r="G116" s="3160"/>
      <c r="H116" s="3201"/>
      <c r="I116" s="3201"/>
      <c r="J116" s="2581"/>
      <c r="O116" s="28"/>
      <c r="P116" s="28"/>
    </row>
    <row r="117" spans="1:16" ht="13.8" thickBot="1">
      <c r="A117" s="3251"/>
      <c r="B117" s="3252"/>
      <c r="C117" s="2539" t="s">
        <v>2533</v>
      </c>
      <c r="D117" s="2523" t="str">
        <f ca="1">IF(D116=D112,D113,IF(A116="——","——",O61))</f>
        <v>——</v>
      </c>
      <c r="E117" s="1313"/>
      <c r="F117" s="3244" t="str">
        <f>IF(B32="总价","（以上估价结果中单价为总价除以建筑面积得出）","（以上估价结果中总价为楼面单价乘以建筑面积得出）")</f>
        <v>（以上估价结果中总价为楼面单价乘以建筑面积得出）</v>
      </c>
      <c r="G117" s="3244"/>
      <c r="H117" s="3244"/>
      <c r="I117" s="3244"/>
      <c r="J117" s="2582"/>
      <c r="O117" s="28"/>
      <c r="P117" s="28"/>
    </row>
    <row r="118" spans="1:16" ht="14.4">
      <c r="A118" s="3202" t="s">
        <v>1634</v>
      </c>
      <c r="B118" s="3203"/>
      <c r="C118" s="3203"/>
      <c r="D118" s="3203"/>
      <c r="E118" s="3203"/>
      <c r="F118" s="3203"/>
      <c r="G118" s="3203"/>
      <c r="H118" s="3203"/>
      <c r="I118" s="3203"/>
      <c r="J118" s="2583"/>
    </row>
    <row r="119" spans="1:16" ht="13.2">
      <c r="A119" s="3175" t="s">
        <v>2551</v>
      </c>
      <c r="B119" s="3173" t="s">
        <v>2561</v>
      </c>
      <c r="C119" s="3173" t="s">
        <v>2562</v>
      </c>
      <c r="D119" s="3180" t="s">
        <v>2553</v>
      </c>
      <c r="E119" s="3181"/>
      <c r="F119" s="3171" t="s">
        <v>2563</v>
      </c>
      <c r="G119" s="3171"/>
      <c r="H119" s="3171" t="s">
        <v>2554</v>
      </c>
      <c r="I119" s="3172"/>
      <c r="J119" s="2561"/>
    </row>
    <row r="120" spans="1:16" ht="13.2">
      <c r="A120" s="3175"/>
      <c r="B120" s="3174"/>
      <c r="C120" s="3174"/>
      <c r="D120" s="1199" t="s">
        <v>2555</v>
      </c>
      <c r="E120" s="1199" t="s">
        <v>2560</v>
      </c>
      <c r="F120" s="1199" t="s">
        <v>2555</v>
      </c>
      <c r="G120" s="1199" t="s">
        <v>2556</v>
      </c>
      <c r="H120" s="1199" t="s">
        <v>2555</v>
      </c>
      <c r="I120" s="48" t="s">
        <v>2556</v>
      </c>
      <c r="J120" s="2561"/>
    </row>
    <row r="121" spans="1:16" ht="13.2">
      <c r="A121" s="1876" t="str">
        <f>项目基本情况!I1</f>
        <v>北京市房地产</v>
      </c>
      <c r="B121" s="1199">
        <f>项目基本情况!C12</f>
        <v>2562.92</v>
      </c>
      <c r="C121" s="1199">
        <f>项目基本情况!C13</f>
        <v>0</v>
      </c>
      <c r="D121" s="1199">
        <f ca="1">ROUND(IF(B32="总价",C34,IF('数据-取费表'!B3="万元",E121*B121/10000,E121*B121)),0)</f>
        <v>4266</v>
      </c>
      <c r="E121" s="1199">
        <f ca="1">ROUND(IF(B32="楼面单价",C34,IF(H19="元",D121/B121,D121*10000/B121)),0)</f>
        <v>16647</v>
      </c>
      <c r="F121" s="1199">
        <f ca="1">ROUND(IF(B32="总价",C35,IF('数据-取费表'!B3="万元",G121*B121/10000,G121*B121)),0)</f>
        <v>2410</v>
      </c>
      <c r="G121" s="1199">
        <f ca="1">ROUND(IF(B32="楼面单价",C35,IF(H19="元",F121/B121,F121*10000/B121)),0)</f>
        <v>9405</v>
      </c>
      <c r="H121" s="1199">
        <f ca="1">ROUND(IF(B32="总价",C32,IF('数据-取费表'!B3="万元",I121*B121/10000,I121*B121)),0)</f>
        <v>6677</v>
      </c>
      <c r="I121" s="48">
        <f ca="1">ROUND(IF(B32="楼面单价",C32,IF(H19="元",H121/B121,H121*10000/B121)),0)</f>
        <v>26052</v>
      </c>
      <c r="J121" s="2561"/>
    </row>
    <row r="122" spans="1:16" ht="13.2">
      <c r="A122" s="3175" t="s">
        <v>2557</v>
      </c>
      <c r="B122" s="3171"/>
      <c r="C122" s="3171"/>
      <c r="D122" s="3206" t="str">
        <f ca="1">IF(H19="元",NUMBERSTRING(INT(D121),2)&amp;"元整",NUMBERSTRING(INT(D121*10000),2)&amp;"元整")</f>
        <v>肆仟贰佰陆拾陆万元整</v>
      </c>
      <c r="E122" s="3207"/>
      <c r="F122" s="3206" t="str">
        <f ca="1">IF(H19="元",NUMBERSTRING(INT(F121),2)&amp;"元整",NUMBERSTRING(INT(F121*10000),2)&amp;"元整")</f>
        <v>贰仟肆佰壹拾万元整</v>
      </c>
      <c r="G122" s="3207"/>
      <c r="H122" s="3206" t="str">
        <f ca="1">IF(H19="元",NUMBERSTRING(INT(H121),2)&amp;"元整",NUMBERSTRING(INT(H121*10000),2)&amp;"元整")</f>
        <v>陆仟陆佰柒拾柒万元整</v>
      </c>
      <c r="I122" s="3255"/>
      <c r="J122" s="2584"/>
    </row>
    <row r="123" spans="1:16" ht="13.2">
      <c r="A123" s="3195" t="str">
        <f>IF(项目基本情况!D5="房地产市场价值","——",MID(A108,3,LEN(A108)-2))</f>
        <v>估价师所知悉的法定优先受偿款</v>
      </c>
      <c r="B123" s="3208"/>
      <c r="C123" s="3197"/>
      <c r="D123" s="3199">
        <f>I105</f>
        <v>0</v>
      </c>
      <c r="E123" s="3208"/>
      <c r="F123" s="3208"/>
      <c r="G123" s="3208"/>
      <c r="H123" s="3208"/>
      <c r="I123" s="3196"/>
      <c r="J123" s="2577"/>
    </row>
    <row r="124" spans="1:16" ht="13.2">
      <c r="A124" s="3209" t="s">
        <v>2557</v>
      </c>
      <c r="B124" s="3210"/>
      <c r="C124" s="3211"/>
      <c r="D124" s="3247">
        <f>H109</f>
        <v>0</v>
      </c>
      <c r="E124" s="3248"/>
      <c r="F124" s="3248"/>
      <c r="G124" s="3248"/>
      <c r="H124" s="3248"/>
      <c r="I124" s="3249"/>
      <c r="J124" s="2585"/>
    </row>
    <row r="125" spans="1:16" ht="13.2">
      <c r="A125" s="3182" t="str">
        <f>IF(项目基本情况!D5="房地产市场价值","——",MID(A112,3,LEN(A112)-2))</f>
        <v>房地产抵押价值</v>
      </c>
      <c r="B125" s="3183"/>
      <c r="C125" s="3183"/>
      <c r="D125" s="3199">
        <f ca="1">I110</f>
        <v>6677</v>
      </c>
      <c r="E125" s="3208"/>
      <c r="F125" s="3208"/>
      <c r="G125" s="3208"/>
      <c r="H125" s="3208"/>
      <c r="I125" s="3196"/>
      <c r="J125" s="2577"/>
    </row>
    <row r="126" spans="1:16" ht="13.2">
      <c r="A126" s="3175" t="s">
        <v>2557</v>
      </c>
      <c r="B126" s="3171"/>
      <c r="C126" s="3171"/>
      <c r="D126" s="3247">
        <f ca="1">I111</f>
        <v>26052</v>
      </c>
      <c r="E126" s="3248"/>
      <c r="F126" s="3248"/>
      <c r="G126" s="3248"/>
      <c r="H126" s="3248"/>
      <c r="I126" s="3249"/>
      <c r="J126" s="2585"/>
    </row>
    <row r="127" spans="1:16" ht="13.8" thickBot="1">
      <c r="A127" s="3182" t="str">
        <f>IF(项目基本情况!D5="房地产市场价值","——",MID(A114,3,LEN(A114)-2))</f>
        <v/>
      </c>
      <c r="B127" s="3183"/>
      <c r="C127" s="3183"/>
      <c r="D127" s="3155" t="str">
        <f>I112</f>
        <v>——</v>
      </c>
      <c r="E127" s="3156"/>
      <c r="F127" s="3156"/>
      <c r="G127" s="3156"/>
      <c r="H127" s="3156"/>
      <c r="I127" s="3157"/>
      <c r="J127" s="2577"/>
    </row>
    <row r="128" spans="1:16" ht="14.4" thickTop="1" thickBot="1">
      <c r="A128" s="3175" t="s">
        <v>2557</v>
      </c>
      <c r="B128" s="3171"/>
      <c r="C128" s="3222"/>
      <c r="D128" s="3200" t="str">
        <f>I113</f>
        <v>——</v>
      </c>
      <c r="E128" s="3200"/>
      <c r="F128" s="3200"/>
      <c r="G128" s="3200"/>
      <c r="H128" s="3200"/>
      <c r="I128" s="3200"/>
      <c r="J128" s="2585"/>
    </row>
    <row r="129" spans="1:10" ht="14.4" thickTop="1" thickBot="1">
      <c r="A129" s="3182" t="str">
        <f>IF(项目基本情况!D5="房地产市场价值","——",MID(F114,3,LEN(F114)-2))</f>
        <v/>
      </c>
      <c r="B129" s="3183"/>
      <c r="C129" s="3199"/>
      <c r="D129" s="3250" t="str">
        <f>I114</f>
        <v>——</v>
      </c>
      <c r="E129" s="3250"/>
      <c r="F129" s="3250"/>
      <c r="G129" s="3250"/>
      <c r="H129" s="3250"/>
      <c r="I129" s="3250"/>
      <c r="J129" s="2577"/>
    </row>
    <row r="130" spans="1:10" ht="14.4" thickTop="1" thickBot="1">
      <c r="A130" s="3238" t="s">
        <v>2557</v>
      </c>
      <c r="B130" s="3239"/>
      <c r="C130" s="3239"/>
      <c r="D130" s="3256">
        <f>H116</f>
        <v>0</v>
      </c>
      <c r="E130" s="3257"/>
      <c r="F130" s="3257"/>
      <c r="G130" s="3257"/>
      <c r="H130" s="3257"/>
      <c r="I130" s="3258"/>
      <c r="J130" s="2585"/>
    </row>
    <row r="131" spans="1:10" ht="13.2">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62"/>
    </row>
    <row r="132" spans="1:10" ht="13.8" thickBot="1">
      <c r="A132" s="3243" t="str">
        <f>IF(B32="总价","（以上估价结果中楼面单价为总价除以建筑面积得出）","（以上估价结果中总价为楼面单价乘以建筑面积得出）")</f>
        <v>（以上估价结果中总价为楼面单价乘以建筑面积得出）</v>
      </c>
      <c r="B132" s="3243"/>
      <c r="C132" s="3243"/>
      <c r="D132" s="3243"/>
      <c r="E132" s="3243"/>
      <c r="F132" s="3243"/>
      <c r="G132" s="3243"/>
      <c r="H132" s="3243"/>
      <c r="I132" s="3243"/>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65" t="s">
        <v>1643</v>
      </c>
      <c r="B2" s="3265"/>
      <c r="C2" s="3265"/>
      <c r="D2" s="3265"/>
      <c r="E2" s="3265"/>
      <c r="F2" s="3265"/>
      <c r="G2" s="3265"/>
      <c r="H2" s="3265"/>
      <c r="I2" s="3265"/>
      <c r="J2" s="2588"/>
    </row>
    <row r="3" spans="1:15" ht="13.2">
      <c r="A3" s="3225" t="s">
        <v>1471</v>
      </c>
      <c r="B3" s="3226"/>
      <c r="C3" s="3226"/>
      <c r="D3" s="3226"/>
      <c r="E3" s="3226"/>
      <c r="F3" s="3226"/>
      <c r="G3" s="3226"/>
      <c r="H3" s="3226"/>
      <c r="I3" s="3226"/>
      <c r="J3" s="2560"/>
    </row>
    <row r="4" spans="1:15" ht="14.4">
      <c r="A4" s="2433" t="s">
        <v>1472</v>
      </c>
      <c r="B4" s="2433" t="s">
        <v>1473</v>
      </c>
      <c r="C4" s="2434"/>
      <c r="D4" s="2434"/>
      <c r="E4" s="3222" t="s">
        <v>1644</v>
      </c>
      <c r="F4" s="3210"/>
      <c r="G4" s="3210"/>
      <c r="H4" s="3210"/>
      <c r="I4" s="3211"/>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c r="D14" s="3224"/>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0</v>
      </c>
      <c r="D17" s="2436">
        <f>SUM(D5:D16)</f>
        <v>0</v>
      </c>
      <c r="E17" s="1330"/>
      <c r="F17" s="1330"/>
      <c r="G17" s="1330"/>
      <c r="H17" s="1330"/>
      <c r="I17" s="1330"/>
      <c r="J17" s="2562"/>
    </row>
    <row r="18" spans="1:36" ht="32.4" customHeight="1" thickBot="1">
      <c r="A18" s="2437" t="s">
        <v>1493</v>
      </c>
      <c r="B18" s="2438"/>
      <c r="C18" s="2439" t="e">
        <f>ROUND(C17/SUM(C17:D17),2)</f>
        <v>#DIV/0!</v>
      </c>
      <c r="D18" s="2439" t="e">
        <f>1-C18</f>
        <v>#DIV/0!</v>
      </c>
      <c r="E18" s="3241" t="s">
        <v>2576</v>
      </c>
      <c r="F18" s="3242"/>
      <c r="G18" s="3242"/>
      <c r="H18" s="3242"/>
      <c r="I18" s="3242"/>
      <c r="J18" s="2562"/>
    </row>
    <row r="19" spans="1:36" ht="14.4">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万元</v>
      </c>
      <c r="I19" s="1330"/>
      <c r="J19" s="2562"/>
    </row>
    <row r="20" spans="1:36" ht="14.4">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4">
      <c r="A27" s="2459" t="s">
        <v>1645</v>
      </c>
      <c r="B27" s="2457">
        <v>0</v>
      </c>
      <c r="C27" s="2457">
        <v>0</v>
      </c>
      <c r="D27" s="2458">
        <f>ROUND(C27*B27/10000,0)</f>
        <v>0</v>
      </c>
      <c r="E27" s="862"/>
      <c r="F27" s="862"/>
      <c r="G27" s="862"/>
      <c r="H27" s="862"/>
      <c r="I27" s="862"/>
      <c r="J27" s="2562"/>
    </row>
    <row r="28" spans="1:36" ht="13.8">
      <c r="A28" s="2456"/>
      <c r="B28" s="2457"/>
      <c r="C28" s="2457"/>
      <c r="D28" s="2458">
        <f>ROUND(C28*B28/10000,0)</f>
        <v>0</v>
      </c>
      <c r="E28" s="862"/>
      <c r="F28" s="862"/>
      <c r="G28" s="862"/>
      <c r="H28" s="862"/>
      <c r="I28" s="862"/>
      <c r="J28" s="2562"/>
    </row>
    <row r="29" spans="1:36" ht="13.8">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5.6" thickTop="1" thickBot="1">
      <c r="A32" s="3287" t="s">
        <v>1647</v>
      </c>
      <c r="B32" s="3287"/>
      <c r="C32" s="3287"/>
      <c r="D32" s="3287"/>
      <c r="E32" s="3287"/>
      <c r="F32" s="3287"/>
      <c r="G32" s="3287"/>
      <c r="H32" s="3287"/>
      <c r="I32" s="3287"/>
      <c r="J32" s="2589"/>
    </row>
    <row r="33" spans="1:16" ht="14.4">
      <c r="A33" s="1356"/>
      <c r="B33" s="2492" t="s">
        <v>1648</v>
      </c>
      <c r="C33" s="2493">
        <f>典型户型修正!R27</f>
        <v>0</v>
      </c>
      <c r="D33" s="1330" t="s">
        <v>1649</v>
      </c>
      <c r="E33" s="862"/>
      <c r="F33" s="862"/>
      <c r="G33" s="862"/>
      <c r="H33" s="862"/>
      <c r="I33" s="862"/>
      <c r="J33" s="2562"/>
    </row>
    <row r="34" spans="1:16" ht="14.4">
      <c r="A34" s="1357" t="s">
        <v>1650</v>
      </c>
      <c r="B34" s="2494" t="s">
        <v>1651</v>
      </c>
      <c r="C34" s="2495">
        <f>典型户型修正!B2</f>
        <v>0</v>
      </c>
      <c r="D34" s="1330" t="str">
        <f>IF('数据-取费表'!B3="万元","万元","元")</f>
        <v>万元</v>
      </c>
      <c r="E34" s="862"/>
      <c r="F34" s="862"/>
      <c r="G34" s="862"/>
      <c r="H34" s="862"/>
      <c r="I34" s="862"/>
      <c r="J34" s="2562"/>
    </row>
    <row r="35" spans="1:16" ht="15" thickBot="1">
      <c r="A35" s="1358"/>
      <c r="B35" s="2496" t="s">
        <v>1652</v>
      </c>
      <c r="C35" s="2448" t="e">
        <f>典型户型修正!B3</f>
        <v>#DIV/0!</v>
      </c>
      <c r="D35" s="1330" t="s">
        <v>1653</v>
      </c>
      <c r="E35" s="862"/>
      <c r="F35" s="862"/>
      <c r="G35" s="862"/>
      <c r="H35" s="862"/>
      <c r="I35" s="862"/>
      <c r="J35" s="2562"/>
    </row>
    <row r="36" spans="1:16" ht="14.4">
      <c r="A36" s="1359"/>
      <c r="B36" s="1318" t="s">
        <v>1654</v>
      </c>
      <c r="C36" s="2497">
        <f>IF('数据-取费表'!B3="万元",典型户型修正!V25,典型户型修正!U25)</f>
        <v>0</v>
      </c>
      <c r="D36" s="1330" t="str">
        <f>D34</f>
        <v>万元</v>
      </c>
      <c r="E36" s="862"/>
      <c r="F36" s="862"/>
      <c r="G36" s="862"/>
      <c r="H36" s="862"/>
      <c r="I36" s="862"/>
      <c r="J36" s="2562"/>
    </row>
    <row r="37" spans="1:16" ht="15" thickBot="1">
      <c r="A37" s="1317"/>
      <c r="B37" s="1319" t="s">
        <v>1655</v>
      </c>
      <c r="C37" s="2498">
        <f>IF('数据-取费表'!B3="万元",典型户型修正!Y25,典型户型修正!X25)</f>
        <v>0</v>
      </c>
      <c r="D37" s="1330" t="str">
        <f>D34</f>
        <v>万元</v>
      </c>
      <c r="E37" s="862"/>
      <c r="F37" s="862"/>
      <c r="G37" s="862"/>
      <c r="H37" s="862"/>
      <c r="I37" s="862"/>
      <c r="J37" s="2562"/>
    </row>
    <row r="38" spans="1:16" ht="15" thickBot="1">
      <c r="A38" s="3230" t="s">
        <v>1656</v>
      </c>
      <c r="B38" s="1318" t="s">
        <v>1657</v>
      </c>
      <c r="C38" s="2475"/>
      <c r="D38" s="2476"/>
      <c r="E38" s="1180"/>
      <c r="F38" s="1180"/>
      <c r="G38" s="862"/>
      <c r="H38" s="862"/>
      <c r="I38" s="862"/>
      <c r="J38" s="2562"/>
    </row>
    <row r="39" spans="1:16" ht="15" thickBot="1">
      <c r="A39" s="3235"/>
      <c r="B39" s="1885" t="s">
        <v>1658</v>
      </c>
      <c r="C39" s="2477"/>
      <c r="D39" s="1180"/>
      <c r="E39" s="1180"/>
      <c r="F39" s="1180"/>
      <c r="G39" s="1180"/>
      <c r="H39" s="1180"/>
      <c r="I39" s="1180"/>
      <c r="J39" s="2566"/>
    </row>
    <row r="40" spans="1:16" ht="15" thickBot="1">
      <c r="A40" s="3236"/>
      <c r="B40" s="1319" t="s">
        <v>1659</v>
      </c>
      <c r="C40" s="2478"/>
      <c r="D40" s="2479" t="s">
        <v>1660</v>
      </c>
      <c r="E40" s="1180"/>
      <c r="F40" s="1180"/>
      <c r="G40" s="1180"/>
      <c r="H40" s="1180"/>
      <c r="I40" s="1180"/>
      <c r="J40" s="2566"/>
    </row>
    <row r="41" spans="1:16" ht="14.4">
      <c r="A41" s="2445" t="s">
        <v>1661</v>
      </c>
      <c r="B41" s="2480" t="s">
        <v>1662</v>
      </c>
      <c r="C41" s="2481" t="s">
        <v>1663</v>
      </c>
      <c r="D41" s="2481" t="s">
        <v>1664</v>
      </c>
      <c r="E41" s="2482" t="s">
        <v>1665</v>
      </c>
      <c r="F41" s="1180"/>
      <c r="G41" s="1180"/>
      <c r="H41" s="1180"/>
      <c r="I41" s="1180"/>
      <c r="J41" s="2566"/>
    </row>
    <row r="42" spans="1:16" ht="13.8">
      <c r="A42" s="2483" t="s">
        <v>1666</v>
      </c>
      <c r="B42" s="2484"/>
      <c r="C42" s="2485"/>
      <c r="D42" s="2485"/>
      <c r="E42" s="2469"/>
      <c r="F42" s="1180"/>
      <c r="G42" s="1180"/>
      <c r="H42" s="1180"/>
      <c r="I42" s="1180"/>
      <c r="J42" s="2566"/>
    </row>
    <row r="43" spans="1:16" ht="13.8">
      <c r="A43" s="2483" t="s">
        <v>1667</v>
      </c>
      <c r="B43" s="2484"/>
      <c r="C43" s="2485"/>
      <c r="D43" s="2485"/>
      <c r="E43" s="2469"/>
      <c r="F43" s="1180"/>
      <c r="G43" s="1180"/>
      <c r="H43" s="1180"/>
      <c r="I43" s="1180"/>
      <c r="J43" s="2566"/>
    </row>
    <row r="44" spans="1:16" ht="14.4" thickBot="1">
      <c r="A44" s="2486"/>
      <c r="B44" s="2487"/>
      <c r="C44" s="2488"/>
      <c r="D44" s="2488"/>
      <c r="E44" s="2474"/>
      <c r="F44" s="1180"/>
      <c r="G44" s="1180"/>
      <c r="H44" s="1180"/>
      <c r="I44" s="1180"/>
      <c r="J44" s="2566"/>
    </row>
    <row r="45" spans="1:16" ht="13.2">
      <c r="A45" s="1330"/>
      <c r="B45" s="1330"/>
      <c r="C45" s="1330"/>
      <c r="D45" s="1330"/>
      <c r="E45" s="1330"/>
      <c r="F45" s="1289"/>
      <c r="G45" s="1289"/>
      <c r="H45" s="1289"/>
      <c r="I45" s="1289"/>
      <c r="J45" s="2567"/>
    </row>
    <row r="46" spans="1:16" ht="17.399999999999999">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55" t="s">
        <v>1669</v>
      </c>
      <c r="B47" s="3156"/>
      <c r="C47" s="3166"/>
      <c r="D47" s="242">
        <f>ROUND(I104*F47,0)</f>
        <v>0</v>
      </c>
      <c r="E47" s="1386" t="s">
        <v>1670</v>
      </c>
      <c r="F47" s="2301">
        <v>1</v>
      </c>
      <c r="G47" s="2302" t="s">
        <v>1671</v>
      </c>
      <c r="H47" s="862"/>
      <c r="I47" s="862"/>
      <c r="J47" s="2562"/>
      <c r="K47" s="3260" t="s">
        <v>1527</v>
      </c>
      <c r="L47" s="3260"/>
      <c r="M47" s="3260"/>
      <c r="N47" s="3260"/>
      <c r="O47" s="3260"/>
      <c r="P47" s="3260"/>
    </row>
    <row r="48" spans="1:16" ht="14.25" customHeight="1">
      <c r="A48" s="3232" t="s">
        <v>1528</v>
      </c>
      <c r="B48" s="3233"/>
      <c r="C48" s="3233"/>
      <c r="D48" s="3233"/>
      <c r="E48" s="3233"/>
      <c r="F48" s="3233"/>
      <c r="G48" s="3234"/>
      <c r="H48" s="2678"/>
      <c r="I48" s="862"/>
      <c r="J48" s="2562"/>
      <c r="K48" s="2253">
        <v>1</v>
      </c>
      <c r="L48" s="3261" t="s">
        <v>1529</v>
      </c>
      <c r="M48" s="3261"/>
      <c r="N48" s="3262"/>
      <c r="O48" s="3262"/>
      <c r="P48" s="3262"/>
    </row>
    <row r="49" spans="1:17" ht="12" customHeight="1">
      <c r="A49" s="34" t="s">
        <v>1530</v>
      </c>
      <c r="B49" s="35"/>
      <c r="C49" s="36"/>
      <c r="D49" s="979" t="s">
        <v>1531</v>
      </c>
      <c r="E49" s="231" t="s">
        <v>1532</v>
      </c>
      <c r="F49" s="37" t="s">
        <v>1533</v>
      </c>
      <c r="G49" s="2303" t="s">
        <v>1534</v>
      </c>
      <c r="H49" s="2678"/>
      <c r="I49" s="862"/>
      <c r="J49" s="2562"/>
      <c r="K49" s="2253">
        <v>2</v>
      </c>
      <c r="L49" s="3261" t="s">
        <v>1535</v>
      </c>
      <c r="M49" s="3261"/>
      <c r="N49" s="3264">
        <f>'数据-取费表'!B2</f>
        <v>44886</v>
      </c>
      <c r="O49" s="3264"/>
      <c r="P49" s="3264"/>
    </row>
    <row r="50" spans="1:17" ht="26.4">
      <c r="A50" s="3237" t="s">
        <v>1536</v>
      </c>
      <c r="B50" s="3171"/>
      <c r="C50" s="3171"/>
      <c r="D50" s="11">
        <f>IF(H50="情况1",0,IF(H50="情况2",D54,IF(H50="情况3",D55,IF(H50="情况4",D56))))</f>
        <v>0</v>
      </c>
      <c r="E50" s="1199" t="str">
        <f>IF(H50="情况4","(销售额-原购置价)×税（费）率","销售额×税（费）率")</f>
        <v>销售额×税（费）率</v>
      </c>
      <c r="F50" s="2304">
        <f>IF(H50="情况1","免征",'数据-取费表'!E29)</f>
        <v>5.6000000000000001E-2</v>
      </c>
      <c r="G50" s="2305" t="s">
        <v>1537</v>
      </c>
      <c r="H50" s="2306" t="s">
        <v>1538</v>
      </c>
      <c r="I50" s="2678"/>
      <c r="J50" s="2569"/>
      <c r="K50" s="2253">
        <v>3</v>
      </c>
      <c r="L50" s="3261" t="s">
        <v>1539</v>
      </c>
      <c r="M50" s="3261"/>
      <c r="N50" s="3266">
        <f>I104</f>
        <v>0</v>
      </c>
      <c r="O50" s="3266"/>
      <c r="P50" s="3266"/>
    </row>
    <row r="51" spans="1:17" ht="25.5" customHeight="1">
      <c r="A51" s="1883" t="s">
        <v>1540</v>
      </c>
      <c r="B51" s="3210" t="s">
        <v>1541</v>
      </c>
      <c r="C51" s="3210"/>
      <c r="D51" s="2307">
        <v>0</v>
      </c>
      <c r="E51" s="257" t="s">
        <v>1542</v>
      </c>
      <c r="F51" s="2308" t="s">
        <v>48</v>
      </c>
      <c r="G51" s="3152"/>
      <c r="H51" s="2309" t="s">
        <v>2500</v>
      </c>
      <c r="I51" s="2310"/>
      <c r="J51" s="2570"/>
      <c r="K51" s="2253">
        <v>4</v>
      </c>
      <c r="L51" s="3261" t="str">
        <f>IF(项目基本情况!F5="房地产抵押价值","房地产抵押价值","抵押担保权已注销时的房地产抵押价值")</f>
        <v>房地产抵押价值</v>
      </c>
      <c r="M51" s="3261"/>
      <c r="N51" s="3266">
        <f>IF(项目基本情况!F5="房地产抵押价值",I112,I114)</f>
        <v>0</v>
      </c>
      <c r="O51" s="3266"/>
      <c r="P51" s="3266"/>
    </row>
    <row r="52" spans="1:17" ht="25.5" customHeight="1">
      <c r="A52" s="1875"/>
      <c r="B52" s="3210" t="s">
        <v>1543</v>
      </c>
      <c r="C52" s="3210"/>
      <c r="D52" s="2311"/>
      <c r="E52" s="265"/>
      <c r="F52" s="2308"/>
      <c r="G52" s="3153"/>
      <c r="H52" s="2312" t="s">
        <v>2501</v>
      </c>
      <c r="I52" s="2310"/>
      <c r="J52" s="2570"/>
      <c r="K52" s="3261" t="s">
        <v>1544</v>
      </c>
      <c r="L52" s="3261"/>
      <c r="M52" s="3261"/>
      <c r="N52" s="3261"/>
      <c r="O52" s="3261"/>
      <c r="P52" s="3261"/>
    </row>
    <row r="53" spans="1:17" ht="20.399999999999999" customHeight="1">
      <c r="A53" s="2313"/>
      <c r="B53" s="3210" t="s">
        <v>1545</v>
      </c>
      <c r="C53" s="3210"/>
      <c r="D53" s="979"/>
      <c r="E53" s="260"/>
      <c r="F53" s="2308"/>
      <c r="G53" s="3154"/>
      <c r="H53" s="2312" t="s">
        <v>2502</v>
      </c>
      <c r="I53" s="2310"/>
      <c r="J53" s="2570"/>
      <c r="K53" s="2254" t="s">
        <v>1546</v>
      </c>
      <c r="L53" s="3261" t="s">
        <v>1547</v>
      </c>
      <c r="M53" s="3261"/>
      <c r="N53" s="2254" t="s">
        <v>1548</v>
      </c>
      <c r="O53" s="2254" t="s">
        <v>1549</v>
      </c>
      <c r="P53" s="2254" t="s">
        <v>1550</v>
      </c>
    </row>
    <row r="54" spans="1:17" ht="24" customHeight="1">
      <c r="A54" s="1876" t="s">
        <v>1551</v>
      </c>
      <c r="B54" s="3210" t="s">
        <v>1552</v>
      </c>
      <c r="C54" s="3210"/>
      <c r="D54" s="979">
        <f>ROUND(D47*'数据-取费表'!E29/(1+'数据-取费表'!F30),0)</f>
        <v>0</v>
      </c>
      <c r="E54" s="1199" t="s">
        <v>1553</v>
      </c>
      <c r="F54" s="2314">
        <f>'数据-取费表'!E29</f>
        <v>5.6000000000000001E-2</v>
      </c>
      <c r="G54" s="2315"/>
      <c r="H54" s="862"/>
      <c r="I54" s="2679"/>
      <c r="J54" s="2570"/>
      <c r="K54" s="2253">
        <v>1</v>
      </c>
      <c r="L54" s="3263" t="s">
        <v>1554</v>
      </c>
      <c r="M54" s="3263"/>
      <c r="N54" s="2255">
        <f>D50</f>
        <v>0</v>
      </c>
      <c r="O54" s="2253" t="str">
        <f>E50</f>
        <v>销售额×税（费）率</v>
      </c>
      <c r="P54" s="2256">
        <f>F50</f>
        <v>5.6000000000000001E-2</v>
      </c>
    </row>
    <row r="55" spans="1:17" ht="12" customHeight="1">
      <c r="A55" s="1876" t="s">
        <v>1555</v>
      </c>
      <c r="B55" s="3222" t="s">
        <v>2593</v>
      </c>
      <c r="C55" s="3211"/>
      <c r="D55" s="979">
        <f>ROUND(D47*'数据-取费表'!E29/(1+'数据-取费表'!F30),0)</f>
        <v>0</v>
      </c>
      <c r="E55" s="1199" t="s">
        <v>1553</v>
      </c>
      <c r="F55" s="2314">
        <f>'数据-取费表'!E29</f>
        <v>5.6000000000000001E-2</v>
      </c>
      <c r="G55" s="2315"/>
      <c r="H55" s="862"/>
      <c r="I55" s="2679"/>
      <c r="J55" s="2570"/>
      <c r="K55" s="2253">
        <v>2</v>
      </c>
      <c r="L55" s="3263" t="s">
        <v>1556</v>
      </c>
      <c r="M55" s="3263"/>
      <c r="N55" s="2255">
        <f t="shared" ref="N55:P56" si="1">D57</f>
        <v>0</v>
      </c>
      <c r="O55" s="2253" t="str">
        <f t="shared" si="1"/>
        <v>销售额×税（费）率</v>
      </c>
      <c r="P55" s="2256">
        <f t="shared" si="1"/>
        <v>5.0000000000000001E-4</v>
      </c>
    </row>
    <row r="56" spans="1:17" ht="12" customHeight="1">
      <c r="A56" s="1876" t="s">
        <v>1557</v>
      </c>
      <c r="B56" s="3222" t="s">
        <v>2594</v>
      </c>
      <c r="C56" s="3211"/>
      <c r="D56" s="979">
        <f>C70</f>
        <v>0</v>
      </c>
      <c r="E56" s="260" t="s">
        <v>1558</v>
      </c>
      <c r="F56" s="2314">
        <f>'数据-取费表'!E29</f>
        <v>5.6000000000000001E-2</v>
      </c>
      <c r="G56" s="2315"/>
      <c r="H56" s="2680"/>
      <c r="I56" s="2679"/>
      <c r="J56" s="2570"/>
      <c r="K56" s="2253">
        <v>3</v>
      </c>
      <c r="L56" s="3263" t="s">
        <v>1559</v>
      </c>
      <c r="M56" s="3263"/>
      <c r="N56" s="2255">
        <f t="shared" si="1"/>
        <v>0</v>
      </c>
      <c r="O56" s="2253" t="str">
        <f t="shared" si="1"/>
        <v>增值额×税（费）率</v>
      </c>
      <c r="P56" s="2257" t="str">
        <f t="shared" si="1"/>
        <v>——</v>
      </c>
    </row>
    <row r="57" spans="1:17" ht="24" customHeight="1">
      <c r="A57" s="3175" t="s">
        <v>1560</v>
      </c>
      <c r="B57" s="3171"/>
      <c r="C57" s="3171"/>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63" t="str">
        <f>IF(H61="非个人房产","——","个人所得税")</f>
        <v>个人所得税</v>
      </c>
      <c r="M57" s="3263"/>
      <c r="N57" s="2258">
        <f>D61</f>
        <v>0</v>
      </c>
      <c r="O57" s="2259" t="str">
        <f>E61</f>
        <v>销售额×税（费）率</v>
      </c>
      <c r="P57" s="2260">
        <f>F61</f>
        <v>0.01</v>
      </c>
    </row>
    <row r="58" spans="1:17" ht="25.2">
      <c r="A58" s="3175" t="s">
        <v>1563</v>
      </c>
      <c r="B58" s="3171"/>
      <c r="C58" s="3171"/>
      <c r="D58" s="11">
        <f>IF(H58="个人住宅",D59,D60)</f>
        <v>0</v>
      </c>
      <c r="E58" s="1199" t="s">
        <v>1564</v>
      </c>
      <c r="F58" s="2314" t="str">
        <f>IF(H58="正常",F60,"免征")</f>
        <v>——</v>
      </c>
      <c r="G58" s="2316" t="s">
        <v>1565</v>
      </c>
      <c r="H58" s="2317" t="s">
        <v>1562</v>
      </c>
      <c r="I58" s="2681"/>
      <c r="J58" s="2570"/>
      <c r="K58" s="2253" t="str">
        <f>IF(项目基本情况!I6="上海银行",IF(K57="",4,K57+1),"")</f>
        <v/>
      </c>
      <c r="L58" s="3267" t="str">
        <f>IF(项目基本情况!I6="上海银行","其他处置费用","")</f>
        <v/>
      </c>
      <c r="M58" s="3272"/>
      <c r="N58" s="2255" t="str">
        <f>IF(项目基本情况!I6="上海银行",N71,"")</f>
        <v/>
      </c>
      <c r="O58" s="3267" t="str">
        <f>IF(项目基本情况!I6="上海银行","包含处置中涉及的律师、诉讼、拍卖、评估等费用","")</f>
        <v/>
      </c>
      <c r="P58" s="3268"/>
    </row>
    <row r="59" spans="1:17" ht="13.2">
      <c r="A59" s="1876" t="s">
        <v>1540</v>
      </c>
      <c r="B59" s="3222" t="s">
        <v>1566</v>
      </c>
      <c r="C59" s="3211"/>
      <c r="D59" s="2307">
        <v>0</v>
      </c>
      <c r="E59" s="257" t="s">
        <v>1542</v>
      </c>
      <c r="F59" s="231"/>
      <c r="G59" s="2315"/>
      <c r="H59" s="2681"/>
      <c r="I59" s="2681"/>
      <c r="J59" s="2570"/>
      <c r="K59" s="3263">
        <f>IF(AND(K57="",K58=""),4,IF(项目基本情况!I6="上海银行",K58+1,K57+1))</f>
        <v>5</v>
      </c>
      <c r="L59" s="3263" t="s">
        <v>1567</v>
      </c>
      <c r="M59" s="2261" t="s">
        <v>1568</v>
      </c>
      <c r="N59" s="2262"/>
      <c r="O59" s="2263">
        <f>SUMIF(N54:N58,"&lt;9e307")</f>
        <v>0</v>
      </c>
      <c r="P59" s="2264"/>
      <c r="Q59" s="1175" t="e">
        <f>O59/N51</f>
        <v>#DIV/0!</v>
      </c>
    </row>
    <row r="60" spans="1:17" ht="25.2">
      <c r="A60" s="1876" t="s">
        <v>1551</v>
      </c>
      <c r="B60" s="3222" t="s">
        <v>1569</v>
      </c>
      <c r="C60" s="3210"/>
      <c r="D60" s="11">
        <f>IF(H60="转让取得",C83,C99)</f>
        <v>0</v>
      </c>
      <c r="E60" s="1199" t="s">
        <v>1564</v>
      </c>
      <c r="F60" s="231" t="s">
        <v>48</v>
      </c>
      <c r="G60" s="2315"/>
      <c r="H60" s="2317" t="s">
        <v>1570</v>
      </c>
      <c r="I60" s="2681"/>
      <c r="J60" s="2570"/>
      <c r="K60" s="3263"/>
      <c r="L60" s="3263"/>
      <c r="M60" s="2261" t="s">
        <v>1571</v>
      </c>
      <c r="N60" s="2265"/>
      <c r="O60" s="2266" t="str">
        <f>IF(H19="元",NUMBERSTRING(INT(O59),2)&amp;"元整",NUMBERSTRING(INT(O59*10000),2)&amp;"元整")</f>
        <v>零元整</v>
      </c>
      <c r="P60" s="2267"/>
    </row>
    <row r="61" spans="1:17" ht="27" thickBot="1">
      <c r="A61" s="3238" t="s">
        <v>1572</v>
      </c>
      <c r="B61" s="3239"/>
      <c r="C61" s="3239"/>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69">
        <f>K59+1</f>
        <v>6</v>
      </c>
      <c r="L61" s="3263" t="s">
        <v>1573</v>
      </c>
      <c r="M61" s="2253" t="s">
        <v>1568</v>
      </c>
      <c r="N61" s="2268"/>
      <c r="O61" s="2269">
        <f>N51-O59</f>
        <v>0</v>
      </c>
      <c r="P61" s="2270"/>
    </row>
    <row r="62" spans="1:17" ht="12" customHeight="1">
      <c r="A62" s="1309"/>
      <c r="B62" s="1330"/>
      <c r="C62" s="1330"/>
      <c r="D62" s="1330"/>
      <c r="E62" s="1309"/>
      <c r="F62" s="2681"/>
      <c r="G62" s="2681"/>
      <c r="H62" s="862"/>
      <c r="I62" s="862"/>
      <c r="J62" s="2570"/>
      <c r="K62" s="3270"/>
      <c r="L62" s="3263"/>
      <c r="M62" s="2261" t="s">
        <v>1571</v>
      </c>
      <c r="N62" s="2265"/>
      <c r="O62" s="2266" t="str">
        <f>IF(H19="元",NUMBERSTRING(INT(O61),2)&amp;"元整",NUMBERSTRING(INT(O61*10000),2)&amp;"元整")</f>
        <v>零元整</v>
      </c>
      <c r="P62" s="2267"/>
    </row>
    <row r="63" spans="1:17" ht="13.8" thickBot="1">
      <c r="A63" s="3271" t="s">
        <v>1574</v>
      </c>
      <c r="B63" s="3271"/>
      <c r="C63" s="3271"/>
      <c r="D63" s="3271"/>
      <c r="E63" s="3271"/>
      <c r="F63" s="2681"/>
      <c r="G63" s="2681"/>
      <c r="H63" s="862"/>
      <c r="I63" s="862"/>
      <c r="J63" s="2562"/>
      <c r="K63" s="2253">
        <f>K61+1</f>
        <v>7</v>
      </c>
      <c r="L63" s="3263" t="s">
        <v>1575</v>
      </c>
      <c r="M63" s="3263"/>
      <c r="N63" s="2271"/>
      <c r="O63" s="2272">
        <f>IF(H19="元",ROUND(O61/项目基本情况!C12,0),ROUND(O61*10000/项目基本情况!C12,0))</f>
        <v>0</v>
      </c>
      <c r="P63" s="2273"/>
    </row>
    <row r="64" spans="1:17" ht="13.2">
      <c r="A64" s="3189" t="s">
        <v>1576</v>
      </c>
      <c r="B64" s="3190"/>
      <c r="C64" s="1445"/>
      <c r="D64" s="1445" t="s">
        <v>1577</v>
      </c>
      <c r="E64" s="41" t="s">
        <v>1578</v>
      </c>
      <c r="F64" s="2681"/>
      <c r="G64" s="2681"/>
      <c r="H64" s="862"/>
      <c r="I64" s="862"/>
      <c r="J64" s="2562"/>
      <c r="K64" s="1177"/>
      <c r="L64" s="1177"/>
      <c r="M64" s="1177"/>
      <c r="N64" s="1177"/>
      <c r="O64" s="1177"/>
    </row>
    <row r="65" spans="1:36" ht="13.2">
      <c r="A65" s="42">
        <v>1</v>
      </c>
      <c r="B65" s="43" t="s">
        <v>1579</v>
      </c>
      <c r="C65" s="2501">
        <f>ROUND((C66+C67)/(1+'数据-取费表'!F30),0)</f>
        <v>0</v>
      </c>
      <c r="D65" s="43"/>
      <c r="E65" s="44"/>
      <c r="F65" s="2681"/>
      <c r="G65" s="2681"/>
      <c r="H65" s="862"/>
      <c r="I65" s="862"/>
      <c r="J65" s="2562"/>
      <c r="K65" s="3259" t="s">
        <v>1580</v>
      </c>
      <c r="L65" s="1176" t="s">
        <v>1581</v>
      </c>
      <c r="M65" s="1176">
        <f>IF(N51&gt;10000,N51*0.5%,IF(AND(N51&gt;1000,N51&lt;=10000),N51*1%,IF(AND(N51&gt;100,N51&lt;=1000),N51*3%,IF(AND(N51&gt;10,N51&lt;=100),N51*5%,N51*8%))))</f>
        <v>0</v>
      </c>
      <c r="N65" s="231">
        <f>ROUND(M65,1)</f>
        <v>0</v>
      </c>
      <c r="O65" s="2274"/>
    </row>
    <row r="66" spans="1:36" ht="13.2">
      <c r="A66" s="45" t="s">
        <v>71</v>
      </c>
      <c r="B66" s="46" t="s">
        <v>1582</v>
      </c>
      <c r="C66" s="2502">
        <f>D47</f>
        <v>0</v>
      </c>
      <c r="D66" s="46" t="s">
        <v>41</v>
      </c>
      <c r="E66" s="48"/>
      <c r="F66" s="2681"/>
      <c r="G66" s="2681"/>
      <c r="H66" s="862"/>
      <c r="I66" s="862"/>
      <c r="J66" s="2562"/>
      <c r="K66" s="3259"/>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3.2">
      <c r="A67" s="45" t="s">
        <v>72</v>
      </c>
      <c r="B67" s="46" t="s">
        <v>1585</v>
      </c>
      <c r="C67" s="2503"/>
      <c r="D67" s="46"/>
      <c r="E67" s="48"/>
      <c r="F67" s="2681"/>
      <c r="G67" s="2681"/>
      <c r="H67" s="862"/>
      <c r="I67" s="862"/>
      <c r="J67" s="2562"/>
      <c r="K67" s="3259"/>
      <c r="L67" s="1176" t="s">
        <v>1586</v>
      </c>
      <c r="M67" s="1176" t="b">
        <f>IF(N51&gt;1000,N51*0.1%,IF(AND(N51&gt;500,N51&lt;=1000),N51*0.5%,IF(AND(N51&gt;50,N51&lt;=500),N51*1%,IF(AND(N51&gt;1,N51&lt;=50),N51*1.5%))))</f>
        <v>0</v>
      </c>
      <c r="N67" s="231">
        <f t="shared" si="2"/>
        <v>0</v>
      </c>
      <c r="O67" s="2274" t="s">
        <v>1584</v>
      </c>
    </row>
    <row r="68" spans="1:36" ht="13.2">
      <c r="A68" s="49" t="s">
        <v>47</v>
      </c>
      <c r="B68" s="50" t="s">
        <v>1587</v>
      </c>
      <c r="C68" s="2504"/>
      <c r="D68" s="50" t="s">
        <v>41</v>
      </c>
      <c r="E68" s="1185" t="s">
        <v>1588</v>
      </c>
      <c r="F68" s="2681"/>
      <c r="G68" s="2681"/>
      <c r="H68" s="862"/>
      <c r="I68" s="862"/>
      <c r="J68" s="2562"/>
      <c r="K68" s="3259"/>
      <c r="L68" s="1176" t="s">
        <v>1589</v>
      </c>
      <c r="M68" s="1176">
        <f>N51*0.5%</f>
        <v>0</v>
      </c>
      <c r="N68" s="231">
        <f>IF(M68&gt;0.5,0.5,ROUND(M68,0))</f>
        <v>0</v>
      </c>
      <c r="O68" s="2274" t="s">
        <v>1590</v>
      </c>
    </row>
    <row r="69" spans="1:36" ht="13.2">
      <c r="A69" s="49" t="s">
        <v>42</v>
      </c>
      <c r="B69" s="50" t="s">
        <v>1591</v>
      </c>
      <c r="C69" s="2505">
        <f>C65-C68</f>
        <v>0</v>
      </c>
      <c r="D69" s="46" t="s">
        <v>41</v>
      </c>
      <c r="E69" s="48"/>
      <c r="F69" s="2681"/>
      <c r="G69" s="2681"/>
      <c r="H69" s="862"/>
      <c r="I69" s="862"/>
      <c r="J69" s="2562"/>
      <c r="K69" s="3259"/>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8" thickBot="1">
      <c r="A70" s="51" t="s">
        <v>46</v>
      </c>
      <c r="B70" s="52" t="s">
        <v>1593</v>
      </c>
      <c r="C70" s="2506">
        <f>IF(C69&lt;=0,0,ROUND(C69*D70,0))</f>
        <v>0</v>
      </c>
      <c r="D70" s="2023">
        <f>'数据-取费表'!E29</f>
        <v>5.6000000000000001E-2</v>
      </c>
      <c r="E70" s="53"/>
      <c r="F70" s="2681"/>
      <c r="G70" s="2681"/>
      <c r="H70" s="862"/>
      <c r="I70" s="862"/>
      <c r="J70" s="2562"/>
      <c r="K70" s="3259"/>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59"/>
      <c r="L71" s="1176" t="s">
        <v>1595</v>
      </c>
      <c r="M71" s="1176"/>
      <c r="N71" s="231">
        <f>ROUND(SUM(N65:N70),0)</f>
        <v>0</v>
      </c>
      <c r="O71" s="2275" t="e">
        <f>N71/N51</f>
        <v>#DIV/0!</v>
      </c>
    </row>
    <row r="72" spans="1:36" s="582" customFormat="1" ht="14.4" thickBot="1">
      <c r="A72" s="3276" t="s">
        <v>1596</v>
      </c>
      <c r="B72" s="3277"/>
      <c r="C72" s="3277"/>
      <c r="D72" s="3277"/>
      <c r="E72" s="3277"/>
      <c r="F72" s="3277"/>
      <c r="G72" s="3277"/>
      <c r="H72" s="3277"/>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189" t="s">
        <v>1576</v>
      </c>
      <c r="B73" s="3190"/>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222" t="s">
        <v>1606</v>
      </c>
      <c r="F78" s="3210"/>
      <c r="G78" s="3210"/>
      <c r="H78" s="3223"/>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6.000000000000001E-3</v>
      </c>
      <c r="E80" s="3158" t="s">
        <v>1611</v>
      </c>
      <c r="F80" s="3159"/>
      <c r="G80" s="3159"/>
      <c r="H80" s="3179"/>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76" t="s">
        <v>1615</v>
      </c>
      <c r="B85" s="3277"/>
      <c r="C85" s="3277"/>
      <c r="D85" s="3277"/>
      <c r="E85" s="3277"/>
      <c r="F85" s="3277"/>
      <c r="G85" s="3277"/>
      <c r="H85" s="3277"/>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189" t="s">
        <v>1576</v>
      </c>
      <c r="B86" s="3190"/>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8"/>
      <c r="D92" s="2514"/>
      <c r="E92" s="70" t="str">
        <f>IF(H90="-","土地取得成本中已包含该笔费用"," ")</f>
        <v xml:space="preserve"> </v>
      </c>
      <c r="F92" s="1880"/>
      <c r="G92" s="3198" t="s">
        <v>2494</v>
      </c>
      <c r="H92" s="3278"/>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58" t="s">
        <v>1623</v>
      </c>
      <c r="F93" s="3159"/>
      <c r="G93" s="3159"/>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58" t="s">
        <v>1626</v>
      </c>
      <c r="F94" s="3159"/>
      <c r="G94" s="3159"/>
      <c r="H94" s="3179"/>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6.000000000000001E-3</v>
      </c>
      <c r="E95" s="3158" t="s">
        <v>1611</v>
      </c>
      <c r="F95" s="3159"/>
      <c r="G95" s="3159"/>
      <c r="H95" s="3179"/>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58" t="s">
        <v>1628</v>
      </c>
      <c r="F96" s="3159"/>
      <c r="G96" s="3159"/>
      <c r="H96" s="3179"/>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176" t="s">
        <v>1630</v>
      </c>
      <c r="B101" s="3177"/>
      <c r="C101" s="3177"/>
      <c r="D101" s="3178"/>
      <c r="E101" s="1313"/>
      <c r="F101" s="3273" t="s">
        <v>2536</v>
      </c>
      <c r="G101" s="3274"/>
      <c r="H101" s="3274"/>
      <c r="I101" s="3275"/>
      <c r="J101" s="2595"/>
    </row>
    <row r="102" spans="1:36" ht="15">
      <c r="A102" s="3193" t="s">
        <v>1632</v>
      </c>
      <c r="B102" s="3194"/>
      <c r="C102" s="2520">
        <f>C4</f>
        <v>0</v>
      </c>
      <c r="D102" s="2521">
        <f>D4</f>
        <v>0</v>
      </c>
      <c r="E102" s="1313"/>
      <c r="F102" s="3195" t="s">
        <v>2537</v>
      </c>
      <c r="G102" s="3197"/>
      <c r="H102" s="3208" t="s">
        <v>2538</v>
      </c>
      <c r="I102" s="3196"/>
      <c r="J102" s="2577"/>
    </row>
    <row r="103" spans="1:36" ht="13.2">
      <c r="A103" s="3279" t="s">
        <v>2532</v>
      </c>
      <c r="B103" s="1840" t="str">
        <f>IF(H19="元","总价（元）","总价（万元）")</f>
        <v>总价（万元）</v>
      </c>
      <c r="C103" s="1176" t="e">
        <f ca="1">C19</f>
        <v>#REF!</v>
      </c>
      <c r="D103" s="2524" t="e">
        <f ca="1">D19</f>
        <v>#REF!</v>
      </c>
      <c r="E103" s="1313"/>
      <c r="F103" s="3280"/>
      <c r="G103" s="3281"/>
      <c r="H103" s="3199">
        <f>典型户型修正!B25</f>
        <v>0</v>
      </c>
      <c r="I103" s="3196"/>
      <c r="J103" s="2577"/>
    </row>
    <row r="104" spans="1:36" ht="13.2">
      <c r="A104" s="3279"/>
      <c r="B104" s="1840" t="s">
        <v>2533</v>
      </c>
      <c r="C104" s="2525" t="e">
        <f ca="1">C20</f>
        <v>#REF!</v>
      </c>
      <c r="D104" s="2526" t="e">
        <f ca="1">D20</f>
        <v>#REF!</v>
      </c>
      <c r="E104" s="1313"/>
      <c r="F104" s="3182" t="s">
        <v>2539</v>
      </c>
      <c r="G104" s="3183"/>
      <c r="H104" s="2534" t="str">
        <f>C110</f>
        <v>总价（万元）</v>
      </c>
      <c r="I104" s="2535">
        <f>H125</f>
        <v>0</v>
      </c>
      <c r="J104" s="2577"/>
    </row>
    <row r="105" spans="1:36" ht="13.2">
      <c r="A105" s="3279" t="s">
        <v>2534</v>
      </c>
      <c r="B105" s="2026" t="str">
        <f>B103</f>
        <v>总价（万元）</v>
      </c>
      <c r="C105" s="11" t="e">
        <f ca="1">ROUND(IF('数据-取费表'!B4="总价",G19,IF(H19="元",G20*'数据-取费表'!E5,G20*'数据-取费表'!E5/10000)),0)</f>
        <v>#REF!</v>
      </c>
      <c r="D105" s="2527"/>
      <c r="E105" s="1313"/>
      <c r="F105" s="3182"/>
      <c r="G105" s="3183"/>
      <c r="H105" s="2534" t="s">
        <v>2540</v>
      </c>
      <c r="I105" s="48" t="e">
        <f>I125</f>
        <v>#DIV/0!</v>
      </c>
      <c r="J105" s="2561"/>
    </row>
    <row r="106" spans="1:36" ht="13.2">
      <c r="A106" s="3279"/>
      <c r="B106" s="1840" t="s">
        <v>2533</v>
      </c>
      <c r="C106" s="1330" t="e">
        <f ca="1">ROUND(IF('数据-取费表'!B4="楼面单价",G20,IF(H19="元",G19/'数据-取费表'!E5,G19*10000/'数据-取费表'!E5)),0)</f>
        <v>#REF!</v>
      </c>
      <c r="D106" s="2527"/>
      <c r="E106" s="1313"/>
      <c r="F106" s="3182"/>
      <c r="G106" s="3183"/>
      <c r="H106" s="3214"/>
      <c r="I106" s="3215"/>
      <c r="J106" s="2578"/>
    </row>
    <row r="107" spans="1:36" ht="13.2">
      <c r="A107" s="3286" t="s">
        <v>2535</v>
      </c>
      <c r="B107" s="2528" t="str">
        <f>B103</f>
        <v>总价（万元）</v>
      </c>
      <c r="C107" s="2529">
        <f>H125</f>
        <v>0</v>
      </c>
      <c r="D107" s="2530"/>
      <c r="E107" s="1313"/>
      <c r="F107" s="3218" t="s">
        <v>2541</v>
      </c>
      <c r="G107" s="3219"/>
      <c r="H107" s="2536" t="str">
        <f>C112</f>
        <v>总额（万元）</v>
      </c>
      <c r="I107" s="2535">
        <f>SUMIF(I108:I110,"&lt;9E307")</f>
        <v>0</v>
      </c>
      <c r="J107" s="2577"/>
    </row>
    <row r="108" spans="1:36" ht="14.4" thickBot="1">
      <c r="A108" s="3213"/>
      <c r="B108" s="2531" t="s">
        <v>2533</v>
      </c>
      <c r="C108" s="2532" t="e">
        <f>I125</f>
        <v>#DIV/0!</v>
      </c>
      <c r="D108" s="2533"/>
      <c r="E108" s="1313"/>
      <c r="F108" s="3184" t="s">
        <v>2542</v>
      </c>
      <c r="G108" s="3185"/>
      <c r="H108" s="2536" t="str">
        <f>C113</f>
        <v>总额（万元）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3.8">
      <c r="A109" s="3282" t="s">
        <v>1633</v>
      </c>
      <c r="B109" s="3283"/>
      <c r="C109" s="3283"/>
      <c r="D109" s="3284"/>
      <c r="E109" s="1313"/>
      <c r="F109" s="3184" t="s">
        <v>2543</v>
      </c>
      <c r="G109" s="3185"/>
      <c r="H109" s="2536" t="str">
        <f>C114</f>
        <v>总额（万元）</v>
      </c>
      <c r="I109" s="48">
        <f>C39</f>
        <v>0</v>
      </c>
      <c r="J109" s="2561"/>
    </row>
    <row r="110" spans="1:36" ht="13.2">
      <c r="A110" s="3182" t="s">
        <v>2546</v>
      </c>
      <c r="B110" s="3183"/>
      <c r="C110" s="2534" t="str">
        <f>B103</f>
        <v>总价（万元）</v>
      </c>
      <c r="D110" s="2535">
        <f>H125</f>
        <v>0</v>
      </c>
      <c r="E110" s="1313"/>
      <c r="F110" s="3184" t="s">
        <v>2544</v>
      </c>
      <c r="G110" s="3185"/>
      <c r="H110" s="2536" t="str">
        <f>C115</f>
        <v>总额（万元）</v>
      </c>
      <c r="I110" s="48">
        <f>C40</f>
        <v>0</v>
      </c>
      <c r="J110" s="2561"/>
    </row>
    <row r="111" spans="1:36" ht="13.2">
      <c r="A111" s="3182"/>
      <c r="B111" s="3183"/>
      <c r="C111" s="2534" t="s">
        <v>2547</v>
      </c>
      <c r="D111" s="48" t="e">
        <f>I125</f>
        <v>#DIV/0!</v>
      </c>
      <c r="E111" s="1313"/>
      <c r="F111" s="3182"/>
      <c r="G111" s="3183"/>
      <c r="H111" s="3216"/>
      <c r="I111" s="3217"/>
      <c r="J111" s="2579"/>
    </row>
    <row r="112" spans="1:36" ht="28.5" customHeight="1">
      <c r="A112" s="3253" t="s">
        <v>2541</v>
      </c>
      <c r="B112" s="3254"/>
      <c r="C112" s="2536" t="str">
        <f>IF(H19="元","总额（元）","总额（万元）")</f>
        <v>总额（万元）</v>
      </c>
      <c r="D112" s="2535">
        <f>IF(D38="正常操作",I108+I109+I110,I109+I110)</f>
        <v>0</v>
      </c>
      <c r="E112" s="1313"/>
      <c r="F112" s="3165" t="str">
        <f>IF(项目基本情况!F5="已注销","——","3.房地产抵押价值")</f>
        <v>3.房地产抵押价值</v>
      </c>
      <c r="G112" s="3166"/>
      <c r="H112" s="1330" t="str">
        <f>C116</f>
        <v>总价（万元）</v>
      </c>
      <c r="I112" s="2535">
        <f>IF(F112="——","——",I104-I107)</f>
        <v>0</v>
      </c>
      <c r="J112" s="2577"/>
    </row>
    <row r="113" spans="1:27" ht="13.2">
      <c r="A113" s="3184" t="s">
        <v>2548</v>
      </c>
      <c r="B113" s="3185"/>
      <c r="C113" s="2536" t="str">
        <f>C112</f>
        <v>总额（万元）</v>
      </c>
      <c r="D113" s="48">
        <f>IF(D38="同一抵押权人同一抵押物续贷",C38&amp;"（未扣减，详见特别提示）",C38)</f>
        <v>0</v>
      </c>
      <c r="E113" s="1313"/>
      <c r="F113" s="3167"/>
      <c r="G113" s="3168"/>
      <c r="H113" s="2534" t="s">
        <v>2540</v>
      </c>
      <c r="I113" s="2538" t="e">
        <f>D117</f>
        <v>#DIV/0!</v>
      </c>
      <c r="J113" s="2580"/>
    </row>
    <row r="114" spans="1:27" ht="13.2">
      <c r="A114" s="3184" t="s">
        <v>2549</v>
      </c>
      <c r="B114" s="3185"/>
      <c r="C114" s="2536" t="str">
        <f>C112</f>
        <v>总额（万元）</v>
      </c>
      <c r="D114" s="48">
        <f>C39</f>
        <v>0</v>
      </c>
      <c r="E114" s="1313"/>
      <c r="F114" s="3165" t="str">
        <f>IF(项目基本情况!F5="已注销及未注销","4.抵押担保权已注销时的房地产抵押价值",IF(项目基本情况!F5="已注销","3.抵押担保权已注销时的房地产抵押价值","——"))</f>
        <v>——</v>
      </c>
      <c r="G114" s="3166"/>
      <c r="H114" s="1330" t="str">
        <f>C118</f>
        <v>总价（万元）</v>
      </c>
      <c r="I114" s="2535" t="str">
        <f>IF(F114="——","——",I104-I109-I110)</f>
        <v>——</v>
      </c>
      <c r="J114" s="2577"/>
    </row>
    <row r="115" spans="1:27" ht="13.2">
      <c r="A115" s="3184" t="s">
        <v>2550</v>
      </c>
      <c r="B115" s="3185"/>
      <c r="C115" s="2536" t="str">
        <f>C112</f>
        <v>总额（万元）</v>
      </c>
      <c r="D115" s="48">
        <f>C40</f>
        <v>0</v>
      </c>
      <c r="E115" s="1313"/>
      <c r="F115" s="3167"/>
      <c r="G115" s="3168"/>
      <c r="H115" s="2534" t="s">
        <v>2540</v>
      </c>
      <c r="I115" s="48" t="str">
        <f>D119</f>
        <v>——</v>
      </c>
      <c r="J115" s="2561"/>
    </row>
    <row r="116" spans="1:27" ht="13.2">
      <c r="A116" s="3182" t="str">
        <f>IF(项目基本情况!F5="已注销","——","3.房地产抵押价值")</f>
        <v>3.房地产抵押价值</v>
      </c>
      <c r="B116" s="3183"/>
      <c r="C116" s="2534" t="str">
        <f>B103</f>
        <v>总价（万元）</v>
      </c>
      <c r="D116" s="2535">
        <f>IF(A116="——","——",D110-D112)</f>
        <v>0</v>
      </c>
      <c r="E116" s="1313"/>
      <c r="F116" s="3165" t="str">
        <f>IF(项目基本情况!G5="抵押净值",IF(OR(项目基本情况!F5="已注销",项目基本情况!F5="房地产抵押价值"),"4.抵押净值","5.抵押净值"),"——")</f>
        <v>——</v>
      </c>
      <c r="G116" s="3166"/>
      <c r="H116" s="2534" t="str">
        <f>C120</f>
        <v>总价（万元）</v>
      </c>
      <c r="I116" s="2535" t="str">
        <f>IF(F116="——","——",O61)</f>
        <v>——</v>
      </c>
      <c r="J116" s="2577"/>
    </row>
    <row r="117" spans="1:27" ht="13.8" thickBot="1">
      <c r="A117" s="3182"/>
      <c r="B117" s="3183"/>
      <c r="C117" s="2534" t="s">
        <v>2547</v>
      </c>
      <c r="D117" s="48" t="e">
        <f>ROUND(IF(D116=D110,D111,IF(H19="元",D116/B125,D116*10000/B125)),0)</f>
        <v>#DIV/0!</v>
      </c>
      <c r="E117" s="1313"/>
      <c r="F117" s="3245"/>
      <c r="G117" s="3246"/>
      <c r="H117" s="2539" t="s">
        <v>2540</v>
      </c>
      <c r="I117" s="2523" t="str">
        <f>D121</f>
        <v>——</v>
      </c>
      <c r="J117" s="2561"/>
    </row>
    <row r="118" spans="1:27" ht="15.6">
      <c r="A118" s="3182" t="str">
        <f>IF(项目基本情况!F5="已注销及未注销","4.抵押担保权已注销时的房地产抵押价值",IF(项目基本情况!F5="已注销","3.抵押担保权已注销时的房地产抵押价值","——"))</f>
        <v>——</v>
      </c>
      <c r="B118" s="3183"/>
      <c r="C118" s="2534" t="str">
        <f>B103</f>
        <v>总价（万元）</v>
      </c>
      <c r="D118" s="2535" t="str">
        <f>IF(A118="——","——",D110-D114-D115)</f>
        <v>——</v>
      </c>
      <c r="E118" s="1313"/>
      <c r="F118" s="3160"/>
      <c r="G118" s="3160"/>
      <c r="H118" s="3201"/>
      <c r="I118" s="3201"/>
      <c r="J118" s="2581"/>
      <c r="O118" s="28"/>
      <c r="P118" s="28"/>
    </row>
    <row r="119" spans="1:27" s="1177" customFormat="1" ht="13.2">
      <c r="A119" s="3182"/>
      <c r="B119" s="3183"/>
      <c r="C119" s="2534" t="s">
        <v>2547</v>
      </c>
      <c r="D119" s="48" t="str">
        <f>IF(A118="——","——",IF(H19="元",ROUND(D118/B125,0),ROUND(D118*10000/B125,0)))</f>
        <v>——</v>
      </c>
      <c r="E119" s="1313"/>
      <c r="F119" s="3285" t="str">
        <f>IF(B33="总价","（以上估价结果中楼面单价为总价除以建筑面积得出）","（以上估价结果中总价为楼面单价乘以建筑面积得出）")</f>
        <v>（以上估价结果中总价为楼面单价乘以建筑面积得出）</v>
      </c>
      <c r="G119" s="3285"/>
      <c r="H119" s="3285"/>
      <c r="I119" s="3285"/>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82" t="str">
        <f>IF(项目基本情况!G5="抵押净值",IF(OR(项目基本情况!F5="已注销",项目基本情况!F5="房地产抵押价值"),"4.抵押净值","5.抵押净值"),"——")</f>
        <v>——</v>
      </c>
      <c r="B120" s="3183"/>
      <c r="C120" s="2534" t="str">
        <f>B103</f>
        <v>总价（万元）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251"/>
      <c r="B121" s="3252"/>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02" t="s">
        <v>1672</v>
      </c>
      <c r="B122" s="3203"/>
      <c r="C122" s="3203"/>
      <c r="D122" s="3203"/>
      <c r="E122" s="3203"/>
      <c r="F122" s="3203"/>
      <c r="G122" s="3203"/>
      <c r="H122" s="3203"/>
      <c r="I122" s="3203"/>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75" t="s">
        <v>2551</v>
      </c>
      <c r="B123" s="3173" t="s">
        <v>2552</v>
      </c>
      <c r="C123" s="3173" t="s">
        <v>2558</v>
      </c>
      <c r="D123" s="3180" t="s">
        <v>2553</v>
      </c>
      <c r="E123" s="3181"/>
      <c r="F123" s="3171" t="s">
        <v>2559</v>
      </c>
      <c r="G123" s="3171"/>
      <c r="H123" s="3171" t="s">
        <v>2554</v>
      </c>
      <c r="I123" s="3172"/>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75"/>
      <c r="B124" s="3174"/>
      <c r="C124" s="3174"/>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75" t="s">
        <v>2557</v>
      </c>
      <c r="B126" s="3171"/>
      <c r="C126" s="3171"/>
      <c r="D126" s="3206" t="str">
        <f>IF(H19="元",NUMBERSTRING(INT(D125),2)&amp;"元整",NUMBERSTRING(INT(D125*10000),2)&amp;"元整")</f>
        <v>零元整</v>
      </c>
      <c r="E126" s="3207"/>
      <c r="F126" s="3206" t="str">
        <f>IF(H19="元",NUMBERSTRING(INT(F125),2)&amp;"元整",NUMBERSTRING(INT(F125*10000),2)&amp;"元整")</f>
        <v>零元整</v>
      </c>
      <c r="G126" s="3207"/>
      <c r="H126" s="3206" t="str">
        <f>IF(H19="元",NUMBERSTRING(INT(H125),2)&amp;"元整",NUMBERSTRING(INT(H125*10000),2)&amp;"元整")</f>
        <v>零元整</v>
      </c>
      <c r="I126" s="3255"/>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95" t="str">
        <f>IF(项目基本情况!D5="房地产市场价值","——",MID(A112,3,LEN(A112)-2))</f>
        <v>估价师所知悉的法定优先受偿款</v>
      </c>
      <c r="B127" s="3208"/>
      <c r="C127" s="3197"/>
      <c r="D127" s="3199">
        <f>I107</f>
        <v>0</v>
      </c>
      <c r="E127" s="3208"/>
      <c r="F127" s="3208"/>
      <c r="G127" s="3208"/>
      <c r="H127" s="3208"/>
      <c r="I127" s="3196"/>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09" t="s">
        <v>2557</v>
      </c>
      <c r="B128" s="3210"/>
      <c r="C128" s="3211"/>
      <c r="D128" s="3247">
        <f>H111</f>
        <v>0</v>
      </c>
      <c r="E128" s="3248"/>
      <c r="F128" s="3248"/>
      <c r="G128" s="3248"/>
      <c r="H128" s="3248"/>
      <c r="I128" s="3249"/>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82" t="str">
        <f>IF(项目基本情况!D5="房地产市场价值","——",MID(A116,3,LEN(A116)-2))</f>
        <v>房地产抵押价值</v>
      </c>
      <c r="B129" s="3183"/>
      <c r="C129" s="3183"/>
      <c r="D129" s="3199">
        <f>I112</f>
        <v>0</v>
      </c>
      <c r="E129" s="3208"/>
      <c r="F129" s="3208"/>
      <c r="G129" s="3208"/>
      <c r="H129" s="3208"/>
      <c r="I129" s="3196"/>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75" t="s">
        <v>2557</v>
      </c>
      <c r="B130" s="3171"/>
      <c r="C130" s="3171"/>
      <c r="D130" s="3247" t="e">
        <f>I113</f>
        <v>#DIV/0!</v>
      </c>
      <c r="E130" s="3248"/>
      <c r="F130" s="3248"/>
      <c r="G130" s="3248"/>
      <c r="H130" s="3248"/>
      <c r="I130" s="3249"/>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82" t="str">
        <f>IF(项目基本情况!D5="房地产市场价值","——",MID(A118,3,LEN(A118)-2))</f>
        <v/>
      </c>
      <c r="B131" s="3183"/>
      <c r="C131" s="3183"/>
      <c r="D131" s="3155" t="str">
        <f>I114</f>
        <v>——</v>
      </c>
      <c r="E131" s="3156"/>
      <c r="F131" s="3156"/>
      <c r="G131" s="3156"/>
      <c r="H131" s="3156"/>
      <c r="I131" s="3157"/>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75" t="s">
        <v>2557</v>
      </c>
      <c r="B132" s="3171"/>
      <c r="C132" s="3222"/>
      <c r="D132" s="3200" t="str">
        <f>I115</f>
        <v>——</v>
      </c>
      <c r="E132" s="3200"/>
      <c r="F132" s="3200"/>
      <c r="G132" s="3200"/>
      <c r="H132" s="3200"/>
      <c r="I132" s="3200"/>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82" t="str">
        <f>IF(项目基本情况!D5="房地产市场价值","——",MID(F116,3,LEN(F116)-2))</f>
        <v/>
      </c>
      <c r="B133" s="3183"/>
      <c r="C133" s="3199"/>
      <c r="D133" s="3250" t="str">
        <f>I116</f>
        <v>——</v>
      </c>
      <c r="E133" s="3250"/>
      <c r="F133" s="3250"/>
      <c r="G133" s="3250"/>
      <c r="H133" s="3250"/>
      <c r="I133" s="3250"/>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238" t="s">
        <v>2557</v>
      </c>
      <c r="B134" s="3239"/>
      <c r="C134" s="3239"/>
      <c r="D134" s="3256">
        <f>H118</f>
        <v>0</v>
      </c>
      <c r="E134" s="3257"/>
      <c r="F134" s="3257"/>
      <c r="G134" s="3257"/>
      <c r="H134" s="3257"/>
      <c r="I134" s="3258"/>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243" t="str">
        <f>IF(B33="总价","（以上估价结果中楼面单价为总价除以建筑面积得出）","（以上估价结果中总价为楼面单价乘以建筑面积得出）")</f>
        <v>（以上估价结果中总价为楼面单价乘以建筑面积得出）</v>
      </c>
      <c r="B136" s="3243"/>
      <c r="C136" s="3243"/>
      <c r="D136" s="3243"/>
      <c r="E136" s="3243"/>
      <c r="F136" s="3243"/>
      <c r="G136" s="3243"/>
      <c r="H136" s="3243"/>
      <c r="I136" s="3243"/>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7817</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30500</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46697566</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ROUND([2]基准地价修正!$T$2*[2]基准地价修正!$U$2+[2]基准地价修正!$T$3*[2]基准地价修正!$U$3,0)</f>
        <v>45315395</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1382120</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51</v>
      </c>
      <c r="D8" s="1044"/>
      <c r="E8" s="111"/>
      <c r="F8" s="1043"/>
      <c r="G8" s="1363" t="s">
        <v>3044</v>
      </c>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512584</v>
      </c>
      <c r="D10" s="1046">
        <f>IF('数据-取费表'!B10&lt;&gt;"住宅",IF(B1="仅计算典型户型",'数据-取费表'!E5,'数据-取费表'!B5),0)</f>
        <v>2562.92</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2562.92</v>
      </c>
      <c r="E19" s="107">
        <f>'数据-取费表'!E15</f>
        <v>200</v>
      </c>
      <c r="F19" s="108"/>
      <c r="G19" s="1363" t="s">
        <v>3045</v>
      </c>
    </row>
    <row r="20" spans="1:123" s="87" customFormat="1" ht="13.5" customHeight="1">
      <c r="A20" s="116" t="s">
        <v>1702</v>
      </c>
      <c r="B20" s="85" t="s">
        <v>1703</v>
      </c>
      <c r="C20" s="95">
        <f>ROUND((C5+C19)*F20,0)</f>
        <v>933951</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3995082</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3956323</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38759</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7144728</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7144728</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63681143</v>
      </c>
      <c r="D31" s="1049"/>
      <c r="E31" s="107"/>
      <c r="F31" s="1050"/>
      <c r="G31" s="96" t="s">
        <v>1729</v>
      </c>
    </row>
    <row r="32" spans="1:123" s="84" customFormat="1" ht="16.2">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11225589</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10251680</v>
      </c>
      <c r="D34" s="1041"/>
      <c r="E34" s="111"/>
      <c r="F34" s="1052" t="str">
        <f>IF('数据-取费表'!B26=0,"",'数据-取费表'!E20)</f>
        <v/>
      </c>
      <c r="G34" s="91"/>
    </row>
    <row r="35" spans="1:123" ht="13.5" customHeight="1">
      <c r="A35" s="88" t="s">
        <v>1685</v>
      </c>
      <c r="B35" s="89" t="s">
        <v>1734</v>
      </c>
      <c r="C35" s="111">
        <f>ROUND(C34*F35,0)</f>
        <v>307550</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512584</v>
      </c>
      <c r="D37" s="1041">
        <f>IF(B1="仅计算典型户型",'数据-取费表'!E5,'数据-取费表'!B5)</f>
        <v>2562.92</v>
      </c>
      <c r="E37" s="111">
        <f>'数据-取费表'!E23</f>
        <v>200</v>
      </c>
      <c r="F37" s="1053"/>
      <c r="G37" s="120" t="s">
        <v>1739</v>
      </c>
    </row>
    <row r="38" spans="1:123" ht="13.5" customHeight="1">
      <c r="A38" s="88" t="s">
        <v>1740</v>
      </c>
      <c r="B38" s="89" t="s">
        <v>1741</v>
      </c>
      <c r="C38" s="111">
        <f>ROUND(C34*F38,0)</f>
        <v>153775</v>
      </c>
      <c r="D38" s="111"/>
      <c r="E38" s="111"/>
      <c r="F38" s="1053">
        <f>'数据-取费表'!E24</f>
        <v>1.4999999999999999E-2</v>
      </c>
      <c r="G38" s="91" t="s">
        <v>1735</v>
      </c>
    </row>
    <row r="39" spans="1:123" s="87" customFormat="1" ht="13.5" customHeight="1">
      <c r="A39" s="116" t="s">
        <v>1700</v>
      </c>
      <c r="B39" s="85" t="s">
        <v>1703</v>
      </c>
      <c r="C39" s="95">
        <f>ROUND(C33*F20,0)</f>
        <v>224512</v>
      </c>
      <c r="D39" s="95"/>
      <c r="E39" s="95"/>
      <c r="F39" s="2600">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600">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475179</v>
      </c>
      <c r="D41" s="97">
        <f ca="1">C44</f>
        <v>8.0000000000000004E-4</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465862</v>
      </c>
      <c r="D42" s="100"/>
      <c r="E42" s="100"/>
      <c r="F42" s="101"/>
      <c r="G42" s="3288" t="s">
        <v>1745</v>
      </c>
    </row>
    <row r="43" spans="1:123" ht="13.5" customHeight="1">
      <c r="A43" s="88" t="s">
        <v>1685</v>
      </c>
      <c r="B43" s="89" t="s">
        <v>1714</v>
      </c>
      <c r="C43" s="100">
        <f ca="1">ROUND(IF('数据-取费表'!B24&lt;=1,C39*F22*'数据-取费表'!B23/2,C39*(POWER((1+F22),'数据-取费表'!B23/2)-1)),0)</f>
        <v>9317</v>
      </c>
      <c r="D43" s="100"/>
      <c r="E43" s="100"/>
      <c r="F43" s="101"/>
      <c r="G43" s="3289"/>
    </row>
    <row r="44" spans="1:123" ht="13.5" customHeight="1">
      <c r="A44" s="88" t="s">
        <v>1687</v>
      </c>
      <c r="B44" s="89" t="s">
        <v>1716</v>
      </c>
      <c r="C44" s="100">
        <f ca="1">ROUND(IF('数据-取费表'!B24&lt;=1,C40*F22*'数据-取费表'!B23/2,C40*(POWER((1+F22),'数据-取费表'!B23/2)-1)),4)</f>
        <v>8.0000000000000004E-4</v>
      </c>
      <c r="D44" s="100"/>
      <c r="E44" s="100"/>
      <c r="F44" s="101"/>
      <c r="G44" s="3290"/>
    </row>
    <row r="45" spans="1:123" s="87" customFormat="1" ht="13.5" customHeight="1">
      <c r="A45" s="116" t="s">
        <v>1709</v>
      </c>
      <c r="B45" s="106" t="s">
        <v>1721</v>
      </c>
      <c r="C45" s="107">
        <f>C46</f>
        <v>1717515</v>
      </c>
      <c r="D45" s="97">
        <f>C47</f>
        <v>3.0000000000000001E-3</v>
      </c>
      <c r="E45" s="98" t="s">
        <v>1743</v>
      </c>
      <c r="F45" s="2601">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1717515</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600">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14782528</v>
      </c>
      <c r="D49" s="95"/>
      <c r="E49" s="95"/>
      <c r="F49" s="122"/>
      <c r="G49" s="96" t="s">
        <v>1753</v>
      </c>
    </row>
    <row r="50" spans="1:123" s="118" customFormat="1" ht="24">
      <c r="A50" s="905" t="s">
        <v>1754</v>
      </c>
      <c r="B50" s="85" t="s">
        <v>1755</v>
      </c>
      <c r="C50" s="95"/>
      <c r="D50" s="95"/>
      <c r="E50" s="95"/>
      <c r="F50" s="122">
        <f>IF('数据-取费表'!B26=0,'数据-取费表'!E20,1)</f>
        <v>0.98</v>
      </c>
      <c r="G50" s="109" t="s">
        <v>1756</v>
      </c>
    </row>
    <row r="51" spans="1:123" ht="16.5" customHeight="1">
      <c r="A51" s="905" t="s">
        <v>1757</v>
      </c>
      <c r="B51" s="85" t="s">
        <v>1758</v>
      </c>
      <c r="C51" s="95">
        <f ca="1">ROUND(C49*F50,0)</f>
        <v>14486877</v>
      </c>
      <c r="D51" s="95"/>
      <c r="E51" s="95"/>
      <c r="F51" s="122"/>
      <c r="G51" s="96" t="s">
        <v>1759</v>
      </c>
    </row>
    <row r="52" spans="1:123" s="84" customFormat="1" ht="16.8" thickBot="1">
      <c r="A52" s="123" t="s">
        <v>1760</v>
      </c>
      <c r="B52" s="124"/>
      <c r="C52" s="125">
        <f ca="1">C31+C51</f>
        <v>78168020</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0.185</v>
      </c>
    </row>
    <row r="57" spans="1:123">
      <c r="B57" s="131" t="s">
        <v>1763</v>
      </c>
      <c r="C57" s="133">
        <f ca="1">1-C56</f>
        <v>0.81499999999999995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2.0000000000000018E-2</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-51</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-51</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-1</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-8</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-8</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51</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4017</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15674</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2528915</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2525758</v>
      </c>
      <c r="D6" s="32" t="s">
        <v>2461</v>
      </c>
      <c r="E6" s="231" t="s">
        <v>1776</v>
      </c>
      <c r="F6" s="232">
        <f>'数据-取费表'!B30</f>
        <v>3</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2562.92</v>
      </c>
      <c r="G7" s="864"/>
      <c r="H7" s="233"/>
      <c r="I7" s="234"/>
      <c r="J7" s="235"/>
      <c r="K7" s="236"/>
      <c r="L7" s="231" t="s">
        <v>1777</v>
      </c>
      <c r="M7" s="232">
        <f>IF('数据-取费表'!B42="",IF(D1="仅计算典型户型",'数据-取费表'!E5,'数据-取费表'!B5),'数据-取费表'!B42)</f>
        <v>2562.92</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3157</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14486877</v>
      </c>
      <c r="D13" s="974" t="s">
        <v>1791</v>
      </c>
      <c r="E13" s="974" t="s">
        <v>1792</v>
      </c>
      <c r="F13" s="975">
        <f>'数据-取费表'!E20</f>
        <v>0.98</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10251680</v>
      </c>
      <c r="D14" s="1196" t="s">
        <v>1795</v>
      </c>
      <c r="E14" s="1197"/>
      <c r="F14" s="723"/>
      <c r="G14" s="865"/>
      <c r="H14" s="249" t="s">
        <v>1774</v>
      </c>
      <c r="I14" s="231" t="s">
        <v>1796</v>
      </c>
      <c r="J14" s="12">
        <f ca="1">C29</f>
        <v>14782528</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307550</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345911</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512584</v>
      </c>
      <c r="D17" s="231" t="s">
        <v>1809</v>
      </c>
      <c r="E17" s="231" t="s">
        <v>1810</v>
      </c>
      <c r="F17" s="14">
        <f>'数据-取费表'!E23</f>
        <v>200</v>
      </c>
      <c r="G17" s="865"/>
      <c r="H17" s="249" t="s">
        <v>1811</v>
      </c>
      <c r="I17" s="231" t="s">
        <v>1812</v>
      </c>
      <c r="J17" s="2542">
        <f ca="1">ROUND(IF(AND(项目基本情况!B7="自然人",项目基本情况!B6="北京市"),J6*M17/(1+'数据-取费表'!F30),J18+J19+J20),0)</f>
        <v>124173</v>
      </c>
      <c r="K17" s="1196" t="s">
        <v>1813</v>
      </c>
      <c r="L17" s="1199" t="s">
        <v>1814</v>
      </c>
      <c r="M17" s="2541" t="str">
        <f>IF(项目基本情况!B7="企业","——",IF('数据-取费表'!B10="住宅",IF(M6*M7*M8/12/(1+'数据-取费表'!F30)&gt;100000,4%,2.5%),IF(M6*M7*M8/12/(1+'数据-取费表'!F30)&gt;100000,12%,7%)))</f>
        <v>——</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153775</v>
      </c>
      <c r="D18" s="231" t="s">
        <v>1799</v>
      </c>
      <c r="E18" s="231" t="s">
        <v>1800</v>
      </c>
      <c r="F18" s="254">
        <f>'数据-取费表'!E24</f>
        <v>1.4999999999999999E-2</v>
      </c>
      <c r="G18" s="864"/>
      <c r="H18" s="249" t="s">
        <v>1817</v>
      </c>
      <c r="I18" s="231" t="s">
        <v>1818</v>
      </c>
      <c r="J18" s="12">
        <f>IF(项目基本情况!B7="自然人","——",ROUND(J6*M18/(1+'数据-取费表'!F30),0))</f>
        <v>0</v>
      </c>
      <c r="K18" s="1199" t="s">
        <v>2487</v>
      </c>
      <c r="L18" s="231" t="s">
        <v>1800</v>
      </c>
      <c r="M18" s="254">
        <f>'数据-取费表'!E29</f>
        <v>5.6000000000000001E-2</v>
      </c>
    </row>
    <row r="19" spans="1:37" s="253" customFormat="1" ht="18" customHeight="1">
      <c r="A19" s="249" t="s">
        <v>1811</v>
      </c>
      <c r="B19" s="231" t="s">
        <v>1819</v>
      </c>
      <c r="C19" s="12">
        <f>SUM(C14:C18)</f>
        <v>11225589</v>
      </c>
      <c r="D19" s="29" t="s">
        <v>1820</v>
      </c>
      <c r="E19" s="1201"/>
      <c r="F19" s="14"/>
      <c r="G19" s="865"/>
      <c r="H19" s="249" t="s">
        <v>1797</v>
      </c>
      <c r="I19" s="231" t="s">
        <v>1821</v>
      </c>
      <c r="J19" s="12">
        <f ca="1">IF(项目基本情况!B7="自然人","——",IF(K19="按租金收入计税",ROUND(J6*M19/(1+'数据-取费表'!F30),0),ROUND(C29*M19*0.7,0)))</f>
        <v>124173</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224512</v>
      </c>
      <c r="D20" s="255" t="s">
        <v>1824</v>
      </c>
      <c r="E20" s="231" t="s">
        <v>1825</v>
      </c>
      <c r="F20" s="254">
        <f>'数据-取费表'!E25</f>
        <v>0.02</v>
      </c>
      <c r="G20" s="865"/>
      <c r="H20" s="249" t="s">
        <v>1803</v>
      </c>
      <c r="I20" s="32" t="s">
        <v>1826</v>
      </c>
      <c r="J20" s="13">
        <f>IF(项目基本情况!B7="自然人","——",ROUND(M20*M21,0))</f>
        <v>0</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221738</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475179</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-345911</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1717515</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14782528</v>
      </c>
      <c r="D29" s="985"/>
      <c r="E29" s="983"/>
      <c r="F29" s="986"/>
      <c r="G29" s="623"/>
      <c r="H29" s="267" t="s">
        <v>24</v>
      </c>
      <c r="I29" s="268" t="s">
        <v>1869</v>
      </c>
      <c r="J29" s="269">
        <f ca="1">ROUND(J26/(1+F40)^F41,0)</f>
        <v>0</v>
      </c>
      <c r="K29" s="270" t="s">
        <v>1870</v>
      </c>
      <c r="L29" s="271"/>
      <c r="M29" s="272">
        <f>IF(D1="仅计算典型户型",'数据-取费表'!E5,'数据-取费表'!B5)</f>
        <v>2562.92</v>
      </c>
    </row>
    <row r="30" spans="1:37" ht="18" customHeight="1" thickTop="1">
      <c r="A30" s="972" t="s">
        <v>14</v>
      </c>
      <c r="B30" s="973" t="s">
        <v>1871</v>
      </c>
      <c r="C30" s="239">
        <f ca="1">ROUND(C31+C36+C37+C38,0)</f>
        <v>692122</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423365</v>
      </c>
      <c r="D31" s="1196" t="s">
        <v>1873</v>
      </c>
      <c r="E31" s="1199" t="s">
        <v>1874</v>
      </c>
      <c r="F31" s="2541" t="str">
        <f>IF(项目基本情况!B7="企业","——",IF('数据-取费表'!B10="住宅",IF(F6*F7*F8/12/(1+'数据-取费表'!F30)&gt;100000,4%,2.5%),IF(F6*F7*F8/12/(1+'数据-取费表'!F30)&gt;100000,12%,7%)))</f>
        <v>——</v>
      </c>
      <c r="G31" s="623"/>
      <c r="H31" s="847"/>
      <c r="I31" s="848"/>
      <c r="J31" s="849"/>
      <c r="K31" s="27"/>
      <c r="L31" s="850"/>
      <c r="M31" s="851"/>
    </row>
    <row r="32" spans="1:37" ht="18" customHeight="1">
      <c r="A32" s="249" t="s">
        <v>1793</v>
      </c>
      <c r="B32" s="231" t="s">
        <v>1875</v>
      </c>
      <c r="C32" s="12">
        <f>IF(项目基本情况!B7="自然人","——",ROUND(C6*F32/(1+'数据-取费表'!F30),0))</f>
        <v>134707</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f>IF(项目基本情况!B7="自然人","——",IF(D33="按租金收入计税",ROUND(C6*F33/(1+'数据-取费表'!F30),0),IF(D33="按房产原值计税",ROUND(C29*F33*0.7,0),'数据-取费表'!B44)))</f>
        <v>288658</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f>IF(项目基本情况!B7="自然人","——",ROUND(F34*F35,0))</f>
        <v>0</v>
      </c>
      <c r="D34" s="257" t="s">
        <v>1827</v>
      </c>
      <c r="E34" s="231" t="s">
        <v>1828</v>
      </c>
      <c r="F34" s="258">
        <f>'数据-取费表'!E40</f>
        <v>0</v>
      </c>
      <c r="G34" s="623"/>
      <c r="H34" s="847"/>
      <c r="I34" s="276" t="s">
        <v>1878</v>
      </c>
      <c r="J34" s="277">
        <f ca="1">ROUND(C13*J35,0)</f>
        <v>0</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v>
      </c>
      <c r="K35" s="859"/>
      <c r="L35" s="858"/>
      <c r="M35" s="858"/>
    </row>
    <row r="36" spans="1:18" ht="18" customHeight="1">
      <c r="A36" s="969" t="s">
        <v>1781</v>
      </c>
      <c r="B36" s="231" t="s">
        <v>1880</v>
      </c>
      <c r="C36" s="12">
        <f ca="1">ROUND(C29*F36,0)</f>
        <v>221738</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21730</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25289</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1836793</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40170186</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37</v>
      </c>
      <c r="H41" s="27"/>
      <c r="I41" s="131" t="s">
        <v>1762</v>
      </c>
      <c r="J41" s="132">
        <f ca="1">ROUND(C13/C40,3)</f>
        <v>0.36099999999999999</v>
      </c>
      <c r="K41" s="862"/>
      <c r="L41" s="27"/>
      <c r="M41" s="27"/>
      <c r="Q41" s="626"/>
    </row>
    <row r="42" spans="1:18" s="623" customFormat="1" ht="18" customHeight="1">
      <c r="A42" s="237"/>
      <c r="B42" s="238"/>
      <c r="C42" s="239"/>
      <c r="D42" s="260"/>
      <c r="E42" s="231" t="s">
        <v>1866</v>
      </c>
      <c r="F42" s="241">
        <f>'数据-取费表'!B32</f>
        <v>2.5000000000000001E-2</v>
      </c>
      <c r="H42" s="27"/>
      <c r="I42" s="131" t="s">
        <v>1763</v>
      </c>
      <c r="J42" s="133">
        <f ca="1">1-J41</f>
        <v>0.63900000000000001</v>
      </c>
      <c r="K42" s="862"/>
      <c r="L42" s="27"/>
      <c r="M42" s="27"/>
      <c r="Q42" s="626"/>
    </row>
    <row r="43" spans="1:18" s="623" customFormat="1" ht="18" customHeight="1" thickBot="1">
      <c r="A43" s="267" t="s">
        <v>24</v>
      </c>
      <c r="B43" s="268" t="s">
        <v>1891</v>
      </c>
      <c r="C43" s="269">
        <f ca="1">ROUND(C40/F43,0)</f>
        <v>15674</v>
      </c>
      <c r="D43" s="270" t="s">
        <v>1892</v>
      </c>
      <c r="E43" s="271" t="s">
        <v>1893</v>
      </c>
      <c r="F43" s="272">
        <f>IF(D1="仅计算典型户型",'数据-取费表'!E5,'数据-取费表'!B5)</f>
        <v>2562.92</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40170186</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-6345</v>
      </c>
      <c r="D47" s="1372" t="str">
        <f>C2</f>
        <v>万元</v>
      </c>
      <c r="E47" s="620"/>
      <c r="F47" s="620"/>
      <c r="I47" s="1373" t="s">
        <v>1904</v>
      </c>
      <c r="J47" s="933"/>
      <c r="K47" s="934"/>
      <c r="L47" s="946" t="str">
        <f>IF(M48="住宅",0,IF(L49&gt;J52,L61,J61))</f>
        <v>0</v>
      </c>
      <c r="O47" s="960" t="s">
        <v>769</v>
      </c>
      <c r="P47" s="957" t="s">
        <v>1905</v>
      </c>
      <c r="Q47" s="958">
        <f ca="1">C29</f>
        <v>14782528</v>
      </c>
      <c r="R47" s="959" t="s">
        <v>1900</v>
      </c>
    </row>
    <row r="48" spans="1:18" s="623" customFormat="1" ht="16.2" thickBot="1">
      <c r="A48" s="224" t="s">
        <v>1906</v>
      </c>
      <c r="B48" s="225" t="s">
        <v>1907</v>
      </c>
      <c r="C48" s="225" t="s">
        <v>1908</v>
      </c>
      <c r="D48" s="225" t="s">
        <v>1909</v>
      </c>
      <c r="E48" s="897" t="s">
        <v>1910</v>
      </c>
      <c r="F48" s="898"/>
      <c r="I48" s="1374" t="s">
        <v>1911</v>
      </c>
      <c r="J48" s="1375" t="s">
        <v>3041</v>
      </c>
      <c r="K48" s="1376" t="s">
        <v>1912</v>
      </c>
      <c r="L48" s="935">
        <f>'数据-取费表'!B11</f>
        <v>40</v>
      </c>
      <c r="M48" s="947" t="str">
        <f>IF('数据-取费表'!B10="住宅","住宅","非住宅")</f>
        <v>非住宅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3042</v>
      </c>
      <c r="K49" s="1379" t="s">
        <v>1916</v>
      </c>
      <c r="L49" s="785">
        <f>'数据-取费表'!B13</f>
        <v>37</v>
      </c>
      <c r="O49" s="960" t="s">
        <v>771</v>
      </c>
      <c r="P49" s="957" t="s">
        <v>1917</v>
      </c>
      <c r="Q49" s="961">
        <f>J53</f>
        <v>0.08</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2021</v>
      </c>
      <c r="K50" s="1381" t="s">
        <v>1921</v>
      </c>
      <c r="L50" s="936"/>
      <c r="O50" s="960" t="s">
        <v>772</v>
      </c>
      <c r="P50" s="957" t="s">
        <v>1922</v>
      </c>
      <c r="Q50" s="958">
        <f>J54</f>
        <v>37</v>
      </c>
      <c r="R50" s="959" t="s">
        <v>1923</v>
      </c>
    </row>
    <row r="51" spans="1:18" s="623" customFormat="1" ht="16.2" thickBot="1">
      <c r="A51" s="233"/>
      <c r="B51" s="234"/>
      <c r="C51" s="235"/>
      <c r="D51" s="236"/>
      <c r="E51" s="251" t="s">
        <v>1777</v>
      </c>
      <c r="F51" s="896">
        <f>F7</f>
        <v>2562.92</v>
      </c>
      <c r="I51" s="1377" t="s">
        <v>1924</v>
      </c>
      <c r="J51" s="937">
        <f>SUMPRODUCT((I64:I66=J48)*(J63:L63=J49)*(J64:L66))</f>
        <v>60</v>
      </c>
      <c r="K51" s="1381" t="s">
        <v>1925</v>
      </c>
      <c r="L51" s="936"/>
      <c r="O51" s="956" t="s">
        <v>773</v>
      </c>
      <c r="P51" s="957" t="str">
        <f>IF(C2="元","收益价值(元)","收益价值(万元)")</f>
        <v>收益价值(万元)</v>
      </c>
      <c r="Q51" s="958">
        <f ca="1">ROUND(IF(C2="元",Q45+Q46,(Q45+Q46)/10000),0)</f>
        <v>4017</v>
      </c>
      <c r="R51" s="959" t="s">
        <v>774</v>
      </c>
    </row>
    <row r="52" spans="1:18" s="623" customFormat="1" ht="16.2" thickBot="1">
      <c r="A52" s="233"/>
      <c r="B52" s="234"/>
      <c r="C52" s="235"/>
      <c r="D52" s="236"/>
      <c r="E52" s="231" t="s">
        <v>1779</v>
      </c>
      <c r="F52" s="232">
        <f>F8</f>
        <v>365</v>
      </c>
      <c r="I52" s="1382" t="s">
        <v>1926</v>
      </c>
      <c r="J52" s="785">
        <f>IF(J50="",J51,J50+J51-YEAR('数据-取费表'!B2))</f>
        <v>59</v>
      </c>
      <c r="K52" s="1383" t="s">
        <v>1927</v>
      </c>
      <c r="L52" s="938">
        <f ca="1">ROUND(-PV('数据-取费表'!B15,J52,(C40-C13*J35)),0)</f>
        <v>758242549</v>
      </c>
      <c r="O52" s="950" t="s">
        <v>1928</v>
      </c>
      <c r="P52" s="951"/>
      <c r="Q52" s="947"/>
      <c r="R52" s="951"/>
    </row>
    <row r="53" spans="1:18" s="623" customFormat="1" ht="16.2" thickBot="1">
      <c r="A53" s="237"/>
      <c r="B53" s="238"/>
      <c r="C53" s="239"/>
      <c r="D53" s="240"/>
      <c r="E53" s="231" t="s">
        <v>1780</v>
      </c>
      <c r="F53" s="945"/>
      <c r="I53" s="1384" t="s">
        <v>1929</v>
      </c>
      <c r="J53" s="939">
        <v>0.08</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37</v>
      </c>
      <c r="K54" s="3291" t="s">
        <v>2460</v>
      </c>
      <c r="L54" s="3292"/>
      <c r="O54" s="956" t="s">
        <v>767</v>
      </c>
      <c r="P54" s="957" t="s">
        <v>1899</v>
      </c>
      <c r="Q54" s="958">
        <f ca="1">C40+J29</f>
        <v>40170186</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14486877</v>
      </c>
      <c r="D57" s="894"/>
      <c r="E57" s="895"/>
      <c r="F57" s="902"/>
      <c r="I57" s="1391" t="s">
        <v>1936</v>
      </c>
      <c r="J57" s="944" t="s">
        <v>3043</v>
      </c>
      <c r="K57" s="1377" t="s">
        <v>1937</v>
      </c>
      <c r="L57" s="785" t="str">
        <f>IF(L49&lt;J52,"——",L49-J52)</f>
        <v>——</v>
      </c>
      <c r="O57" s="960" t="s">
        <v>770</v>
      </c>
      <c r="P57" s="957" t="s">
        <v>1938</v>
      </c>
      <c r="Q57" s="961">
        <f>L53</f>
        <v>0</v>
      </c>
      <c r="R57" s="959"/>
    </row>
    <row r="58" spans="1:18" s="623" customFormat="1" ht="31.8" thickBot="1">
      <c r="A58" s="901"/>
      <c r="B58" s="231" t="s">
        <v>1868</v>
      </c>
      <c r="C58" s="100">
        <f ca="1">C29</f>
        <v>14782528</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1485200</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2">
        <f ca="1">ROUND(IF(AND(项目基本情况!B7="自然人",项目基本情况!B6="北京市"),C50*F60/(1+'数据-取费表'!F30),C61+C62+C63),0)</f>
        <v>1241732</v>
      </c>
      <c r="D60" s="1196" t="s">
        <v>1873</v>
      </c>
      <c r="E60" s="1199" t="s">
        <v>1874</v>
      </c>
      <c r="F60" s="2541" t="str">
        <f>IF(项目基本情况!B7="企业","——",IF('数据-取费表'!B10="住宅",IF(F50*F51*F52/12/(1+'数据-取费表'!F30)&gt;100000,4%,2.5%),IF(F50*F51*F52/12/(1+'数据-取费表'!F30)&gt;100000,12%,7%)))</f>
        <v>——</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4017</v>
      </c>
      <c r="R60" s="959" t="s">
        <v>774</v>
      </c>
    </row>
    <row r="61" spans="1:18" s="623" customFormat="1" ht="16.2" thickBot="1">
      <c r="A61" s="249" t="s">
        <v>16</v>
      </c>
      <c r="B61" s="231" t="s">
        <v>1875</v>
      </c>
      <c r="C61" s="12">
        <f ca="1">IF(项目基本情况!B7="自然人","——",ROUND(C49*F61/(1+'数据-取费表'!F30),0))</f>
        <v>0</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f ca="1">IF(项目基本情况!B7="自然人","——",IF(D62="按租金收入计税",ROUND(C50*F62/(1+'数据-取费表'!F30),0),IF(D62="按房产原值计税",ROUND(C58*F62*0.7,0),'数据-取费表'!B44)))</f>
        <v>1241732</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f>IF(项目基本情况!B7="自然人","——",ROUND(F63*F64,0))</f>
        <v>0</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40170186</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221738</v>
      </c>
      <c r="D65" s="1199" t="s">
        <v>1881</v>
      </c>
      <c r="E65" s="231" t="s">
        <v>1825</v>
      </c>
      <c r="F65" s="261">
        <f t="shared" si="0"/>
        <v>1.4999999999999999E-2</v>
      </c>
      <c r="I65" s="1395" t="s">
        <v>1961</v>
      </c>
      <c r="J65" s="1192">
        <v>50</v>
      </c>
      <c r="K65" s="1192">
        <v>35</v>
      </c>
      <c r="L65" s="1192">
        <v>60</v>
      </c>
      <c r="M65" s="1191">
        <v>0</v>
      </c>
      <c r="O65" s="960" t="s">
        <v>769</v>
      </c>
      <c r="P65" s="957" t="s">
        <v>1935</v>
      </c>
      <c r="Q65" s="962">
        <f ca="1">L52</f>
        <v>758242549</v>
      </c>
      <c r="R65" s="963" t="s">
        <v>1962</v>
      </c>
    </row>
    <row r="66" spans="1:18" s="623" customFormat="1" ht="19.2" thickBot="1">
      <c r="A66" s="249" t="s">
        <v>20</v>
      </c>
      <c r="B66" s="231" t="s">
        <v>1840</v>
      </c>
      <c r="C66" s="12">
        <f ca="1">ROUND(C57*F66,0)</f>
        <v>21730</v>
      </c>
      <c r="D66" s="1199" t="s">
        <v>1841</v>
      </c>
      <c r="E66" s="231" t="s">
        <v>1842</v>
      </c>
      <c r="F66" s="262">
        <f t="shared" si="0"/>
        <v>1.5E-3</v>
      </c>
      <c r="I66" s="1395" t="s">
        <v>1963</v>
      </c>
      <c r="J66" s="1192">
        <v>40</v>
      </c>
      <c r="K66" s="1192">
        <v>30</v>
      </c>
      <c r="L66" s="1192">
        <v>50</v>
      </c>
      <c r="M66" s="1190">
        <v>0.02</v>
      </c>
      <c r="O66" s="960" t="s">
        <v>770</v>
      </c>
      <c r="P66" s="964" t="s">
        <v>1964</v>
      </c>
      <c r="Q66" s="958">
        <f ca="1">ROUND(Q67-Q68*Q69,0)</f>
        <v>1836793</v>
      </c>
      <c r="R66" s="959"/>
    </row>
    <row r="67" spans="1:18" s="623" customFormat="1" ht="16.2" thickBot="1">
      <c r="A67" s="249" t="s">
        <v>21</v>
      </c>
      <c r="B67" s="231" t="s">
        <v>1823</v>
      </c>
      <c r="C67" s="12">
        <f ca="1">ROUND(C49*F67,0)</f>
        <v>0</v>
      </c>
      <c r="D67" s="1199" t="s">
        <v>1846</v>
      </c>
      <c r="E67" s="231" t="s">
        <v>1842</v>
      </c>
      <c r="F67" s="241">
        <f t="shared" si="0"/>
        <v>0.01</v>
      </c>
      <c r="O67" s="960" t="s">
        <v>775</v>
      </c>
      <c r="P67" s="964" t="s">
        <v>1965</v>
      </c>
      <c r="Q67" s="958">
        <f ca="1">C39</f>
        <v>1836793</v>
      </c>
      <c r="R67" s="959" t="s">
        <v>1900</v>
      </c>
    </row>
    <row r="68" spans="1:18" ht="24.6" thickBot="1">
      <c r="A68" s="244" t="s">
        <v>22</v>
      </c>
      <c r="B68" s="37" t="s">
        <v>1850</v>
      </c>
      <c r="C68" s="246">
        <f ca="1">C49-C59</f>
        <v>-1485200</v>
      </c>
      <c r="D68" s="1196" t="s">
        <v>1851</v>
      </c>
      <c r="E68" s="1198"/>
      <c r="F68" s="264"/>
      <c r="H68" s="623"/>
      <c r="I68" s="623"/>
      <c r="J68" s="623"/>
      <c r="K68" s="623"/>
      <c r="L68" s="623"/>
      <c r="M68" s="623"/>
      <c r="O68" s="960" t="s">
        <v>776</v>
      </c>
      <c r="P68" s="964" t="s">
        <v>1966</v>
      </c>
      <c r="Q68" s="958">
        <f ca="1">C13</f>
        <v>14486877</v>
      </c>
      <c r="R68" s="959" t="s">
        <v>1900</v>
      </c>
    </row>
    <row r="69" spans="1:18" ht="16.2" thickBot="1">
      <c r="A69" s="228" t="s">
        <v>23</v>
      </c>
      <c r="B69" s="229" t="s">
        <v>1888</v>
      </c>
      <c r="C69" s="230">
        <f ca="1">ROUND(C68*(1-((1+F71)/(1+F69))^F70)/(F69-F71),0)</f>
        <v>-23279023</v>
      </c>
      <c r="D69" s="257" t="s">
        <v>1856</v>
      </c>
      <c r="E69" s="231" t="s">
        <v>1857</v>
      </c>
      <c r="F69" s="241">
        <f>F40</f>
        <v>5.5E-2</v>
      </c>
      <c r="H69" s="623"/>
      <c r="I69" s="623"/>
      <c r="J69" s="623"/>
      <c r="K69" s="623"/>
      <c r="L69" s="623"/>
      <c r="M69" s="623"/>
      <c r="O69" s="960" t="s">
        <v>777</v>
      </c>
      <c r="P69" s="964" t="s">
        <v>1967</v>
      </c>
      <c r="Q69" s="961">
        <f>J35</f>
        <v>0</v>
      </c>
      <c r="R69" s="959"/>
    </row>
    <row r="70" spans="1:18" ht="16.2" thickBot="1">
      <c r="A70" s="233"/>
      <c r="B70" s="234"/>
      <c r="C70" s="235"/>
      <c r="D70" s="265" t="s">
        <v>1890</v>
      </c>
      <c r="E70" s="231" t="s">
        <v>1862</v>
      </c>
      <c r="F70" s="266">
        <f>F41</f>
        <v>37</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-9083</v>
      </c>
      <c r="D72" s="270" t="s">
        <v>1892</v>
      </c>
      <c r="E72" s="271" t="s">
        <v>1893</v>
      </c>
      <c r="F72" s="272">
        <f>F43</f>
        <v>2562.92</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4017</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21" customWidth="1"/>
    <col min="8" max="8" width="8.88671875" style="2921"/>
    <col min="9" max="9" width="8.88671875" style="292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922"/>
    <col min="23" max="23" width="8.88671875" style="2921"/>
    <col min="24"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2" customHeight="1">
      <c r="A2" s="2829" t="s">
        <v>2651</v>
      </c>
      <c r="B2" s="2830" t="e">
        <f>C40</f>
        <v>#DIV/0!</v>
      </c>
      <c r="C2" s="2831" t="s">
        <v>2652</v>
      </c>
      <c r="D2" s="2831"/>
      <c r="E2" s="2832"/>
      <c r="F2" s="2833"/>
      <c r="G2" s="2927"/>
      <c r="H2" s="2928"/>
      <c r="I2" s="2929"/>
      <c r="J2" s="3299" t="s">
        <v>2653</v>
      </c>
      <c r="K2" s="3300"/>
      <c r="L2" s="2930" t="s">
        <v>2654</v>
      </c>
      <c r="M2" s="2930" t="s">
        <v>2655</v>
      </c>
      <c r="N2" s="2930" t="s">
        <v>2656</v>
      </c>
      <c r="O2" s="2930" t="s">
        <v>2657</v>
      </c>
      <c r="P2" s="2930" t="s">
        <v>2658</v>
      </c>
      <c r="Q2" s="2931" t="s">
        <v>2659</v>
      </c>
      <c r="R2" s="2932" t="s">
        <v>2660</v>
      </c>
      <c r="S2" s="2926"/>
      <c r="T2" s="2926"/>
      <c r="U2" s="2926"/>
      <c r="V2" s="2929"/>
      <c r="W2" s="2928"/>
    </row>
    <row r="3" spans="1:23" s="2834" customFormat="1" ht="13.2" customHeight="1">
      <c r="A3" s="2836" t="s">
        <v>2661</v>
      </c>
      <c r="B3" s="2837" t="e">
        <f>ROUND(B2*10000/B4,0)</f>
        <v>#DIV/0!</v>
      </c>
      <c r="C3" s="2831" t="s">
        <v>2662</v>
      </c>
      <c r="D3" s="2831"/>
      <c r="E3" s="2832"/>
      <c r="F3" s="2833"/>
      <c r="G3" s="2927"/>
      <c r="H3" s="2928"/>
      <c r="I3" s="2929"/>
      <c r="J3" s="3301" t="s">
        <v>2663</v>
      </c>
      <c r="K3" s="3302"/>
      <c r="L3" s="2933"/>
      <c r="M3" s="2933"/>
      <c r="N3" s="2933"/>
      <c r="O3" s="2933"/>
      <c r="P3" s="2933"/>
      <c r="Q3" s="2934"/>
      <c r="R3" s="2935">
        <f>SUM(L3:Q3)</f>
        <v>0</v>
      </c>
      <c r="S3" s="2926"/>
      <c r="T3" s="2926"/>
      <c r="U3" s="2926"/>
      <c r="V3" s="2929"/>
      <c r="W3" s="2928"/>
    </row>
    <row r="4" spans="1:23" s="2834" customFormat="1" ht="13.2" customHeight="1">
      <c r="A4" s="2838" t="s">
        <v>2664</v>
      </c>
      <c r="B4" s="2895"/>
      <c r="C4" s="2831"/>
      <c r="D4" s="2831"/>
      <c r="E4" s="2832"/>
      <c r="F4" s="2833"/>
      <c r="G4" s="2927"/>
      <c r="H4" s="2928"/>
      <c r="I4" s="2929"/>
      <c r="J4" s="3301" t="s">
        <v>2665</v>
      </c>
      <c r="K4" s="3302"/>
      <c r="L4" s="2936"/>
      <c r="M4" s="2936"/>
      <c r="N4" s="2936"/>
      <c r="O4" s="2936"/>
      <c r="P4" s="2936"/>
      <c r="Q4" s="2937"/>
      <c r="R4" s="2938">
        <f>SUM(L4:Q4)</f>
        <v>0</v>
      </c>
      <c r="S4" s="2926"/>
      <c r="T4" s="2926"/>
      <c r="U4" s="2926"/>
      <c r="V4" s="2929"/>
      <c r="W4" s="2928"/>
    </row>
    <row r="5" spans="1:23" s="2834" customFormat="1" ht="13.2"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2" customHeight="1" thickBot="1">
      <c r="A6" s="3307" t="s">
        <v>2669</v>
      </c>
      <c r="B6" s="3308"/>
      <c r="C6" s="3309"/>
      <c r="D6" s="2897"/>
      <c r="E6" s="2841"/>
      <c r="F6" s="2842"/>
      <c r="G6" s="2942"/>
      <c r="H6" s="2928"/>
      <c r="I6" s="2929"/>
      <c r="J6" s="3293">
        <v>1</v>
      </c>
      <c r="K6" s="3294"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2" customHeight="1">
      <c r="A7" s="2844" t="s">
        <v>2679</v>
      </c>
      <c r="B7" s="2845"/>
      <c r="C7" s="2846"/>
      <c r="D7" s="2847">
        <f>SUM(D9,D10,D11,D17,0)</f>
        <v>0</v>
      </c>
      <c r="E7" s="2848" t="e">
        <f>E9+E10+E11+E17</f>
        <v>#DIV/0!</v>
      </c>
      <c r="F7" s="2849"/>
      <c r="G7" s="2945"/>
      <c r="H7" s="2928"/>
      <c r="I7" s="2929"/>
      <c r="J7" s="3293"/>
      <c r="K7" s="3295"/>
      <c r="L7" s="2946" t="s">
        <v>2779</v>
      </c>
      <c r="M7" s="2947"/>
      <c r="N7" s="2947"/>
      <c r="O7" s="2948"/>
      <c r="P7" s="2948"/>
      <c r="Q7" s="2949">
        <v>365</v>
      </c>
      <c r="R7" s="2950">
        <f>ROUND(M7*N7*O7*P7*Q7/10000,0)</f>
        <v>0</v>
      </c>
      <c r="S7" s="2926"/>
      <c r="T7" s="2926" t="s">
        <v>2680</v>
      </c>
      <c r="U7" s="2926"/>
      <c r="V7" s="2929"/>
      <c r="W7" s="2928"/>
    </row>
    <row r="8" spans="1:23" s="2834" customFormat="1" ht="13.2" customHeight="1">
      <c r="A8" s="2850" t="s">
        <v>2681</v>
      </c>
      <c r="B8" s="3310" t="s">
        <v>2682</v>
      </c>
      <c r="C8" s="3311"/>
      <c r="D8" s="2851" t="s">
        <v>2683</v>
      </c>
      <c r="E8" s="2852" t="s">
        <v>2684</v>
      </c>
      <c r="F8" s="2835" t="s">
        <v>2685</v>
      </c>
      <c r="G8" s="2999" t="s">
        <v>2793</v>
      </c>
      <c r="H8" s="2928"/>
      <c r="I8" s="2929"/>
      <c r="J8" s="3293"/>
      <c r="K8" s="3295"/>
      <c r="L8" s="2946" t="s">
        <v>2780</v>
      </c>
      <c r="M8" s="2947"/>
      <c r="N8" s="2947"/>
      <c r="O8" s="2948"/>
      <c r="P8" s="2948"/>
      <c r="Q8" s="2949">
        <v>365</v>
      </c>
      <c r="R8" s="2950">
        <f t="shared" ref="R8:R13" si="0">ROUND(M8*N8*O8*P8*Q8/10000,0)</f>
        <v>0</v>
      </c>
      <c r="S8" s="2926"/>
      <c r="T8" s="2926" t="s">
        <v>2686</v>
      </c>
      <c r="U8" s="2926"/>
      <c r="V8" s="2929"/>
      <c r="W8" s="2928"/>
    </row>
    <row r="9" spans="1:23" s="2834" customFormat="1" ht="13.2" customHeight="1">
      <c r="A9" s="2850">
        <v>1</v>
      </c>
      <c r="B9" s="3310" t="s">
        <v>2687</v>
      </c>
      <c r="C9" s="3311"/>
      <c r="D9" s="2851">
        <f>ROUND(D6*E9,0)</f>
        <v>0</v>
      </c>
      <c r="E9" s="2898"/>
      <c r="F9" s="2853" t="s">
        <v>2688</v>
      </c>
      <c r="G9" s="2951" t="s">
        <v>2791</v>
      </c>
      <c r="H9" s="2928"/>
      <c r="I9" s="2929"/>
      <c r="J9" s="3293"/>
      <c r="K9" s="3295"/>
      <c r="L9" s="2946" t="s">
        <v>2781</v>
      </c>
      <c r="M9" s="2947"/>
      <c r="N9" s="2947"/>
      <c r="O9" s="2948"/>
      <c r="P9" s="2948"/>
      <c r="Q9" s="2949">
        <v>365</v>
      </c>
      <c r="R9" s="2950">
        <f t="shared" si="0"/>
        <v>0</v>
      </c>
      <c r="S9" s="2926"/>
      <c r="T9" s="2926"/>
      <c r="U9" s="2926"/>
      <c r="V9" s="2929"/>
      <c r="W9" s="2928"/>
    </row>
    <row r="10" spans="1:23" s="2834" customFormat="1" ht="13.2" customHeight="1">
      <c r="A10" s="2850">
        <v>2</v>
      </c>
      <c r="B10" s="3310" t="s">
        <v>2689</v>
      </c>
      <c r="C10" s="3311"/>
      <c r="D10" s="2851">
        <f>ROUND(D6*E10,0)</f>
        <v>0</v>
      </c>
      <c r="E10" s="2898"/>
      <c r="F10" s="2853" t="s">
        <v>2690</v>
      </c>
      <c r="G10" s="2951" t="s">
        <v>2792</v>
      </c>
      <c r="H10" s="2928"/>
      <c r="I10" s="2929"/>
      <c r="J10" s="3293"/>
      <c r="K10" s="3295"/>
      <c r="L10" s="2946" t="s">
        <v>2782</v>
      </c>
      <c r="M10" s="2947"/>
      <c r="N10" s="2947"/>
      <c r="O10" s="2948"/>
      <c r="P10" s="2948"/>
      <c r="Q10" s="2949">
        <v>365</v>
      </c>
      <c r="R10" s="2950">
        <f t="shared" si="0"/>
        <v>0</v>
      </c>
      <c r="S10" s="2926"/>
      <c r="T10" s="2926"/>
      <c r="U10" s="2926"/>
      <c r="V10" s="2929"/>
      <c r="W10" s="2928"/>
    </row>
    <row r="11" spans="1:23" s="2834" customFormat="1" ht="13.2" customHeight="1">
      <c r="A11" s="2850">
        <v>3</v>
      </c>
      <c r="B11" s="3310" t="s">
        <v>2691</v>
      </c>
      <c r="C11" s="3311"/>
      <c r="D11" s="2851">
        <f>D12+D14+D15+D16</f>
        <v>0</v>
      </c>
      <c r="E11" s="2854" t="e">
        <f>D11/D6</f>
        <v>#DIV/0!</v>
      </c>
      <c r="F11" s="2835"/>
      <c r="G11" s="2951"/>
      <c r="H11" s="2928"/>
      <c r="I11" s="2929"/>
      <c r="J11" s="3293"/>
      <c r="K11" s="3295"/>
      <c r="L11" s="2946" t="s">
        <v>2783</v>
      </c>
      <c r="M11" s="2947"/>
      <c r="N11" s="2947"/>
      <c r="O11" s="2948"/>
      <c r="P11" s="2948"/>
      <c r="Q11" s="2949">
        <v>365</v>
      </c>
      <c r="R11" s="2950">
        <f t="shared" si="0"/>
        <v>0</v>
      </c>
      <c r="S11" s="2926"/>
      <c r="T11" s="2926"/>
      <c r="U11" s="2926"/>
      <c r="V11" s="2929"/>
      <c r="W11" s="2928"/>
    </row>
    <row r="12" spans="1:23" s="2834" customFormat="1" ht="13.2" customHeight="1">
      <c r="A12" s="2855" t="s">
        <v>2692</v>
      </c>
      <c r="B12" s="3303" t="s">
        <v>2693</v>
      </c>
      <c r="C12" s="3304"/>
      <c r="D12" s="2856">
        <f>ROUND(D13*1.2%*(1-30%),0)</f>
        <v>0</v>
      </c>
      <c r="E12" s="2857">
        <v>1.2E-2</v>
      </c>
      <c r="F12" s="2835" t="s">
        <v>2694</v>
      </c>
      <c r="G12" s="2951"/>
      <c r="H12" s="2928"/>
      <c r="I12" s="2929"/>
      <c r="J12" s="3293"/>
      <c r="K12" s="3295"/>
      <c r="L12" s="2946" t="s">
        <v>2784</v>
      </c>
      <c r="M12" s="2947"/>
      <c r="N12" s="2947"/>
      <c r="O12" s="2948"/>
      <c r="P12" s="2948"/>
      <c r="Q12" s="2949">
        <v>365</v>
      </c>
      <c r="R12" s="2950">
        <f t="shared" si="0"/>
        <v>0</v>
      </c>
      <c r="S12" s="2926"/>
      <c r="T12" s="2926"/>
      <c r="U12" s="2926"/>
      <c r="V12" s="2929"/>
      <c r="W12" s="2928"/>
    </row>
    <row r="13" spans="1:23" s="2834" customFormat="1" ht="13.2" customHeight="1">
      <c r="A13" s="2855"/>
      <c r="B13" s="2858"/>
      <c r="C13" s="2859" t="s">
        <v>2695</v>
      </c>
      <c r="D13" s="2899"/>
      <c r="E13" s="2860"/>
      <c r="F13" s="2835"/>
      <c r="G13" s="2951"/>
      <c r="H13" s="2928"/>
      <c r="I13" s="2929"/>
      <c r="J13" s="3293"/>
      <c r="K13" s="3295"/>
      <c r="L13" s="2946" t="s">
        <v>2785</v>
      </c>
      <c r="M13" s="2947"/>
      <c r="N13" s="2947"/>
      <c r="O13" s="2948"/>
      <c r="P13" s="2948"/>
      <c r="Q13" s="2949">
        <v>365</v>
      </c>
      <c r="R13" s="2950">
        <f t="shared" si="0"/>
        <v>0</v>
      </c>
      <c r="S13" s="2926"/>
      <c r="T13" s="2926"/>
      <c r="U13" s="2926"/>
      <c r="V13" s="2929"/>
      <c r="W13" s="2928"/>
    </row>
    <row r="14" spans="1:23" s="2834" customFormat="1" ht="13.2" customHeight="1">
      <c r="A14" s="2855" t="s">
        <v>2696</v>
      </c>
      <c r="B14" s="3303" t="s">
        <v>2697</v>
      </c>
      <c r="C14" s="3304"/>
      <c r="D14" s="2856">
        <f>ROUND(E14*B5/10000,0)</f>
        <v>0</v>
      </c>
      <c r="E14" s="2900"/>
      <c r="F14" s="2835" t="s">
        <v>2698</v>
      </c>
      <c r="G14" s="2951"/>
      <c r="H14" s="2928"/>
      <c r="I14" s="2929"/>
      <c r="J14" s="3293"/>
      <c r="K14" s="3296"/>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2" customHeight="1">
      <c r="A15" s="2855" t="s">
        <v>2700</v>
      </c>
      <c r="B15" s="3303" t="s">
        <v>2701</v>
      </c>
      <c r="C15" s="3304"/>
      <c r="D15" s="2856">
        <f>ROUND(D6*E15,0)</f>
        <v>0</v>
      </c>
      <c r="E15" s="2857">
        <v>5.5E-2</v>
      </c>
      <c r="F15" s="2835" t="s">
        <v>2702</v>
      </c>
      <c r="G15" s="2951"/>
      <c r="H15" s="2928"/>
      <c r="I15" s="2929"/>
      <c r="J15" s="3293">
        <v>2</v>
      </c>
      <c r="K15" s="3294"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2" customHeight="1">
      <c r="A16" s="2855" t="s">
        <v>2711</v>
      </c>
      <c r="B16" s="3303" t="s">
        <v>2712</v>
      </c>
      <c r="C16" s="3304"/>
      <c r="D16" s="2901">
        <f>D6*E16</f>
        <v>0</v>
      </c>
      <c r="E16" s="2902"/>
      <c r="F16" s="2853" t="s">
        <v>2713</v>
      </c>
      <c r="G16" s="2951"/>
      <c r="H16" s="2928"/>
      <c r="I16" s="2929"/>
      <c r="J16" s="3293"/>
      <c r="K16" s="3295"/>
      <c r="L16" s="2946" t="s">
        <v>2786</v>
      </c>
      <c r="M16" s="2947"/>
      <c r="N16" s="2947"/>
      <c r="O16" s="2948"/>
      <c r="P16" s="2949">
        <v>365</v>
      </c>
      <c r="Q16" s="2947"/>
      <c r="R16" s="2960">
        <f>ROUND(M16*N16*O16*P16/10000,0)</f>
        <v>0</v>
      </c>
      <c r="S16" s="2926"/>
      <c r="T16" s="2926"/>
      <c r="U16" s="2926"/>
      <c r="V16" s="2929"/>
      <c r="W16" s="2928"/>
    </row>
    <row r="17" spans="1:23" s="2834" customFormat="1" ht="13.2" customHeight="1" thickBot="1">
      <c r="A17" s="2861">
        <v>4</v>
      </c>
      <c r="B17" s="3305" t="s">
        <v>2714</v>
      </c>
      <c r="C17" s="3306"/>
      <c r="D17" s="2862">
        <f>ROUND(D6*E17,0)</f>
        <v>0</v>
      </c>
      <c r="E17" s="2903"/>
      <c r="F17" s="2863" t="s">
        <v>2715</v>
      </c>
      <c r="G17" s="2998">
        <v>0.1</v>
      </c>
      <c r="H17" s="2928"/>
      <c r="I17" s="2929"/>
      <c r="J17" s="3293"/>
      <c r="K17" s="3295"/>
      <c r="L17" s="2946" t="s">
        <v>2787</v>
      </c>
      <c r="M17" s="2947"/>
      <c r="N17" s="2947"/>
      <c r="O17" s="2948"/>
      <c r="P17" s="2949">
        <v>365</v>
      </c>
      <c r="Q17" s="2947"/>
      <c r="R17" s="2960">
        <f>ROUND(M17*N17*O17*P17/10000,0)</f>
        <v>0</v>
      </c>
      <c r="S17" s="2926"/>
      <c r="T17" s="2926"/>
      <c r="U17" s="2926"/>
      <c r="V17" s="2929"/>
      <c r="W17" s="2928"/>
    </row>
    <row r="18" spans="1:23" s="2834" customFormat="1" ht="13.2" customHeight="1" thickBot="1">
      <c r="A18" s="2844" t="s">
        <v>2716</v>
      </c>
      <c r="B18" s="2845"/>
      <c r="C18" s="2845"/>
      <c r="D18" s="2864">
        <f>ROUND(D6*E18,0)</f>
        <v>0</v>
      </c>
      <c r="E18" s="2904"/>
      <c r="F18" s="2865" t="s">
        <v>2717</v>
      </c>
      <c r="G18" s="2998">
        <v>0.05</v>
      </c>
      <c r="H18" s="2928"/>
      <c r="I18" s="2929"/>
      <c r="J18" s="3293"/>
      <c r="K18" s="3295"/>
      <c r="L18" s="2946" t="s">
        <v>2788</v>
      </c>
      <c r="M18" s="2947"/>
      <c r="N18" s="2947"/>
      <c r="O18" s="2948"/>
      <c r="P18" s="2949">
        <v>365</v>
      </c>
      <c r="Q18" s="2947"/>
      <c r="R18" s="2960">
        <f>ROUND(M18*N18*O18*P18/10000,0)</f>
        <v>0</v>
      </c>
      <c r="S18" s="2926"/>
      <c r="T18" s="2926"/>
      <c r="U18" s="2926"/>
      <c r="V18" s="2929"/>
      <c r="W18" s="2928"/>
    </row>
    <row r="19" spans="1:23" s="2834" customFormat="1" ht="13.2" customHeight="1" thickBot="1">
      <c r="A19" s="2866" t="s">
        <v>2718</v>
      </c>
      <c r="B19" s="2841"/>
      <c r="C19" s="2841"/>
      <c r="D19" s="2841"/>
      <c r="E19" s="2841"/>
      <c r="F19" s="2842"/>
      <c r="G19" s="2951"/>
      <c r="H19" s="2928"/>
      <c r="I19" s="2929"/>
      <c r="J19" s="3293"/>
      <c r="K19" s="3296"/>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2" customHeight="1">
      <c r="A20" s="2844"/>
      <c r="B20" s="2845"/>
      <c r="C20" s="2845"/>
      <c r="D20" s="2845"/>
      <c r="E20" s="2845"/>
      <c r="F20" s="2867"/>
      <c r="G20" s="2951"/>
      <c r="H20" s="2928"/>
      <c r="I20" s="2929"/>
      <c r="J20" s="3293">
        <v>3</v>
      </c>
      <c r="K20" s="3294"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2" customHeight="1">
      <c r="A21" s="2844"/>
      <c r="B21" s="2845"/>
      <c r="C21" s="2868" t="s">
        <v>2724</v>
      </c>
      <c r="D21" s="2869" t="s">
        <v>2725</v>
      </c>
      <c r="E21" s="2870" t="s">
        <v>2726</v>
      </c>
      <c r="F21" s="2867"/>
      <c r="G21" s="2951"/>
      <c r="H21" s="2928"/>
      <c r="I21" s="2929"/>
      <c r="J21" s="3293"/>
      <c r="K21" s="3295"/>
      <c r="L21" s="2956" t="s">
        <v>2727</v>
      </c>
      <c r="M21" s="2957"/>
      <c r="N21" s="2957"/>
      <c r="O21" s="2958"/>
      <c r="P21" s="2900">
        <v>365</v>
      </c>
      <c r="Q21" s="2895"/>
      <c r="R21" s="2964">
        <f>ROUND(M21*N21*O21*P21/10000,0)</f>
        <v>0</v>
      </c>
      <c r="S21" s="2926"/>
      <c r="T21" s="2926"/>
      <c r="U21" s="2926"/>
      <c r="V21" s="2929"/>
      <c r="W21" s="2928"/>
    </row>
    <row r="22" spans="1:23" s="2834" customFormat="1" ht="13.2" customHeight="1">
      <c r="A22" s="2844"/>
      <c r="B22" s="2845"/>
      <c r="C22" s="2905" t="s">
        <v>2728</v>
      </c>
      <c r="D22" s="2906" t="s">
        <v>2729</v>
      </c>
      <c r="E22" s="2907" t="s">
        <v>2730</v>
      </c>
      <c r="F22" s="2867"/>
      <c r="G22" s="2926"/>
      <c r="H22" s="2928"/>
      <c r="I22" s="2929"/>
      <c r="J22" s="3293"/>
      <c r="K22" s="3295"/>
      <c r="L22" s="2956" t="s">
        <v>2731</v>
      </c>
      <c r="M22" s="2957"/>
      <c r="N22" s="2957"/>
      <c r="O22" s="2958"/>
      <c r="P22" s="2900">
        <v>365</v>
      </c>
      <c r="Q22" s="2895"/>
      <c r="R22" s="2964">
        <f>ROUND(M22*N22*O22*P22/10000,0)</f>
        <v>0</v>
      </c>
      <c r="S22" s="2926"/>
      <c r="T22" s="2926"/>
      <c r="U22" s="2926"/>
      <c r="V22" s="2929"/>
      <c r="W22" s="2928"/>
    </row>
    <row r="23" spans="1:23" s="2834" customFormat="1" ht="13.2" customHeight="1">
      <c r="A23" s="2871">
        <v>1</v>
      </c>
      <c r="B23" s="2843" t="s">
        <v>2732</v>
      </c>
      <c r="C23" s="2872">
        <f>D6</f>
        <v>0</v>
      </c>
      <c r="D23" s="2873">
        <f>C23*(1+D24)</f>
        <v>0</v>
      </c>
      <c r="E23" s="2874">
        <f>D23*(1+E24)</f>
        <v>0</v>
      </c>
      <c r="F23" s="2875"/>
      <c r="G23" s="2965"/>
      <c r="H23" s="2928"/>
      <c r="I23" s="2929"/>
      <c r="J23" s="3293"/>
      <c r="K23" s="3295"/>
      <c r="L23" s="2956" t="s">
        <v>2733</v>
      </c>
      <c r="M23" s="2957"/>
      <c r="N23" s="2957"/>
      <c r="O23" s="2958"/>
      <c r="P23" s="2900">
        <v>365</v>
      </c>
      <c r="Q23" s="2895"/>
      <c r="R23" s="2964">
        <f>ROUND(M23*N23*O23*P23/10000,0)</f>
        <v>0</v>
      </c>
      <c r="S23" s="2926"/>
      <c r="T23" s="2926"/>
      <c r="U23" s="2926"/>
      <c r="V23" s="2929"/>
      <c r="W23" s="2928"/>
    </row>
    <row r="24" spans="1:23" s="2834" customFormat="1" ht="13.2" customHeight="1">
      <c r="A24" s="2876"/>
      <c r="B24" s="2877" t="s">
        <v>2734</v>
      </c>
      <c r="C24" s="2878"/>
      <c r="D24" s="2908"/>
      <c r="E24" s="2909"/>
      <c r="F24" s="2879"/>
      <c r="G24" s="2965"/>
      <c r="H24" s="2928"/>
      <c r="I24" s="2929"/>
      <c r="J24" s="3293"/>
      <c r="K24" s="3296"/>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2"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2" customHeight="1">
      <c r="A26" s="2871">
        <v>2</v>
      </c>
      <c r="B26" s="2843" t="s">
        <v>2736</v>
      </c>
      <c r="C26" s="2872">
        <f>D7</f>
        <v>0</v>
      </c>
      <c r="D26" s="2873">
        <f>D23*D27</f>
        <v>0</v>
      </c>
      <c r="E26" s="2874">
        <f>E23*E27</f>
        <v>0</v>
      </c>
      <c r="F26" s="2875"/>
      <c r="G26" s="2965"/>
      <c r="H26" s="2928"/>
      <c r="I26" s="2929"/>
      <c r="J26" s="3297">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2" customHeight="1">
      <c r="A27" s="2876"/>
      <c r="B27" s="2877" t="s">
        <v>2742</v>
      </c>
      <c r="C27" s="2881" t="e">
        <f>E7</f>
        <v>#DIV/0!</v>
      </c>
      <c r="D27" s="2908"/>
      <c r="E27" s="2909"/>
      <c r="F27" s="2879"/>
      <c r="G27" s="2965"/>
      <c r="H27" s="2972"/>
      <c r="I27" s="2971"/>
      <c r="J27" s="3298"/>
      <c r="K27" s="2978"/>
      <c r="L27" s="2979"/>
      <c r="M27" s="2980"/>
      <c r="N27" s="2981"/>
      <c r="O27" s="2981"/>
      <c r="P27" s="2981"/>
      <c r="Q27" s="2982"/>
      <c r="R27" s="2962">
        <f>ROUND(O27*N27*P27*(1-Q27)/10000,0)</f>
        <v>0</v>
      </c>
      <c r="S27" s="2926"/>
      <c r="T27" s="2926"/>
      <c r="U27" s="2926"/>
      <c r="V27" s="2929"/>
      <c r="W27" s="2928"/>
    </row>
    <row r="28" spans="1:23" s="2880" customFormat="1" ht="13.2"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2"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2"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2"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2" customHeight="1">
      <c r="A32" s="2871">
        <v>4</v>
      </c>
      <c r="B32" s="2843" t="s">
        <v>2750</v>
      </c>
      <c r="C32" s="2872">
        <f>C23-C26-C29</f>
        <v>0</v>
      </c>
      <c r="D32" s="2873">
        <f>D23-D26-D29</f>
        <v>0</v>
      </c>
      <c r="E32" s="2874">
        <f>E23-E26-E29</f>
        <v>0</v>
      </c>
      <c r="F32" s="2875"/>
      <c r="G32" s="2926"/>
      <c r="H32" s="2928"/>
      <c r="I32" s="2929"/>
      <c r="J32" s="3299" t="s">
        <v>2751</v>
      </c>
      <c r="K32" s="3300"/>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2" customHeight="1">
      <c r="A33" s="2871"/>
      <c r="B33" s="2843"/>
      <c r="C33" s="2872"/>
      <c r="D33" s="2883"/>
      <c r="E33" s="2884"/>
      <c r="F33" s="2875"/>
      <c r="G33" s="2926"/>
      <c r="H33" s="2972"/>
      <c r="I33" s="2971"/>
      <c r="J33" s="3301" t="s">
        <v>2755</v>
      </c>
      <c r="K33" s="3302"/>
      <c r="L33" s="2933"/>
      <c r="M33" s="2933"/>
      <c r="N33" s="2933"/>
      <c r="O33" s="2933"/>
      <c r="P33" s="2933"/>
      <c r="Q33" s="2934"/>
      <c r="R33" s="2991">
        <f>SUM(L33:Q33)</f>
        <v>0</v>
      </c>
      <c r="S33" s="2926"/>
      <c r="T33" s="2926"/>
      <c r="U33" s="2926"/>
      <c r="V33" s="2929"/>
      <c r="W33" s="2928"/>
    </row>
    <row r="34" spans="1:23" s="2834" customFormat="1" ht="13.2" customHeight="1">
      <c r="A34" s="2871">
        <v>5</v>
      </c>
      <c r="B34" s="2843" t="s">
        <v>2756</v>
      </c>
      <c r="C34" s="2911"/>
      <c r="D34" s="2912"/>
      <c r="E34" s="2913"/>
      <c r="F34" s="2875"/>
      <c r="G34" s="2926"/>
      <c r="H34" s="2972"/>
      <c r="I34" s="2971"/>
      <c r="J34" s="3301" t="s">
        <v>2757</v>
      </c>
      <c r="K34" s="3302"/>
      <c r="L34" s="2936"/>
      <c r="M34" s="2936"/>
      <c r="N34" s="2936"/>
      <c r="O34" s="2936"/>
      <c r="P34" s="2936"/>
      <c r="Q34" s="2937"/>
      <c r="R34" s="2992">
        <f>SUM(L34:Q34)</f>
        <v>0</v>
      </c>
      <c r="S34" s="2926"/>
      <c r="T34" s="2926"/>
      <c r="U34" s="2926" t="e">
        <f>ROUND(R35*10000/365/R33,1)</f>
        <v>#DIV/0!</v>
      </c>
      <c r="V34" s="2929"/>
      <c r="W34" s="2928"/>
    </row>
    <row r="35" spans="1:23" s="2834" customFormat="1" ht="13.2"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2" customHeight="1" thickBot="1">
      <c r="A36" s="2871">
        <v>7</v>
      </c>
      <c r="B36" s="2885" t="s">
        <v>2761</v>
      </c>
      <c r="C36" s="2917"/>
      <c r="D36" s="2918"/>
      <c r="E36" s="2919"/>
      <c r="F36" s="2886">
        <f>C36+D36+E36</f>
        <v>0</v>
      </c>
      <c r="G36" s="2926"/>
      <c r="H36" s="2928"/>
      <c r="I36" s="2929"/>
      <c r="J36" s="3293">
        <v>1</v>
      </c>
      <c r="K36" s="3294" t="s">
        <v>2762</v>
      </c>
      <c r="L36" s="2943"/>
      <c r="M36" s="2944"/>
      <c r="N36" s="2944"/>
      <c r="O36" s="2944"/>
      <c r="P36" s="2944"/>
      <c r="Q36" s="2944"/>
      <c r="R36" s="2935" t="s">
        <v>2710</v>
      </c>
      <c r="S36" s="2926"/>
      <c r="T36" s="2926" t="s">
        <v>2763</v>
      </c>
      <c r="U36" s="2926"/>
      <c r="V36" s="2929"/>
      <c r="W36" s="2928"/>
    </row>
    <row r="37" spans="1:23" s="2834" customFormat="1" ht="13.2" customHeight="1">
      <c r="A37" s="2871"/>
      <c r="B37" s="2843"/>
      <c r="C37" s="2843"/>
      <c r="D37" s="2843"/>
      <c r="E37" s="2843"/>
      <c r="F37" s="2875"/>
      <c r="G37" s="2926"/>
      <c r="H37" s="2928"/>
      <c r="I37" s="2929"/>
      <c r="J37" s="3293"/>
      <c r="K37" s="3295"/>
      <c r="L37" s="2956"/>
      <c r="M37" s="2957"/>
      <c r="N37" s="2895"/>
      <c r="O37" s="2958"/>
      <c r="P37" s="2958"/>
      <c r="Q37" s="2900"/>
      <c r="R37" s="2995"/>
      <c r="S37" s="2926"/>
      <c r="T37" s="2926" t="s">
        <v>2764</v>
      </c>
      <c r="U37" s="2926"/>
      <c r="V37" s="2929"/>
      <c r="W37" s="2928"/>
    </row>
    <row r="38" spans="1:23" s="2834" customFormat="1" ht="13.2" customHeight="1">
      <c r="A38" s="2871">
        <v>8</v>
      </c>
      <c r="B38" s="2843"/>
      <c r="C38" s="2851" t="e">
        <f>ROUND(C32*(1-((1+C35)/(1+C34))^C36)/(C34-C35),0)</f>
        <v>#DIV/0!</v>
      </c>
      <c r="D38" s="2851">
        <f>IF(D23=0,0,ROUND(D32*(1-((1+D35)/(1+D34))^D36)/(D34-D35),0))</f>
        <v>0</v>
      </c>
      <c r="E38" s="2851">
        <f>IF(E23=0,0,ROUND(E32*(1-((1+E35)/(1+E34))^E36)/(E34-E35),0))</f>
        <v>0</v>
      </c>
      <c r="F38" s="2875"/>
      <c r="G38" s="2926"/>
      <c r="H38" s="2928"/>
      <c r="I38" s="2929"/>
      <c r="J38" s="3293"/>
      <c r="K38" s="3295"/>
      <c r="L38" s="2956"/>
      <c r="M38" s="2957"/>
      <c r="N38" s="2895"/>
      <c r="O38" s="2958"/>
      <c r="P38" s="2958"/>
      <c r="Q38" s="2900"/>
      <c r="R38" s="2995"/>
      <c r="S38" s="2926"/>
      <c r="T38" s="2926" t="s">
        <v>2686</v>
      </c>
      <c r="U38" s="2926"/>
      <c r="V38" s="2929"/>
      <c r="W38" s="2928"/>
    </row>
    <row r="39" spans="1:23" s="2834" customFormat="1" ht="13.2" customHeight="1">
      <c r="A39" s="2871">
        <v>9</v>
      </c>
      <c r="B39" s="2843" t="s">
        <v>2765</v>
      </c>
      <c r="C39" s="2856" t="e">
        <f>C38</f>
        <v>#DIV/0!</v>
      </c>
      <c r="D39" s="2843">
        <f>D38/(1+D34)^C36</f>
        <v>0</v>
      </c>
      <c r="E39" s="2843">
        <f>E38/(1+E34)^(C36+D36)</f>
        <v>0</v>
      </c>
      <c r="F39" s="2875"/>
      <c r="G39" s="2929"/>
      <c r="H39" s="2928"/>
      <c r="I39" s="2929"/>
      <c r="J39" s="3293"/>
      <c r="K39" s="3295"/>
      <c r="L39" s="2956"/>
      <c r="M39" s="2957"/>
      <c r="N39" s="2895"/>
      <c r="O39" s="2958"/>
      <c r="P39" s="2958"/>
      <c r="Q39" s="2900"/>
      <c r="R39" s="2995"/>
      <c r="S39" s="2926"/>
      <c r="T39" s="2926"/>
      <c r="U39" s="2926"/>
      <c r="V39" s="2929"/>
      <c r="W39" s="2928"/>
    </row>
    <row r="40" spans="1:23" s="2834" customFormat="1" ht="13.2" customHeight="1">
      <c r="A40" s="2887">
        <v>10</v>
      </c>
      <c r="B40" s="2843" t="s">
        <v>2766</v>
      </c>
      <c r="C40" s="2888" t="e">
        <f>C39+D39+E39</f>
        <v>#DIV/0!</v>
      </c>
      <c r="D40" s="2889"/>
      <c r="E40" s="2889"/>
      <c r="F40" s="2890"/>
      <c r="G40" s="2926"/>
      <c r="H40" s="2928"/>
      <c r="I40" s="2929"/>
      <c r="J40" s="3293"/>
      <c r="K40" s="3296"/>
      <c r="L40" s="2952" t="s">
        <v>2767</v>
      </c>
      <c r="M40" s="2953"/>
      <c r="N40" s="2953"/>
      <c r="O40" s="2954"/>
      <c r="P40" s="2954"/>
      <c r="Q40" s="2955"/>
      <c r="R40" s="2932">
        <f>SUM(R37:R39)</f>
        <v>0</v>
      </c>
      <c r="S40" s="2926"/>
      <c r="T40" s="2926"/>
      <c r="U40" s="2926"/>
      <c r="V40" s="2929"/>
      <c r="W40" s="2928"/>
    </row>
    <row r="41" spans="1:23" s="2834" customFormat="1" ht="13.2"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2" customHeight="1">
      <c r="G42" s="2928"/>
      <c r="H42" s="2928"/>
      <c r="I42" s="2929"/>
      <c r="J42" s="3297">
        <v>3</v>
      </c>
      <c r="K42" s="2973" t="s">
        <v>2770</v>
      </c>
      <c r="L42" s="2974"/>
      <c r="M42" s="2975"/>
      <c r="N42" s="2976" t="s">
        <v>2771</v>
      </c>
      <c r="O42" s="2976" t="s">
        <v>2772</v>
      </c>
      <c r="P42" s="2977" t="s">
        <v>2773</v>
      </c>
      <c r="Q42" s="2977" t="s">
        <v>2774</v>
      </c>
      <c r="R42" s="2935" t="s">
        <v>2677</v>
      </c>
      <c r="S42" s="2951"/>
      <c r="T42" s="2951"/>
      <c r="U42" s="2926"/>
      <c r="V42" s="2929"/>
      <c r="W42" s="2928"/>
    </row>
    <row r="43" spans="1:23" ht="13.2" customHeight="1">
      <c r="A43" s="2834"/>
      <c r="B43" s="2834"/>
      <c r="C43" s="2834"/>
      <c r="D43" s="2834"/>
      <c r="E43" s="2834"/>
      <c r="F43" s="2834"/>
      <c r="I43" s="2921"/>
      <c r="J43" s="3298"/>
      <c r="K43" s="2978"/>
      <c r="L43" s="2979"/>
      <c r="M43" s="2980"/>
      <c r="N43" s="2957"/>
      <c r="O43" s="2957"/>
      <c r="P43" s="2957"/>
      <c r="Q43" s="2970"/>
      <c r="R43" s="2962">
        <f>ROUND(O43*N43*P43*(1-Q43)/10000,0)</f>
        <v>0</v>
      </c>
      <c r="S43" s="2926"/>
      <c r="T43" s="2926"/>
      <c r="V43" s="2996"/>
      <c r="W43" s="2922"/>
    </row>
    <row r="44" spans="1:23" ht="13.2"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5" t="s">
        <v>1973</v>
      </c>
      <c r="D4" s="3316"/>
      <c r="E4" s="3316"/>
      <c r="F4" s="3316"/>
      <c r="G4" s="3316"/>
      <c r="H4" s="3316"/>
      <c r="I4" s="3316"/>
      <c r="J4" s="3316"/>
      <c r="K4" s="3316"/>
      <c r="L4" s="3316"/>
      <c r="M4" s="3316"/>
      <c r="N4" s="3316"/>
      <c r="O4" s="3316"/>
      <c r="P4" s="3316"/>
      <c r="Q4" s="3316"/>
      <c r="R4" s="3316"/>
      <c r="S4" s="3317"/>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12" t="s">
        <v>45</v>
      </c>
      <c r="D25" s="3313"/>
      <c r="E25" s="3313"/>
      <c r="F25" s="3313"/>
      <c r="G25" s="3313"/>
      <c r="H25" s="3313"/>
      <c r="I25" s="3313"/>
      <c r="J25" s="3313"/>
      <c r="K25" s="3313"/>
      <c r="L25" s="3313"/>
      <c r="M25" s="3313"/>
      <c r="N25" s="3313"/>
      <c r="O25" s="3313"/>
      <c r="P25" s="3313"/>
      <c r="Q25" s="331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万元</v>
      </c>
      <c r="D2" s="1489"/>
      <c r="E2" s="1490" t="e">
        <f ca="1">SUMIF(INDIRECT("'"&amp;G2&amp;"'"&amp;"!A:A"),"承租人权益价值",INDIRECT("'"&amp;G2&amp;"'"&amp;"!c:c"))</f>
        <v>#REF!</v>
      </c>
      <c r="F2" s="1491" t="str">
        <f>C2</f>
        <v>万元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2562.92</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4.4">
      <c r="A4" s="1499" t="s">
        <v>2006</v>
      </c>
      <c r="B4" s="1500"/>
      <c r="C4" s="3321" t="s">
        <v>2007</v>
      </c>
      <c r="D4" s="3322"/>
      <c r="E4" s="3323" t="s">
        <v>2008</v>
      </c>
      <c r="F4" s="3324"/>
      <c r="G4" s="3321" t="s">
        <v>2009</v>
      </c>
      <c r="H4" s="3322"/>
      <c r="I4" s="3321" t="s">
        <v>2010</v>
      </c>
      <c r="J4" s="3322"/>
      <c r="K4" s="150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506"/>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506"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515"/>
      <c r="L7" s="2694"/>
      <c r="P7" s="3353" t="s">
        <v>2020</v>
      </c>
      <c r="Q7" s="3355"/>
      <c r="R7" s="1516" t="s">
        <v>34</v>
      </c>
      <c r="S7" s="1517">
        <f t="shared" ref="S7:S15" si="0">F7</f>
        <v>0</v>
      </c>
      <c r="T7" s="1516" t="s">
        <v>34</v>
      </c>
      <c r="U7" s="1517">
        <f t="shared" ref="U7:U15" si="1">H7</f>
        <v>0</v>
      </c>
      <c r="V7" s="1516" t="s">
        <v>34</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53" t="s">
        <v>2023</v>
      </c>
      <c r="Q8" s="3354"/>
      <c r="R8" s="1516" t="s">
        <v>34</v>
      </c>
      <c r="S8" s="1517">
        <f t="shared" si="0"/>
        <v>0</v>
      </c>
      <c r="T8" s="1516" t="s">
        <v>34</v>
      </c>
      <c r="U8" s="1517">
        <f t="shared" si="1"/>
        <v>0</v>
      </c>
      <c r="V8" s="1516" t="s">
        <v>34</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56"/>
      <c r="Q11" s="1472" t="str">
        <f t="shared" si="6"/>
        <v>容积率</v>
      </c>
      <c r="R11" s="1516" t="s">
        <v>28</v>
      </c>
      <c r="S11" s="1517" t="e">
        <f t="shared" si="0"/>
        <v>#N/A</v>
      </c>
      <c r="T11" s="1516" t="s">
        <v>28</v>
      </c>
      <c r="U11" s="1517" t="e">
        <f t="shared" si="1"/>
        <v>#N/A</v>
      </c>
      <c r="V11" s="1516" t="s">
        <v>28</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56"/>
      <c r="Q12" s="1472">
        <f t="shared" si="6"/>
        <v>111</v>
      </c>
      <c r="R12" s="1516" t="s">
        <v>28</v>
      </c>
      <c r="S12" s="1517">
        <f t="shared" si="0"/>
        <v>100</v>
      </c>
      <c r="T12" s="1516" t="s">
        <v>28</v>
      </c>
      <c r="U12" s="1517">
        <f t="shared" si="1"/>
        <v>100</v>
      </c>
      <c r="V12" s="1516" t="s">
        <v>28</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56"/>
      <c r="Q13" s="1472">
        <f t="shared" si="6"/>
        <v>111</v>
      </c>
      <c r="R13" s="1516" t="s">
        <v>28</v>
      </c>
      <c r="S13" s="1517">
        <f t="shared" si="0"/>
        <v>100</v>
      </c>
      <c r="T13" s="1516" t="s">
        <v>28</v>
      </c>
      <c r="U13" s="1517">
        <f t="shared" si="1"/>
        <v>100</v>
      </c>
      <c r="V13" s="1516" t="s">
        <v>28</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56"/>
      <c r="Q14" s="1472">
        <f t="shared" si="6"/>
        <v>111</v>
      </c>
      <c r="R14" s="1516" t="s">
        <v>28</v>
      </c>
      <c r="S14" s="1517">
        <f t="shared" si="0"/>
        <v>100</v>
      </c>
      <c r="T14" s="1516" t="s">
        <v>28</v>
      </c>
      <c r="U14" s="1517">
        <f t="shared" si="1"/>
        <v>100</v>
      </c>
      <c r="V14" s="1516" t="s">
        <v>28</v>
      </c>
      <c r="W14" s="1517">
        <f t="shared" si="2"/>
        <v>100</v>
      </c>
      <c r="X14" s="1518"/>
      <c r="Y14" s="3221"/>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58" t="s">
        <v>2031</v>
      </c>
      <c r="Q15" s="1454" t="str">
        <f t="shared" si="6"/>
        <v>居住社区成熟度</v>
      </c>
      <c r="R15" s="1558" t="s">
        <v>28</v>
      </c>
      <c r="S15" s="1559">
        <f t="shared" si="0"/>
        <v>100</v>
      </c>
      <c r="T15" s="1558" t="s">
        <v>28</v>
      </c>
      <c r="U15" s="1559">
        <f t="shared" si="1"/>
        <v>100</v>
      </c>
      <c r="V15" s="1558" t="s">
        <v>28</v>
      </c>
      <c r="W15" s="1559">
        <f t="shared" si="2"/>
        <v>100</v>
      </c>
      <c r="X15" s="1502"/>
      <c r="Y15" s="3346"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59"/>
      <c r="Q16" s="1454"/>
      <c r="R16" s="1558"/>
      <c r="S16" s="1559"/>
      <c r="T16" s="1558"/>
      <c r="U16" s="1559"/>
      <c r="V16" s="1558"/>
      <c r="W16" s="1559"/>
      <c r="X16" s="1502"/>
      <c r="Y16" s="3347"/>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59"/>
      <c r="Q17" s="1454" t="str">
        <f>B17</f>
        <v>交通便捷度</v>
      </c>
      <c r="R17" s="1558" t="s">
        <v>28</v>
      </c>
      <c r="S17" s="1559">
        <f>F17</f>
        <v>100</v>
      </c>
      <c r="T17" s="1558" t="s">
        <v>28</v>
      </c>
      <c r="U17" s="1559">
        <f>H17</f>
        <v>100</v>
      </c>
      <c r="V17" s="1558" t="s">
        <v>28</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59"/>
      <c r="Q18" s="1454"/>
      <c r="R18" s="1558"/>
      <c r="S18" s="1559"/>
      <c r="T18" s="1558"/>
      <c r="U18" s="1559"/>
      <c r="V18" s="1558"/>
      <c r="W18" s="1559"/>
      <c r="X18" s="1502"/>
      <c r="Y18" s="3347"/>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59"/>
      <c r="Q19" s="1454" t="str">
        <f>B19</f>
        <v>公共配套设施</v>
      </c>
      <c r="R19" s="1558" t="s">
        <v>28</v>
      </c>
      <c r="S19" s="1559">
        <f>F19</f>
        <v>100</v>
      </c>
      <c r="T19" s="1558" t="s">
        <v>28</v>
      </c>
      <c r="U19" s="1559">
        <f>H19</f>
        <v>100</v>
      </c>
      <c r="V19" s="1558" t="s">
        <v>28</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59"/>
      <c r="Q20" s="1454"/>
      <c r="R20" s="1558"/>
      <c r="S20" s="1559"/>
      <c r="T20" s="1558"/>
      <c r="U20" s="1559"/>
      <c r="V20" s="1558"/>
      <c r="W20" s="1559"/>
      <c r="X20" s="1502"/>
      <c r="Y20" s="3347"/>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59"/>
      <c r="Q21" s="1454" t="str">
        <f>B21</f>
        <v>基础设施水平</v>
      </c>
      <c r="R21" s="1558" t="s">
        <v>28</v>
      </c>
      <c r="S21" s="1559">
        <f>F21</f>
        <v>100</v>
      </c>
      <c r="T21" s="1558" t="s">
        <v>28</v>
      </c>
      <c r="U21" s="1559">
        <f>H21</f>
        <v>100</v>
      </c>
      <c r="V21" s="1558" t="s">
        <v>28</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59"/>
      <c r="Q23" s="1454" t="str">
        <f>B23</f>
        <v>自然及人文环境</v>
      </c>
      <c r="R23" s="1558" t="s">
        <v>28</v>
      </c>
      <c r="S23" s="1559">
        <f>F23</f>
        <v>100</v>
      </c>
      <c r="T23" s="1558" t="s">
        <v>28</v>
      </c>
      <c r="U23" s="1559">
        <f>H23</f>
        <v>100</v>
      </c>
      <c r="V23" s="1558" t="s">
        <v>28</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59"/>
      <c r="Q24" s="1454"/>
      <c r="R24" s="1558"/>
      <c r="S24" s="1559"/>
      <c r="T24" s="1558"/>
      <c r="U24" s="1559"/>
      <c r="V24" s="1558"/>
      <c r="W24" s="1559"/>
      <c r="X24" s="1502"/>
      <c r="Y24" s="3347"/>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59"/>
      <c r="Q25" s="1454" t="str">
        <f t="shared" ref="Q25:Q46" si="11">B25</f>
        <v>楼层-1</v>
      </c>
      <c r="R25" s="1558" t="s">
        <v>28</v>
      </c>
      <c r="S25" s="1559">
        <f>F25</f>
        <v>100</v>
      </c>
      <c r="T25" s="1558" t="s">
        <v>28</v>
      </c>
      <c r="U25" s="1559">
        <f>H25</f>
        <v>100</v>
      </c>
      <c r="V25" s="1558" t="s">
        <v>28</v>
      </c>
      <c r="W25" s="1559">
        <f>J25</f>
        <v>100</v>
      </c>
      <c r="X25" s="1502"/>
      <c r="Y25" s="3347"/>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59"/>
      <c r="Q26" s="1454" t="str">
        <f t="shared" si="11"/>
        <v>朝向</v>
      </c>
      <c r="R26" s="1558" t="s">
        <v>28</v>
      </c>
      <c r="S26" s="1559">
        <f>F26</f>
        <v>100</v>
      </c>
      <c r="T26" s="1558" t="s">
        <v>28</v>
      </c>
      <c r="U26" s="1559">
        <f>H26</f>
        <v>100</v>
      </c>
      <c r="V26" s="1558" t="s">
        <v>28</v>
      </c>
      <c r="W26" s="1559">
        <f>J26</f>
        <v>100</v>
      </c>
      <c r="X26" s="1502"/>
      <c r="Y26" s="3347"/>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59"/>
      <c r="Q27" s="1472" t="str">
        <f t="shared" si="11"/>
        <v>道路级别</v>
      </c>
      <c r="R27" s="1516" t="s">
        <v>28</v>
      </c>
      <c r="S27" s="1517">
        <f>F27</f>
        <v>100</v>
      </c>
      <c r="T27" s="1516" t="s">
        <v>28</v>
      </c>
      <c r="U27" s="1517">
        <f>H27</f>
        <v>100</v>
      </c>
      <c r="V27" s="1516" t="s">
        <v>28</v>
      </c>
      <c r="W27" s="1517">
        <f>J27</f>
        <v>100</v>
      </c>
      <c r="X27" s="1518"/>
      <c r="Y27" s="3347"/>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59"/>
      <c r="Q28" s="1454">
        <f t="shared" si="11"/>
        <v>111</v>
      </c>
      <c r="R28" s="1558" t="s">
        <v>28</v>
      </c>
      <c r="S28" s="1559">
        <f t="shared" ref="S28:S46" si="12">F28</f>
        <v>100</v>
      </c>
      <c r="T28" s="1558" t="s">
        <v>28</v>
      </c>
      <c r="U28" s="1559">
        <f t="shared" ref="U28:U46" si="13">H28</f>
        <v>100</v>
      </c>
      <c r="V28" s="1558" t="s">
        <v>28</v>
      </c>
      <c r="W28" s="1559">
        <f t="shared" ref="W28:W46" si="14">J28</f>
        <v>100</v>
      </c>
      <c r="X28" s="1502"/>
      <c r="Y28" s="3347"/>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59"/>
      <c r="Q29" s="1454">
        <f t="shared" si="11"/>
        <v>111</v>
      </c>
      <c r="R29" s="1558" t="s">
        <v>28</v>
      </c>
      <c r="S29" s="1559">
        <f t="shared" si="12"/>
        <v>100</v>
      </c>
      <c r="T29" s="1558" t="s">
        <v>28</v>
      </c>
      <c r="U29" s="1559">
        <f t="shared" si="13"/>
        <v>100</v>
      </c>
      <c r="V29" s="1558" t="s">
        <v>28</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59"/>
      <c r="Q30" s="1454">
        <f t="shared" si="11"/>
        <v>111</v>
      </c>
      <c r="R30" s="1558" t="s">
        <v>28</v>
      </c>
      <c r="S30" s="1559">
        <f t="shared" si="12"/>
        <v>100</v>
      </c>
      <c r="T30" s="1558" t="s">
        <v>28</v>
      </c>
      <c r="U30" s="1559">
        <f t="shared" si="13"/>
        <v>100</v>
      </c>
      <c r="V30" s="1558" t="s">
        <v>28</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59"/>
      <c r="Q31" s="1454">
        <f t="shared" si="11"/>
        <v>111</v>
      </c>
      <c r="R31" s="1558" t="s">
        <v>28</v>
      </c>
      <c r="S31" s="1559">
        <f t="shared" si="12"/>
        <v>100</v>
      </c>
      <c r="T31" s="1558" t="s">
        <v>28</v>
      </c>
      <c r="U31" s="1559">
        <f t="shared" si="13"/>
        <v>100</v>
      </c>
      <c r="V31" s="1558" t="s">
        <v>28</v>
      </c>
      <c r="W31" s="1559">
        <f t="shared" si="14"/>
        <v>100</v>
      </c>
      <c r="X31" s="1502"/>
      <c r="Y31" s="3347"/>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48" t="s">
        <v>2037</v>
      </c>
      <c r="Q32" s="1454" t="str">
        <f t="shared" si="11"/>
        <v>建筑类型</v>
      </c>
      <c r="R32" s="1558" t="s">
        <v>28</v>
      </c>
      <c r="S32" s="1559">
        <f t="shared" si="12"/>
        <v>100</v>
      </c>
      <c r="T32" s="1558" t="s">
        <v>28</v>
      </c>
      <c r="U32" s="1559">
        <f t="shared" si="13"/>
        <v>100</v>
      </c>
      <c r="V32" s="1558" t="s">
        <v>28</v>
      </c>
      <c r="W32" s="1559">
        <f t="shared" si="14"/>
        <v>100</v>
      </c>
      <c r="X32" s="1502"/>
      <c r="Y32" s="3351"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49"/>
      <c r="Q33" s="478" t="str">
        <f t="shared" si="11"/>
        <v>项目建筑规模</v>
      </c>
      <c r="R33" s="1597" t="s">
        <v>28</v>
      </c>
      <c r="S33" s="1598" t="e">
        <f t="shared" si="12"/>
        <v>#N/A</v>
      </c>
      <c r="T33" s="1597" t="s">
        <v>28</v>
      </c>
      <c r="U33" s="1598" t="e">
        <f t="shared" si="13"/>
        <v>#N/A</v>
      </c>
      <c r="V33" s="1597" t="s">
        <v>28</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49"/>
      <c r="Q34" s="1454" t="str">
        <f t="shared" si="11"/>
        <v>建筑结构</v>
      </c>
      <c r="R34" s="1558" t="s">
        <v>28</v>
      </c>
      <c r="S34" s="1559">
        <f t="shared" si="12"/>
        <v>100</v>
      </c>
      <c r="T34" s="1558" t="s">
        <v>28</v>
      </c>
      <c r="U34" s="1559">
        <f t="shared" si="13"/>
        <v>100</v>
      </c>
      <c r="V34" s="1558" t="s">
        <v>28</v>
      </c>
      <c r="W34" s="1559">
        <f t="shared" si="14"/>
        <v>100</v>
      </c>
      <c r="X34" s="1502"/>
      <c r="Y34" s="3351"/>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49"/>
      <c r="Q35" s="1454" t="str">
        <f t="shared" si="11"/>
        <v>建筑品质</v>
      </c>
      <c r="R35" s="1558" t="s">
        <v>28</v>
      </c>
      <c r="S35" s="1559">
        <f t="shared" si="12"/>
        <v>100</v>
      </c>
      <c r="T35" s="1558" t="s">
        <v>28</v>
      </c>
      <c r="U35" s="1559">
        <f t="shared" si="13"/>
        <v>100</v>
      </c>
      <c r="V35" s="1558" t="s">
        <v>28</v>
      </c>
      <c r="W35" s="1559">
        <f t="shared" si="14"/>
        <v>100</v>
      </c>
      <c r="X35" s="1502"/>
      <c r="Y35" s="3351"/>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49"/>
      <c r="Q36" s="1454" t="str">
        <f t="shared" si="11"/>
        <v>公共部分装修</v>
      </c>
      <c r="R36" s="1558" t="s">
        <v>28</v>
      </c>
      <c r="S36" s="1559">
        <f t="shared" si="12"/>
        <v>100</v>
      </c>
      <c r="T36" s="1558" t="s">
        <v>28</v>
      </c>
      <c r="U36" s="1559">
        <f t="shared" si="13"/>
        <v>100</v>
      </c>
      <c r="V36" s="1558" t="s">
        <v>28</v>
      </c>
      <c r="W36" s="1559">
        <f t="shared" si="14"/>
        <v>100</v>
      </c>
      <c r="X36" s="1502"/>
      <c r="Y36" s="3351"/>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49"/>
      <c r="Q37" s="1472" t="str">
        <f t="shared" si="11"/>
        <v>成新度</v>
      </c>
      <c r="R37" s="1516" t="s">
        <v>28</v>
      </c>
      <c r="S37" s="1517" t="e">
        <f t="shared" si="12"/>
        <v>#N/A</v>
      </c>
      <c r="T37" s="1516" t="s">
        <v>28</v>
      </c>
      <c r="U37" s="1517" t="e">
        <f t="shared" si="13"/>
        <v>#N/A</v>
      </c>
      <c r="V37" s="1516" t="s">
        <v>28</v>
      </c>
      <c r="W37" s="1517" t="e">
        <f t="shared" si="14"/>
        <v>#N/A</v>
      </c>
      <c r="X37" s="1518"/>
      <c r="Y37" s="3351"/>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49" t="s">
        <v>2037</v>
      </c>
      <c r="Q38" s="1454" t="str">
        <f t="shared" si="11"/>
        <v>物业管理</v>
      </c>
      <c r="R38" s="1558" t="s">
        <v>28</v>
      </c>
      <c r="S38" s="1559">
        <f t="shared" si="12"/>
        <v>100</v>
      </c>
      <c r="T38" s="1558" t="s">
        <v>28</v>
      </c>
      <c r="U38" s="1559">
        <f t="shared" si="13"/>
        <v>100</v>
      </c>
      <c r="V38" s="1558" t="s">
        <v>28</v>
      </c>
      <c r="W38" s="1559">
        <f t="shared" si="14"/>
        <v>100</v>
      </c>
      <c r="X38" s="1502"/>
      <c r="Y38" s="3351"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49"/>
      <c r="Q39" s="1454" t="str">
        <f t="shared" si="11"/>
        <v>市政基础设施</v>
      </c>
      <c r="R39" s="1558" t="s">
        <v>28</v>
      </c>
      <c r="S39" s="1559">
        <f t="shared" si="12"/>
        <v>100</v>
      </c>
      <c r="T39" s="1558" t="s">
        <v>28</v>
      </c>
      <c r="U39" s="1559">
        <f t="shared" si="13"/>
        <v>100</v>
      </c>
      <c r="V39" s="1558" t="s">
        <v>28</v>
      </c>
      <c r="W39" s="1559">
        <f t="shared" si="14"/>
        <v>100</v>
      </c>
      <c r="X39" s="1502"/>
      <c r="Y39" s="3351"/>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49"/>
      <c r="Q40" s="1454" t="str">
        <f t="shared" si="11"/>
        <v>房型</v>
      </c>
      <c r="R40" s="1558" t="s">
        <v>28</v>
      </c>
      <c r="S40" s="1559">
        <f t="shared" si="12"/>
        <v>100</v>
      </c>
      <c r="T40" s="1558" t="s">
        <v>28</v>
      </c>
      <c r="U40" s="1559">
        <f t="shared" si="13"/>
        <v>100</v>
      </c>
      <c r="V40" s="1558" t="s">
        <v>28</v>
      </c>
      <c r="W40" s="1559">
        <f t="shared" si="14"/>
        <v>100</v>
      </c>
      <c r="X40" s="1502"/>
      <c r="Y40" s="3351"/>
      <c r="Z40" s="1560" t="str">
        <f t="shared" si="15"/>
        <v>房型</v>
      </c>
      <c r="AA40" s="1560">
        <f t="shared" si="3"/>
        <v>1</v>
      </c>
      <c r="AB40" s="1560">
        <f t="shared" si="4"/>
        <v>1</v>
      </c>
      <c r="AC40" s="1560">
        <f t="shared" si="5"/>
        <v>1</v>
      </c>
    </row>
    <row r="41" spans="1:29" s="1601" customFormat="1" ht="28.8">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49"/>
      <c r="Q41" s="478" t="str">
        <f t="shared" si="11"/>
        <v>单套/主力户型建筑面积</v>
      </c>
      <c r="R41" s="1597" t="s">
        <v>28</v>
      </c>
      <c r="S41" s="1598">
        <f t="shared" si="12"/>
        <v>100</v>
      </c>
      <c r="T41" s="1597" t="s">
        <v>28</v>
      </c>
      <c r="U41" s="1598">
        <f t="shared" si="13"/>
        <v>100</v>
      </c>
      <c r="V41" s="1597" t="s">
        <v>28</v>
      </c>
      <c r="W41" s="1598">
        <f t="shared" si="14"/>
        <v>100</v>
      </c>
      <c r="X41" s="1599"/>
      <c r="Y41" s="3351"/>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49"/>
      <c r="Q42" s="1454" t="str">
        <f t="shared" si="11"/>
        <v>内部装修</v>
      </c>
      <c r="R42" s="1558" t="s">
        <v>28</v>
      </c>
      <c r="S42" s="1559">
        <f t="shared" si="12"/>
        <v>100</v>
      </c>
      <c r="T42" s="1558" t="s">
        <v>28</v>
      </c>
      <c r="U42" s="1559">
        <f t="shared" si="13"/>
        <v>100</v>
      </c>
      <c r="V42" s="1558" t="s">
        <v>28</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49"/>
      <c r="Q43" s="1454" t="str">
        <f t="shared" si="11"/>
        <v>内部装修维护情况</v>
      </c>
      <c r="R43" s="1558" t="s">
        <v>28</v>
      </c>
      <c r="S43" s="1559">
        <f t="shared" si="12"/>
        <v>100</v>
      </c>
      <c r="T43" s="1558" t="s">
        <v>28</v>
      </c>
      <c r="U43" s="1559">
        <f t="shared" si="13"/>
        <v>100</v>
      </c>
      <c r="V43" s="1558" t="s">
        <v>28</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49"/>
      <c r="Q44" s="1472">
        <f t="shared" si="11"/>
        <v>111</v>
      </c>
      <c r="R44" s="1516" t="s">
        <v>28</v>
      </c>
      <c r="S44" s="1517">
        <f t="shared" si="12"/>
        <v>100</v>
      </c>
      <c r="T44" s="1516" t="s">
        <v>28</v>
      </c>
      <c r="U44" s="1517">
        <f t="shared" si="13"/>
        <v>100</v>
      </c>
      <c r="V44" s="1516" t="s">
        <v>28</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49"/>
      <c r="Q45" s="1454">
        <f t="shared" si="11"/>
        <v>111</v>
      </c>
      <c r="R45" s="1558" t="s">
        <v>28</v>
      </c>
      <c r="S45" s="1559">
        <f t="shared" si="12"/>
        <v>100</v>
      </c>
      <c r="T45" s="1558" t="s">
        <v>28</v>
      </c>
      <c r="U45" s="1559">
        <f t="shared" si="13"/>
        <v>100</v>
      </c>
      <c r="V45" s="1558" t="s">
        <v>28</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50"/>
      <c r="Q46" s="1454">
        <f t="shared" si="11"/>
        <v>111</v>
      </c>
      <c r="R46" s="1558" t="s">
        <v>27</v>
      </c>
      <c r="S46" s="1559">
        <f t="shared" si="12"/>
        <v>100</v>
      </c>
      <c r="T46" s="1558" t="s">
        <v>27</v>
      </c>
      <c r="U46" s="1559">
        <f t="shared" si="13"/>
        <v>100</v>
      </c>
      <c r="V46" s="1558" t="s">
        <v>27</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26</v>
      </c>
      <c r="D47" s="1613"/>
      <c r="E47" s="1614"/>
      <c r="F47" s="1615"/>
      <c r="G47" s="1616"/>
      <c r="H47" s="1617"/>
      <c r="I47" s="1614"/>
      <c r="J47" s="1617"/>
      <c r="K47" s="1618"/>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57" t="str">
        <f>A48</f>
        <v>比较价值（元/平方米）</v>
      </c>
      <c r="Q48" s="3357"/>
      <c r="R48" s="3337" t="e">
        <f>IF(E1="售价",ROUND(PRODUCT(R47,AA7:AA46),0),ROUND(PRODUCT(R47,AA7:AA46),1))</f>
        <v>#DIV/0!</v>
      </c>
      <c r="S48" s="3337"/>
      <c r="T48" s="3360" t="e">
        <f>IF(E1="售价",ROUND(PRODUCT(T47,AB7:AB46),0),ROUND(PRODUCT(T47,AB7:AB46),1))</f>
        <v>#DIV/0!</v>
      </c>
      <c r="U48" s="3361"/>
      <c r="V48" s="3337" t="e">
        <f>IF(E1="售价",ROUND(PRODUCT(V47,AC7:AC46),0),ROUND(PRODUCT(V47,AC7:AC46),1))</f>
        <v>#DIV/0!</v>
      </c>
      <c r="W48" s="3337"/>
      <c r="X48" s="1561"/>
      <c r="Y48" s="1561"/>
      <c r="Z48" s="1561"/>
      <c r="AA48" s="1561"/>
      <c r="AB48" s="1561"/>
      <c r="AC48" s="1561"/>
    </row>
    <row r="49" spans="1:29" ht="15" thickBot="1">
      <c r="A49" s="1627" t="s">
        <v>2051</v>
      </c>
      <c r="B49" s="1628"/>
      <c r="C49" s="1629" t="e">
        <f>R49</f>
        <v>#DIV/0!</v>
      </c>
      <c r="D49" s="1508"/>
      <c r="E49" s="1508"/>
      <c r="F49" s="1508"/>
      <c r="G49" s="1508"/>
      <c r="H49" s="1508"/>
      <c r="I49" s="1508"/>
      <c r="J49" s="1508"/>
      <c r="K49" s="1630"/>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2.2"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4.4">
      <c r="A58" s="1649" t="s">
        <v>2056</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4.4" thickBot="1">
      <c r="A62" s="1665"/>
      <c r="B62" s="1656"/>
      <c r="C62" s="1670">
        <v>100</v>
      </c>
      <c r="D62" s="1658"/>
      <c r="E62" s="1658"/>
      <c r="F62" s="1658"/>
      <c r="G62" s="1658"/>
      <c r="H62" s="1658"/>
      <c r="I62" s="1658"/>
      <c r="J62" s="1658"/>
      <c r="K62" s="1658"/>
      <c r="L62" s="1658"/>
      <c r="M62" s="1671"/>
      <c r="N62" s="1668"/>
      <c r="O62" s="1668"/>
      <c r="P62" s="1659"/>
      <c r="Q62" s="1648"/>
    </row>
    <row r="63" spans="1:29" ht="14.4">
      <c r="A63" s="1550" t="s">
        <v>2060</v>
      </c>
      <c r="B63" s="1672" t="s">
        <v>2025</v>
      </c>
      <c r="C63" s="1673">
        <f>C9</f>
        <v>0</v>
      </c>
      <c r="D63" s="1674"/>
      <c r="E63" s="1674"/>
      <c r="F63" s="1674"/>
      <c r="G63" s="1674"/>
      <c r="H63" s="1674"/>
      <c r="I63" s="1674"/>
      <c r="J63" s="1674"/>
      <c r="K63" s="408"/>
      <c r="L63" s="408"/>
      <c r="M63" s="1675"/>
      <c r="N63" s="1676"/>
      <c r="O63" s="1676"/>
      <c r="P63" s="1677"/>
      <c r="Q63" s="1648"/>
    </row>
    <row r="64" spans="1:29" ht="14.4" thickBot="1">
      <c r="A64" s="1535"/>
      <c r="B64" s="1678"/>
      <c r="C64" s="1679">
        <v>100</v>
      </c>
      <c r="D64" s="1679"/>
      <c r="E64" s="1679"/>
      <c r="F64" s="1679"/>
      <c r="G64" s="1679"/>
      <c r="H64" s="1679"/>
      <c r="I64" s="1679"/>
      <c r="J64" s="1679"/>
      <c r="K64" s="1679"/>
      <c r="L64" s="1679"/>
      <c r="M64" s="1680"/>
      <c r="N64" s="1681"/>
      <c r="O64" s="1681"/>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4.4"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c r="A68" s="1535"/>
      <c r="B68" s="1690"/>
      <c r="C68" s="1691"/>
      <c r="D68" s="1691"/>
      <c r="E68" s="1691"/>
      <c r="F68" s="1691"/>
      <c r="G68" s="1691"/>
      <c r="H68" s="1691"/>
      <c r="I68" s="1691"/>
      <c r="J68" s="1691"/>
      <c r="K68" s="428"/>
      <c r="L68" s="428"/>
      <c r="M68" s="1692"/>
      <c r="N68" s="1676"/>
      <c r="O68" s="1676"/>
      <c r="P68" s="1677"/>
      <c r="Q68" s="1648"/>
    </row>
    <row r="69" spans="1:17" ht="14.4"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4.4"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4.4" thickBot="1">
      <c r="A71" s="1693"/>
      <c r="B71" s="1685"/>
      <c r="C71" s="1698"/>
      <c r="D71" s="1679"/>
      <c r="E71" s="1679"/>
      <c r="F71" s="1679"/>
      <c r="G71" s="1679"/>
      <c r="H71" s="1679"/>
      <c r="I71" s="1679"/>
      <c r="J71" s="1679"/>
      <c r="K71" s="1679"/>
      <c r="L71" s="1679"/>
      <c r="M71" s="1680"/>
      <c r="N71" s="1681"/>
      <c r="O71" s="1681"/>
      <c r="P71" s="1696"/>
      <c r="Q71" s="1697"/>
    </row>
    <row r="72" spans="1:17" s="1601" customFormat="1" ht="14.4"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4.4" thickBot="1">
      <c r="A73" s="1693"/>
      <c r="B73" s="1685"/>
      <c r="C73" s="1698"/>
      <c r="D73" s="1698"/>
      <c r="E73" s="1698"/>
      <c r="F73" s="1698"/>
      <c r="G73" s="1698"/>
      <c r="H73" s="1701"/>
      <c r="I73" s="1701"/>
      <c r="J73" s="1701"/>
      <c r="K73" s="1701"/>
      <c r="L73" s="1701"/>
      <c r="M73" s="1702"/>
      <c r="N73" s="1695"/>
      <c r="O73" s="1695"/>
      <c r="P73" s="1696"/>
      <c r="Q73" s="1697"/>
    </row>
    <row r="74" spans="1:17" s="1601" customFormat="1" ht="14.4"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4.4" thickBot="1">
      <c r="A75" s="1704"/>
      <c r="B75" s="1705"/>
      <c r="C75" s="1706"/>
      <c r="D75" s="1706"/>
      <c r="E75" s="1706"/>
      <c r="F75" s="1706"/>
      <c r="G75" s="1706"/>
      <c r="H75" s="1707"/>
      <c r="I75" s="1707"/>
      <c r="J75" s="1707"/>
      <c r="K75" s="1707"/>
      <c r="L75" s="1707"/>
      <c r="M75" s="1708"/>
      <c r="N75" s="1695"/>
      <c r="O75" s="1695"/>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 thickTop="1">
      <c r="A86" s="1538"/>
      <c r="B86" s="1682" t="s">
        <v>2082</v>
      </c>
      <c r="C86" s="456"/>
      <c r="D86" s="456"/>
      <c r="E86" s="456"/>
      <c r="F86" s="456"/>
      <c r="G86" s="456"/>
      <c r="H86" s="456"/>
      <c r="I86" s="456"/>
      <c r="J86" s="456"/>
      <c r="K86" s="456"/>
      <c r="L86" s="456"/>
      <c r="M86" s="1713"/>
      <c r="N86" s="1668"/>
      <c r="O86" s="1668"/>
      <c r="P86" s="1677"/>
      <c r="Q86" s="1648"/>
    </row>
    <row r="87" spans="1:17" s="1520" customFormat="1" ht="14.4"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4.4"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4.4"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4.4" thickBot="1">
      <c r="A91" s="1693"/>
      <c r="B91" s="1685"/>
      <c r="C91" s="1698"/>
      <c r="D91" s="1698"/>
      <c r="E91" s="1698"/>
      <c r="F91" s="1698"/>
      <c r="G91" s="1698"/>
      <c r="H91" s="1701"/>
      <c r="I91" s="1701"/>
      <c r="J91" s="1701"/>
      <c r="K91" s="1701"/>
      <c r="L91" s="1701"/>
      <c r="M91" s="1702"/>
      <c r="N91" s="1695"/>
      <c r="O91" s="1695"/>
      <c r="P91" s="1696"/>
      <c r="Q91" s="1697"/>
    </row>
    <row r="92" spans="1:17" ht="14.4" thickTop="1">
      <c r="A92" s="1535"/>
      <c r="B92" s="1682">
        <f>B28</f>
        <v>111</v>
      </c>
      <c r="C92" s="456"/>
      <c r="D92" s="456"/>
      <c r="E92" s="456"/>
      <c r="F92" s="456"/>
      <c r="G92" s="1417"/>
      <c r="H92" s="1417"/>
      <c r="I92" s="1417"/>
      <c r="J92" s="1417"/>
      <c r="K92" s="461"/>
      <c r="L92" s="461"/>
      <c r="M92" s="1716"/>
      <c r="N92" s="1676"/>
      <c r="O92" s="1676"/>
      <c r="P92" s="1677"/>
      <c r="Q92" s="1648"/>
    </row>
    <row r="93" spans="1:17" ht="14.4" thickBot="1">
      <c r="A93" s="1535"/>
      <c r="B93" s="1685"/>
      <c r="C93" s="1698"/>
      <c r="D93" s="1679"/>
      <c r="E93" s="1679"/>
      <c r="F93" s="1679"/>
      <c r="G93" s="1679"/>
      <c r="H93" s="1679"/>
      <c r="I93" s="1679"/>
      <c r="J93" s="1679"/>
      <c r="K93" s="1679"/>
      <c r="L93" s="1679"/>
      <c r="M93" s="1680"/>
      <c r="N93" s="1681"/>
      <c r="O93" s="1681"/>
      <c r="P93" s="1677"/>
      <c r="Q93" s="1648"/>
    </row>
    <row r="94" spans="1:17" ht="14.4" thickTop="1">
      <c r="A94" s="1535"/>
      <c r="B94" s="1682">
        <f>B29</f>
        <v>111</v>
      </c>
      <c r="C94" s="456"/>
      <c r="D94" s="456"/>
      <c r="E94" s="456"/>
      <c r="F94" s="456"/>
      <c r="G94" s="1417"/>
      <c r="H94" s="1417"/>
      <c r="I94" s="1417"/>
      <c r="J94" s="1417"/>
      <c r="K94" s="461"/>
      <c r="L94" s="461"/>
      <c r="M94" s="1716"/>
      <c r="N94" s="1676"/>
      <c r="O94" s="1676"/>
      <c r="P94" s="1677"/>
      <c r="Q94" s="1648"/>
    </row>
    <row r="95" spans="1:17" ht="14.4" thickBot="1">
      <c r="A95" s="1535"/>
      <c r="B95" s="1685"/>
      <c r="C95" s="1698"/>
      <c r="D95" s="1698"/>
      <c r="E95" s="1698"/>
      <c r="F95" s="1698"/>
      <c r="G95" s="1679"/>
      <c r="H95" s="1679"/>
      <c r="I95" s="1679"/>
      <c r="J95" s="1679"/>
      <c r="K95" s="1679"/>
      <c r="L95" s="1679"/>
      <c r="M95" s="1680"/>
      <c r="N95" s="1681"/>
      <c r="O95" s="1681"/>
      <c r="P95" s="1677"/>
      <c r="Q95" s="1648"/>
    </row>
    <row r="96" spans="1:17" ht="14.4" thickTop="1">
      <c r="A96" s="1535"/>
      <c r="B96" s="1682">
        <f>B30</f>
        <v>111</v>
      </c>
      <c r="C96" s="456"/>
      <c r="D96" s="456"/>
      <c r="E96" s="456"/>
      <c r="F96" s="456"/>
      <c r="G96" s="1417"/>
      <c r="H96" s="1417"/>
      <c r="I96" s="1417"/>
      <c r="J96" s="1417"/>
      <c r="K96" s="461"/>
      <c r="L96" s="461"/>
      <c r="M96" s="1716"/>
      <c r="N96" s="1676"/>
      <c r="O96" s="1676"/>
      <c r="P96" s="1677"/>
      <c r="Q96" s="1648"/>
    </row>
    <row r="97" spans="1:17" ht="14.4" thickBot="1">
      <c r="A97" s="1535"/>
      <c r="B97" s="1685"/>
      <c r="C97" s="1706"/>
      <c r="D97" s="1706"/>
      <c r="E97" s="1706"/>
      <c r="F97" s="1706"/>
      <c r="G97" s="1679"/>
      <c r="H97" s="1679"/>
      <c r="I97" s="1679"/>
      <c r="J97" s="1679"/>
      <c r="K97" s="1679"/>
      <c r="L97" s="1679"/>
      <c r="M97" s="1680"/>
      <c r="N97" s="1681"/>
      <c r="O97" s="1681"/>
      <c r="P97" s="1677"/>
      <c r="Q97" s="1648"/>
    </row>
    <row r="98" spans="1:17" ht="14.4" thickTop="1">
      <c r="A98" s="1535"/>
      <c r="B98" s="1688">
        <f>B31</f>
        <v>111</v>
      </c>
      <c r="C98" s="1717"/>
      <c r="D98" s="1717"/>
      <c r="E98" s="1717"/>
      <c r="F98" s="1717"/>
      <c r="G98" s="1717"/>
      <c r="H98" s="1717"/>
      <c r="I98" s="1717"/>
      <c r="J98" s="1717"/>
      <c r="K98" s="465"/>
      <c r="L98" s="465"/>
      <c r="M98" s="1718"/>
      <c r="N98" s="1676"/>
      <c r="O98" s="1676"/>
      <c r="P98" s="1677"/>
      <c r="Q98" s="1648"/>
    </row>
    <row r="99" spans="1:17" ht="14.4" thickBot="1">
      <c r="A99" s="1545"/>
      <c r="B99" s="1705"/>
      <c r="C99" s="1719"/>
      <c r="D99" s="1719"/>
      <c r="E99" s="1719"/>
      <c r="F99" s="1719"/>
      <c r="G99" s="1719"/>
      <c r="H99" s="1719"/>
      <c r="I99" s="1719"/>
      <c r="J99" s="1719"/>
      <c r="K99" s="1719"/>
      <c r="L99" s="1719"/>
      <c r="M99" s="1720"/>
      <c r="N99" s="1681"/>
      <c r="O99" s="1681"/>
      <c r="P99" s="1677"/>
      <c r="Q99" s="1648"/>
    </row>
    <row r="100" spans="1:17" ht="14.4">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4.4"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4.4"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4.4"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4.4"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4.4"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4.4"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4.4"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9.4"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4.4"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4.4" thickBot="1">
      <c r="A127" s="1693"/>
      <c r="B127" s="1685"/>
      <c r="C127" s="1698"/>
      <c r="D127" s="1679"/>
      <c r="E127" s="1679"/>
      <c r="F127" s="1679"/>
      <c r="G127" s="1698"/>
      <c r="H127" s="1701"/>
      <c r="I127" s="1701"/>
      <c r="J127" s="1701"/>
      <c r="K127" s="1701"/>
      <c r="L127" s="1701"/>
      <c r="M127" s="1702"/>
      <c r="N127" s="1695"/>
      <c r="O127" s="1695"/>
      <c r="P127" s="1696"/>
      <c r="Q127" s="1697"/>
    </row>
    <row r="128" spans="1:17" ht="14.4"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4.4" thickBot="1">
      <c r="A129" s="1535"/>
      <c r="B129" s="1685"/>
      <c r="C129" s="1698"/>
      <c r="D129" s="1698"/>
      <c r="E129" s="1698"/>
      <c r="F129" s="1698"/>
      <c r="G129" s="1679"/>
      <c r="H129" s="1679"/>
      <c r="I129" s="1679"/>
      <c r="J129" s="1679"/>
      <c r="K129" s="1679"/>
      <c r="L129" s="1679"/>
      <c r="M129" s="1680"/>
      <c r="N129" s="1681"/>
      <c r="O129" s="1681"/>
      <c r="P129" s="1677"/>
      <c r="Q129" s="1648"/>
    </row>
    <row r="130" spans="1:17" ht="14.4"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4.4"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6.2"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万元</v>
      </c>
      <c r="D2" s="1489"/>
      <c r="E2" s="2214" t="e">
        <f ca="1">SUMIF(INDIRECT("'"&amp;G2&amp;"'"&amp;"!A:A"),"承租人权益价值",INDIRECT("'"&amp;G2&amp;"'"&amp;"!c:c"))</f>
        <v>#REF!</v>
      </c>
      <c r="F2" s="1491" t="str">
        <f>C2</f>
        <v>万元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2562.92</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37"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37"/>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37"/>
      <c r="AC6" s="3320"/>
    </row>
    <row r="7" spans="1:29" s="1520" customFormat="1" ht="1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56"/>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56"/>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56"/>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56"/>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58" t="s">
        <v>2031</v>
      </c>
      <c r="Q15" s="1454" t="str">
        <f t="shared" si="6"/>
        <v>商业繁华度</v>
      </c>
      <c r="R15" s="1558" t="s">
        <v>25</v>
      </c>
      <c r="S15" s="1559">
        <f t="shared" si="0"/>
        <v>100</v>
      </c>
      <c r="T15" s="1558" t="s">
        <v>25</v>
      </c>
      <c r="U15" s="1559">
        <f t="shared" si="1"/>
        <v>100</v>
      </c>
      <c r="V15" s="1558" t="s">
        <v>25</v>
      </c>
      <c r="W15" s="1559">
        <f t="shared" si="2"/>
        <v>100</v>
      </c>
      <c r="X15" s="1502"/>
      <c r="Y15" s="3346"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59"/>
      <c r="Q16" s="1454"/>
      <c r="R16" s="1558"/>
      <c r="S16" s="1559"/>
      <c r="T16" s="1558"/>
      <c r="U16" s="1559"/>
      <c r="V16" s="1558"/>
      <c r="W16" s="1559"/>
      <c r="X16" s="1502"/>
      <c r="Y16" s="3347"/>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59"/>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59"/>
      <c r="Q18" s="1454"/>
      <c r="R18" s="1558"/>
      <c r="S18" s="1559"/>
      <c r="T18" s="1558"/>
      <c r="U18" s="1559"/>
      <c r="V18" s="1558"/>
      <c r="W18" s="1559"/>
      <c r="X18" s="1502"/>
      <c r="Y18" s="3347"/>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59"/>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59"/>
      <c r="Q20" s="1454"/>
      <c r="R20" s="1558"/>
      <c r="S20" s="1559"/>
      <c r="T20" s="1558"/>
      <c r="U20" s="1559"/>
      <c r="V20" s="1558"/>
      <c r="W20" s="1559"/>
      <c r="X20" s="1502"/>
      <c r="Y20" s="3347"/>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59"/>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59"/>
      <c r="Q23" s="1454" t="str">
        <f>B23</f>
        <v>自然及人文环境</v>
      </c>
      <c r="R23" s="1558" t="s">
        <v>25</v>
      </c>
      <c r="S23" s="1559">
        <f>F23</f>
        <v>100</v>
      </c>
      <c r="T23" s="1558" t="s">
        <v>25</v>
      </c>
      <c r="U23" s="1559">
        <f>H23</f>
        <v>100</v>
      </c>
      <c r="V23" s="1558" t="s">
        <v>25</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59"/>
      <c r="Q24" s="1454"/>
      <c r="R24" s="1558"/>
      <c r="S24" s="1559"/>
      <c r="T24" s="1558"/>
      <c r="U24" s="1559"/>
      <c r="V24" s="1558"/>
      <c r="W24" s="1559"/>
      <c r="X24" s="1502"/>
      <c r="Y24" s="3347"/>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59"/>
      <c r="Q25" s="1454" t="str">
        <f t="shared" ref="Q25:Q46" si="11">B25</f>
        <v>临街状况</v>
      </c>
      <c r="R25" s="1558" t="s">
        <v>25</v>
      </c>
      <c r="S25" s="1559">
        <f>F25</f>
        <v>100</v>
      </c>
      <c r="T25" s="1558" t="s">
        <v>25</v>
      </c>
      <c r="U25" s="1559">
        <f>H25</f>
        <v>100</v>
      </c>
      <c r="V25" s="1558" t="s">
        <v>25</v>
      </c>
      <c r="W25" s="1559">
        <f>J25</f>
        <v>100</v>
      </c>
      <c r="X25" s="1502"/>
      <c r="Y25" s="3347"/>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59"/>
      <c r="Q26" s="1454" t="str">
        <f t="shared" si="11"/>
        <v>平面位置/可视性</v>
      </c>
      <c r="R26" s="1558" t="s">
        <v>25</v>
      </c>
      <c r="S26" s="1559">
        <f>F26</f>
        <v>100</v>
      </c>
      <c r="T26" s="1558" t="s">
        <v>25</v>
      </c>
      <c r="U26" s="1559">
        <f>H26</f>
        <v>100</v>
      </c>
      <c r="V26" s="1558" t="s">
        <v>25</v>
      </c>
      <c r="W26" s="1559">
        <f>J26</f>
        <v>100</v>
      </c>
      <c r="X26" s="1502"/>
      <c r="Y26" s="3347"/>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59"/>
      <c r="Q27" s="1472" t="str">
        <f t="shared" si="11"/>
        <v>人流量</v>
      </c>
      <c r="R27" s="1516" t="s">
        <v>25</v>
      </c>
      <c r="S27" s="1517">
        <f>F27</f>
        <v>100</v>
      </c>
      <c r="T27" s="1516" t="s">
        <v>25</v>
      </c>
      <c r="U27" s="1517">
        <f>H27</f>
        <v>100</v>
      </c>
      <c r="V27" s="1516" t="s">
        <v>25</v>
      </c>
      <c r="W27" s="1517">
        <f>J27</f>
        <v>100</v>
      </c>
      <c r="X27" s="1518"/>
      <c r="Y27" s="3347"/>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59"/>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47"/>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59"/>
      <c r="Q29" s="1454">
        <f t="shared" si="11"/>
        <v>111</v>
      </c>
      <c r="R29" s="1558" t="s">
        <v>25</v>
      </c>
      <c r="S29" s="1559">
        <f t="shared" si="12"/>
        <v>100</v>
      </c>
      <c r="T29" s="1558" t="s">
        <v>25</v>
      </c>
      <c r="U29" s="1559">
        <f t="shared" si="13"/>
        <v>100</v>
      </c>
      <c r="V29" s="1558" t="s">
        <v>25</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59"/>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59"/>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48" t="s">
        <v>2037</v>
      </c>
      <c r="Q32" s="1454" t="str">
        <f t="shared" si="11"/>
        <v>商业类型</v>
      </c>
      <c r="R32" s="1558" t="s">
        <v>25</v>
      </c>
      <c r="S32" s="1559">
        <f t="shared" si="12"/>
        <v>100</v>
      </c>
      <c r="T32" s="1558" t="s">
        <v>25</v>
      </c>
      <c r="U32" s="1559">
        <f t="shared" si="13"/>
        <v>100</v>
      </c>
      <c r="V32" s="1558" t="s">
        <v>25</v>
      </c>
      <c r="W32" s="1559">
        <f t="shared" si="14"/>
        <v>100</v>
      </c>
      <c r="X32" s="1502"/>
      <c r="Y32" s="3351"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49"/>
      <c r="Q33" s="478" t="str">
        <f t="shared" si="11"/>
        <v>项目建筑规模</v>
      </c>
      <c r="R33" s="1597" t="s">
        <v>25</v>
      </c>
      <c r="S33" s="1598" t="e">
        <f t="shared" si="12"/>
        <v>#N/A</v>
      </c>
      <c r="T33" s="1597" t="s">
        <v>25</v>
      </c>
      <c r="U33" s="1598" t="e">
        <f t="shared" si="13"/>
        <v>#N/A</v>
      </c>
      <c r="V33" s="1597" t="s">
        <v>25</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49"/>
      <c r="Q34" s="1454" t="str">
        <f t="shared" si="11"/>
        <v>建筑结构</v>
      </c>
      <c r="R34" s="1558" t="s">
        <v>25</v>
      </c>
      <c r="S34" s="1559">
        <f t="shared" si="12"/>
        <v>100</v>
      </c>
      <c r="T34" s="1558" t="s">
        <v>25</v>
      </c>
      <c r="U34" s="1559">
        <f t="shared" si="13"/>
        <v>100</v>
      </c>
      <c r="V34" s="1558" t="s">
        <v>25</v>
      </c>
      <c r="W34" s="1559">
        <f t="shared" si="14"/>
        <v>100</v>
      </c>
      <c r="X34" s="1502"/>
      <c r="Y34" s="3351"/>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49"/>
      <c r="Q35" s="1454" t="str">
        <f t="shared" si="11"/>
        <v>公共部分装修</v>
      </c>
      <c r="R35" s="1558" t="s">
        <v>25</v>
      </c>
      <c r="S35" s="1559">
        <f t="shared" si="12"/>
        <v>100</v>
      </c>
      <c r="T35" s="1558" t="s">
        <v>25</v>
      </c>
      <c r="U35" s="1559">
        <f t="shared" si="13"/>
        <v>100</v>
      </c>
      <c r="V35" s="1558" t="s">
        <v>25</v>
      </c>
      <c r="W35" s="1559">
        <f t="shared" si="14"/>
        <v>100</v>
      </c>
      <c r="X35" s="1502"/>
      <c r="Y35" s="3351"/>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49"/>
      <c r="Q36" s="1454" t="str">
        <f t="shared" si="11"/>
        <v>成新度</v>
      </c>
      <c r="R36" s="1558" t="s">
        <v>25</v>
      </c>
      <c r="S36" s="1559" t="e">
        <f t="shared" si="12"/>
        <v>#N/A</v>
      </c>
      <c r="T36" s="1558" t="s">
        <v>25</v>
      </c>
      <c r="U36" s="1559" t="e">
        <f t="shared" si="13"/>
        <v>#N/A</v>
      </c>
      <c r="V36" s="1558" t="s">
        <v>25</v>
      </c>
      <c r="W36" s="1559" t="e">
        <f t="shared" si="14"/>
        <v>#N/A</v>
      </c>
      <c r="X36" s="1502"/>
      <c r="Y36" s="3351"/>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49"/>
      <c r="Q37" s="1472" t="str">
        <f t="shared" si="11"/>
        <v>市政基础设施</v>
      </c>
      <c r="R37" s="1516" t="s">
        <v>25</v>
      </c>
      <c r="S37" s="1517">
        <f t="shared" si="12"/>
        <v>100</v>
      </c>
      <c r="T37" s="1516" t="s">
        <v>25</v>
      </c>
      <c r="U37" s="1517">
        <f t="shared" si="13"/>
        <v>100</v>
      </c>
      <c r="V37" s="1516" t="s">
        <v>25</v>
      </c>
      <c r="W37" s="1517">
        <f t="shared" si="14"/>
        <v>100</v>
      </c>
      <c r="X37" s="1518"/>
      <c r="Y37" s="3351"/>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49" t="s">
        <v>2037</v>
      </c>
      <c r="Q38" s="1454" t="str">
        <f t="shared" si="11"/>
        <v>业态</v>
      </c>
      <c r="R38" s="1558" t="s">
        <v>25</v>
      </c>
      <c r="S38" s="1559">
        <f t="shared" si="12"/>
        <v>100</v>
      </c>
      <c r="T38" s="1558" t="s">
        <v>25</v>
      </c>
      <c r="U38" s="1559">
        <f t="shared" si="13"/>
        <v>100</v>
      </c>
      <c r="V38" s="1558" t="s">
        <v>25</v>
      </c>
      <c r="W38" s="1559">
        <f t="shared" si="14"/>
        <v>100</v>
      </c>
      <c r="X38" s="1502"/>
      <c r="Y38" s="3351"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49"/>
      <c r="Q39" s="1454" t="str">
        <f t="shared" si="11"/>
        <v>层高</v>
      </c>
      <c r="R39" s="1558" t="s">
        <v>25</v>
      </c>
      <c r="S39" s="1559">
        <f t="shared" si="12"/>
        <v>100</v>
      </c>
      <c r="T39" s="1558" t="s">
        <v>25</v>
      </c>
      <c r="U39" s="1559">
        <f t="shared" si="13"/>
        <v>100</v>
      </c>
      <c r="V39" s="1558" t="s">
        <v>25</v>
      </c>
      <c r="W39" s="1559">
        <f t="shared" si="14"/>
        <v>100</v>
      </c>
      <c r="X39" s="1502"/>
      <c r="Y39" s="3351"/>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49"/>
      <c r="Q40" s="1454" t="str">
        <f t="shared" si="11"/>
        <v>单套建筑面积</v>
      </c>
      <c r="R40" s="1558" t="s">
        <v>25</v>
      </c>
      <c r="S40" s="1559">
        <f t="shared" si="12"/>
        <v>100</v>
      </c>
      <c r="T40" s="1558" t="s">
        <v>25</v>
      </c>
      <c r="U40" s="1559">
        <f t="shared" si="13"/>
        <v>100</v>
      </c>
      <c r="V40" s="1558" t="s">
        <v>25</v>
      </c>
      <c r="W40" s="1559">
        <f t="shared" si="14"/>
        <v>100</v>
      </c>
      <c r="X40" s="1502"/>
      <c r="Y40" s="3351"/>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49"/>
      <c r="Q41" s="478" t="str">
        <f t="shared" si="11"/>
        <v>进深比</v>
      </c>
      <c r="R41" s="1597" t="s">
        <v>25</v>
      </c>
      <c r="S41" s="1598">
        <f t="shared" si="12"/>
        <v>100</v>
      </c>
      <c r="T41" s="1597" t="s">
        <v>25</v>
      </c>
      <c r="U41" s="1598">
        <f t="shared" si="13"/>
        <v>100</v>
      </c>
      <c r="V41" s="1597" t="s">
        <v>25</v>
      </c>
      <c r="W41" s="1598">
        <f t="shared" si="14"/>
        <v>100</v>
      </c>
      <c r="X41" s="1599"/>
      <c r="Y41" s="3351"/>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49"/>
      <c r="Q42" s="1454" t="str">
        <f t="shared" si="11"/>
        <v>内部装修</v>
      </c>
      <c r="R42" s="1558" t="s">
        <v>25</v>
      </c>
      <c r="S42" s="1559">
        <f t="shared" si="12"/>
        <v>100</v>
      </c>
      <c r="T42" s="1558" t="s">
        <v>25</v>
      </c>
      <c r="U42" s="1559">
        <f t="shared" si="13"/>
        <v>100</v>
      </c>
      <c r="V42" s="1558" t="s">
        <v>25</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49"/>
      <c r="Q43" s="1454" t="str">
        <f t="shared" si="11"/>
        <v>内部装修维护情况</v>
      </c>
      <c r="R43" s="1558" t="s">
        <v>25</v>
      </c>
      <c r="S43" s="1559">
        <f t="shared" si="12"/>
        <v>100</v>
      </c>
      <c r="T43" s="1558" t="s">
        <v>25</v>
      </c>
      <c r="U43" s="1559">
        <f t="shared" si="13"/>
        <v>100</v>
      </c>
      <c r="V43" s="1558" t="s">
        <v>25</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49"/>
      <c r="Q44" s="1472">
        <f t="shared" si="11"/>
        <v>111</v>
      </c>
      <c r="R44" s="1516" t="s">
        <v>25</v>
      </c>
      <c r="S44" s="1517">
        <f t="shared" si="12"/>
        <v>100</v>
      </c>
      <c r="T44" s="1516" t="s">
        <v>25</v>
      </c>
      <c r="U44" s="1517">
        <f t="shared" si="13"/>
        <v>100</v>
      </c>
      <c r="V44" s="1516" t="s">
        <v>25</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49"/>
      <c r="Q45" s="1454">
        <f t="shared" si="11"/>
        <v>111</v>
      </c>
      <c r="R45" s="1558" t="s">
        <v>25</v>
      </c>
      <c r="S45" s="1559">
        <f t="shared" si="12"/>
        <v>100</v>
      </c>
      <c r="T45" s="1558" t="s">
        <v>25</v>
      </c>
      <c r="U45" s="1559">
        <f t="shared" si="13"/>
        <v>100</v>
      </c>
      <c r="V45" s="1558" t="s">
        <v>25</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50"/>
      <c r="Q46" s="1454">
        <f t="shared" si="11"/>
        <v>111</v>
      </c>
      <c r="R46" s="1558" t="s">
        <v>25</v>
      </c>
      <c r="S46" s="1559">
        <f t="shared" si="12"/>
        <v>100</v>
      </c>
      <c r="T46" s="1558" t="s">
        <v>25</v>
      </c>
      <c r="U46" s="1559">
        <f t="shared" si="13"/>
        <v>100</v>
      </c>
      <c r="V46" s="1558" t="s">
        <v>25</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1</v>
      </c>
      <c r="D47" s="1613"/>
      <c r="E47" s="1614"/>
      <c r="F47" s="1615"/>
      <c r="G47" s="1616"/>
      <c r="H47" s="1617"/>
      <c r="I47" s="1614"/>
      <c r="J47" s="1617"/>
      <c r="K47" s="1823"/>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57" t="str">
        <f>A48</f>
        <v>比较价值（元/平方米）</v>
      </c>
      <c r="Q48" s="3357"/>
      <c r="R48" s="3337" t="e">
        <f>IF(E1="售价",ROUND(PRODUCT(R47,AA7:AA46),0),ROUND(PRODUCT(R47,AA7:AA46),1))</f>
        <v>#DIV/0!</v>
      </c>
      <c r="S48" s="3337"/>
      <c r="T48" s="3337" t="e">
        <f>IF(E1="售价",ROUND(PRODUCT(T47,AB7:AB46),0),ROUND(PRODUCT(T47,AB7:AB46),1))</f>
        <v>#DIV/0!</v>
      </c>
      <c r="U48" s="3337"/>
      <c r="V48" s="3337" t="e">
        <f>IF(E1="售价",ROUND(PRODUCT(V47,AC7:AC46),0),ROUND(PRODUCT(V47,AC7:AC46),1))</f>
        <v>#DIV/0!</v>
      </c>
      <c r="W48" s="3337"/>
      <c r="X48" s="1561"/>
      <c r="Y48" s="1561"/>
      <c r="Z48" s="1561"/>
      <c r="AA48" s="1561"/>
      <c r="AB48" s="1561"/>
      <c r="AC48" s="1561"/>
    </row>
    <row r="49" spans="1:29" ht="15" thickBot="1">
      <c r="A49" s="1627" t="s">
        <v>2133</v>
      </c>
      <c r="B49" s="1628"/>
      <c r="C49" s="1508" t="e">
        <f>R49</f>
        <v>#DIV/0!</v>
      </c>
      <c r="D49" s="1508"/>
      <c r="E49" s="1508"/>
      <c r="F49" s="1508"/>
      <c r="G49" s="1508"/>
      <c r="H49" s="1508"/>
      <c r="I49" s="1508"/>
      <c r="J49" s="1508"/>
      <c r="K49" s="1828"/>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2.2"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4.4">
      <c r="A58" s="1649" t="s">
        <v>2019</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4.4" thickBot="1">
      <c r="A62" s="1665"/>
      <c r="B62" s="1656"/>
      <c r="C62" s="1670">
        <v>100</v>
      </c>
      <c r="D62" s="1658"/>
      <c r="E62" s="1658"/>
      <c r="F62" s="1658"/>
      <c r="G62" s="1658"/>
      <c r="H62" s="1658"/>
      <c r="I62" s="1658"/>
      <c r="J62" s="1658"/>
      <c r="K62" s="1658"/>
      <c r="L62" s="1658"/>
      <c r="M62" s="1671"/>
      <c r="N62" s="1865"/>
      <c r="O62" s="1865"/>
      <c r="P62" s="1659"/>
      <c r="Q62" s="1648"/>
    </row>
    <row r="63" spans="1:29" ht="14.4">
      <c r="A63" s="1550" t="s">
        <v>2060</v>
      </c>
      <c r="B63" s="1672" t="s">
        <v>2025</v>
      </c>
      <c r="C63" s="1673">
        <f>C9</f>
        <v>0</v>
      </c>
      <c r="D63" s="1674"/>
      <c r="E63" s="1674"/>
      <c r="F63" s="1674"/>
      <c r="G63" s="1674"/>
      <c r="H63" s="1674"/>
      <c r="I63" s="1674"/>
      <c r="J63" s="1674"/>
      <c r="K63" s="408"/>
      <c r="L63" s="408"/>
      <c r="M63" s="1675"/>
      <c r="N63" s="2709"/>
      <c r="O63" s="2709"/>
      <c r="P63" s="1677"/>
      <c r="Q63" s="1648"/>
    </row>
    <row r="64" spans="1:29" ht="14.4" thickBot="1">
      <c r="A64" s="1535"/>
      <c r="B64" s="1678"/>
      <c r="C64" s="1679">
        <v>100</v>
      </c>
      <c r="D64" s="1679"/>
      <c r="E64" s="1679"/>
      <c r="F64" s="1679"/>
      <c r="G64" s="1679"/>
      <c r="H64" s="1679"/>
      <c r="I64" s="1679"/>
      <c r="J64" s="1679"/>
      <c r="K64" s="1679"/>
      <c r="L64" s="1679"/>
      <c r="M64" s="1680"/>
      <c r="N64" s="2248"/>
      <c r="O64" s="2248"/>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4.4"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c r="A68" s="1535"/>
      <c r="B68" s="1690"/>
      <c r="C68" s="1691"/>
      <c r="D68" s="1691"/>
      <c r="E68" s="1691"/>
      <c r="F68" s="1691"/>
      <c r="G68" s="1691"/>
      <c r="H68" s="1691"/>
      <c r="I68" s="1691"/>
      <c r="J68" s="1691"/>
      <c r="K68" s="428"/>
      <c r="L68" s="428"/>
      <c r="M68" s="1692"/>
      <c r="N68" s="2709"/>
      <c r="O68" s="2709"/>
      <c r="P68" s="1677"/>
      <c r="Q68" s="1648"/>
    </row>
    <row r="69" spans="1:17" ht="14.4"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4.4"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4.4" thickBot="1">
      <c r="A71" s="1693"/>
      <c r="B71" s="1685"/>
      <c r="C71" s="1698"/>
      <c r="D71" s="1679"/>
      <c r="E71" s="1679"/>
      <c r="F71" s="1679"/>
      <c r="G71" s="1679"/>
      <c r="H71" s="1679"/>
      <c r="I71" s="1679"/>
      <c r="J71" s="1679"/>
      <c r="K71" s="1679"/>
      <c r="L71" s="1679"/>
      <c r="M71" s="1680"/>
      <c r="N71" s="2248"/>
      <c r="O71" s="2248"/>
      <c r="P71" s="1696"/>
      <c r="Q71" s="1697"/>
    </row>
    <row r="72" spans="1:17" s="1601" customFormat="1" ht="14.4"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4.4" thickBot="1">
      <c r="A73" s="1693"/>
      <c r="B73" s="1685"/>
      <c r="C73" s="1698"/>
      <c r="D73" s="1679"/>
      <c r="E73" s="1679"/>
      <c r="F73" s="1679"/>
      <c r="G73" s="1698"/>
      <c r="H73" s="1701"/>
      <c r="I73" s="1701"/>
      <c r="J73" s="1701"/>
      <c r="K73" s="1701"/>
      <c r="L73" s="1701"/>
      <c r="M73" s="1702"/>
      <c r="N73" s="1866"/>
      <c r="O73" s="1866"/>
      <c r="P73" s="1696"/>
      <c r="Q73" s="1697"/>
    </row>
    <row r="74" spans="1:17" s="1601" customFormat="1" ht="14.4"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4.4" thickBot="1">
      <c r="A75" s="1704"/>
      <c r="B75" s="1705"/>
      <c r="C75" s="1706"/>
      <c r="D75" s="1706"/>
      <c r="E75" s="1706"/>
      <c r="F75" s="1706"/>
      <c r="G75" s="1706"/>
      <c r="H75" s="1707"/>
      <c r="I75" s="1707"/>
      <c r="J75" s="1707"/>
      <c r="K75" s="1707"/>
      <c r="L75" s="1707"/>
      <c r="M75" s="1708"/>
      <c r="N75" s="1866"/>
      <c r="O75" s="1866"/>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 thickTop="1">
      <c r="A86" s="1538"/>
      <c r="B86" s="1682" t="s">
        <v>2138</v>
      </c>
      <c r="C86" s="456"/>
      <c r="D86" s="456"/>
      <c r="E86" s="456"/>
      <c r="F86" s="456"/>
      <c r="G86" s="456"/>
      <c r="H86" s="456"/>
      <c r="I86" s="456"/>
      <c r="J86" s="456"/>
      <c r="K86" s="456"/>
      <c r="L86" s="456"/>
      <c r="M86" s="1713"/>
      <c r="N86" s="1865"/>
      <c r="O86" s="1865"/>
      <c r="P86" s="1677"/>
      <c r="Q86" s="1648"/>
    </row>
    <row r="87" spans="1:17" s="1520" customFormat="1" ht="14.4"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4.4"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4.4" thickBot="1">
      <c r="A89" s="1538"/>
      <c r="B89" s="1685"/>
      <c r="C89" s="1698"/>
      <c r="D89" s="1679"/>
      <c r="E89" s="1679"/>
      <c r="F89" s="1679"/>
      <c r="G89" s="1679"/>
      <c r="H89" s="1679"/>
      <c r="I89" s="1679"/>
      <c r="J89" s="1679"/>
      <c r="K89" s="1679"/>
      <c r="L89" s="1679"/>
      <c r="M89" s="1679"/>
      <c r="N89" s="2248"/>
      <c r="O89" s="2248"/>
      <c r="P89" s="1677"/>
      <c r="Q89" s="1648"/>
    </row>
    <row r="90" spans="1:17" s="1601" customFormat="1" ht="14.4"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4.4"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4.4" thickTop="1">
      <c r="A92" s="1535"/>
      <c r="B92" s="1682" t="str">
        <f>B28</f>
        <v>楼层</v>
      </c>
      <c r="C92" s="456"/>
      <c r="D92" s="456"/>
      <c r="E92" s="456"/>
      <c r="F92" s="456"/>
      <c r="G92" s="456"/>
      <c r="H92" s="456"/>
      <c r="I92" s="456"/>
      <c r="J92" s="456"/>
      <c r="K92" s="456"/>
      <c r="L92" s="456"/>
      <c r="M92" s="1713"/>
      <c r="N92" s="2709"/>
      <c r="O92" s="2709"/>
      <c r="P92" s="1677"/>
      <c r="Q92" s="1648"/>
    </row>
    <row r="93" spans="1:17" ht="14.4" thickBot="1">
      <c r="A93" s="1535"/>
      <c r="B93" s="1685"/>
      <c r="C93" s="1679"/>
      <c r="D93" s="1679"/>
      <c r="E93" s="1679"/>
      <c r="F93" s="1679"/>
      <c r="G93" s="1679"/>
      <c r="H93" s="1679"/>
      <c r="I93" s="1679"/>
      <c r="J93" s="1679"/>
      <c r="K93" s="1679"/>
      <c r="L93" s="1679"/>
      <c r="M93" s="1680"/>
      <c r="N93" s="2248"/>
      <c r="O93" s="2248"/>
      <c r="P93" s="1677"/>
      <c r="Q93" s="1648"/>
    </row>
    <row r="94" spans="1:17" ht="14.4" thickTop="1">
      <c r="A94" s="1535"/>
      <c r="B94" s="1682">
        <f>B29</f>
        <v>111</v>
      </c>
      <c r="C94" s="456"/>
      <c r="D94" s="456"/>
      <c r="E94" s="456"/>
      <c r="F94" s="456"/>
      <c r="G94" s="1417"/>
      <c r="H94" s="1417"/>
      <c r="I94" s="1417"/>
      <c r="J94" s="1417"/>
      <c r="K94" s="461"/>
      <c r="L94" s="461"/>
      <c r="M94" s="1716"/>
      <c r="N94" s="2709"/>
      <c r="O94" s="2709"/>
      <c r="P94" s="1677"/>
      <c r="Q94" s="1648"/>
    </row>
    <row r="95" spans="1:17" ht="14.4" thickBot="1">
      <c r="A95" s="1535"/>
      <c r="B95" s="1685"/>
      <c r="C95" s="1698"/>
      <c r="D95" s="1679"/>
      <c r="E95" s="1679"/>
      <c r="F95" s="1679"/>
      <c r="G95" s="1679"/>
      <c r="H95" s="1679"/>
      <c r="I95" s="1679"/>
      <c r="J95" s="1679"/>
      <c r="K95" s="1679"/>
      <c r="L95" s="1679"/>
      <c r="M95" s="1680"/>
      <c r="N95" s="2248"/>
      <c r="O95" s="2248"/>
      <c r="P95" s="1677"/>
      <c r="Q95" s="1648"/>
    </row>
    <row r="96" spans="1:17" ht="14.4" thickTop="1">
      <c r="A96" s="1535"/>
      <c r="B96" s="1682">
        <f>B30</f>
        <v>111</v>
      </c>
      <c r="C96" s="456"/>
      <c r="D96" s="456"/>
      <c r="E96" s="456"/>
      <c r="F96" s="456"/>
      <c r="G96" s="1417"/>
      <c r="H96" s="1417"/>
      <c r="I96" s="1417"/>
      <c r="J96" s="1417"/>
      <c r="K96" s="461"/>
      <c r="L96" s="461"/>
      <c r="M96" s="1716"/>
      <c r="N96" s="2709"/>
      <c r="O96" s="2709"/>
      <c r="P96" s="1677"/>
      <c r="Q96" s="1648"/>
    </row>
    <row r="97" spans="1:17" ht="14.4" thickBot="1">
      <c r="A97" s="1535"/>
      <c r="B97" s="1685"/>
      <c r="C97" s="1698"/>
      <c r="D97" s="1679"/>
      <c r="E97" s="1679"/>
      <c r="F97" s="1679"/>
      <c r="G97" s="1679"/>
      <c r="H97" s="1679"/>
      <c r="I97" s="1679"/>
      <c r="J97" s="1679"/>
      <c r="K97" s="1679"/>
      <c r="L97" s="1679"/>
      <c r="M97" s="1680"/>
      <c r="N97" s="2248"/>
      <c r="O97" s="2248"/>
      <c r="P97" s="1677"/>
      <c r="Q97" s="1648"/>
    </row>
    <row r="98" spans="1:17" ht="14.4" thickTop="1">
      <c r="A98" s="1535"/>
      <c r="B98" s="1688">
        <f>B31</f>
        <v>111</v>
      </c>
      <c r="C98" s="456"/>
      <c r="D98" s="456"/>
      <c r="E98" s="456"/>
      <c r="F98" s="456"/>
      <c r="G98" s="1717"/>
      <c r="H98" s="1717"/>
      <c r="I98" s="1717"/>
      <c r="J98" s="1717"/>
      <c r="K98" s="465"/>
      <c r="L98" s="465"/>
      <c r="M98" s="1718"/>
      <c r="N98" s="2709"/>
      <c r="O98" s="2709"/>
      <c r="P98" s="1677"/>
      <c r="Q98" s="1648"/>
    </row>
    <row r="99" spans="1:17" ht="14.4" thickBot="1">
      <c r="A99" s="1545"/>
      <c r="B99" s="1705"/>
      <c r="C99" s="1706"/>
      <c r="D99" s="1706"/>
      <c r="E99" s="1706"/>
      <c r="F99" s="1706"/>
      <c r="G99" s="1719"/>
      <c r="H99" s="1719"/>
      <c r="I99" s="1719"/>
      <c r="J99" s="1719"/>
      <c r="K99" s="1719"/>
      <c r="L99" s="1719"/>
      <c r="M99" s="1720"/>
      <c r="N99" s="2248"/>
      <c r="O99" s="2248"/>
      <c r="P99" s="1677"/>
      <c r="Q99" s="1648"/>
    </row>
    <row r="100" spans="1:17" ht="14.4">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4.4"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4.4"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4.4"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4.4"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4.4"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4.4"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4.4"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4.4"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4.4" thickBot="1">
      <c r="A127" s="1693"/>
      <c r="B127" s="1685"/>
      <c r="C127" s="1698"/>
      <c r="D127" s="1679"/>
      <c r="E127" s="1679"/>
      <c r="F127" s="1679"/>
      <c r="G127" s="1698"/>
      <c r="H127" s="1701"/>
      <c r="I127" s="1701"/>
      <c r="J127" s="1701"/>
      <c r="K127" s="1701"/>
      <c r="L127" s="1701"/>
      <c r="M127" s="1702"/>
      <c r="N127" s="1866"/>
      <c r="O127" s="1866"/>
      <c r="P127" s="1696"/>
      <c r="Q127" s="1697"/>
    </row>
    <row r="128" spans="1:17" ht="14.4"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4.4" thickBot="1">
      <c r="A129" s="1535"/>
      <c r="B129" s="1685"/>
      <c r="C129" s="1698"/>
      <c r="D129" s="1679"/>
      <c r="E129" s="1679"/>
      <c r="F129" s="1679"/>
      <c r="G129" s="1679"/>
      <c r="H129" s="1679"/>
      <c r="I129" s="1679"/>
      <c r="J129" s="1679"/>
      <c r="K129" s="1679"/>
      <c r="L129" s="1679"/>
      <c r="M129" s="1680"/>
      <c r="N129" s="2248"/>
      <c r="O129" s="2248"/>
      <c r="P129" s="1677"/>
      <c r="Q129" s="1648"/>
    </row>
    <row r="130" spans="1:17" ht="14.4"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4.4"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47" sqref="F47"/>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c r="D1" s="1475"/>
      <c r="E1" s="1478"/>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t="e">
        <f ca="1">IF(D2="——",IF(C2="元",ROUND(C50*D3,0),ROUND(C50*D3/10000,0)),IF(C2="元",ROUND(C50*D3,0),ROUND(C50*D3/10000,0))-E2)</f>
        <v>#DIV/0!</v>
      </c>
      <c r="C2" s="1488" t="str">
        <f>'数据-取费表'!B3</f>
        <v>万元</v>
      </c>
      <c r="D2" s="1489"/>
      <c r="E2" s="2231" t="e">
        <f ca="1">SUMIF(INDIRECT("'"&amp;G2&amp;"'"&amp;"!A:A"),"承租人权益价值",INDIRECT("'"&amp;G2&amp;"'"&amp;"!c:c"))</f>
        <v>#REF!</v>
      </c>
      <c r="F2" s="1491" t="str">
        <f>C2</f>
        <v>万元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t="e">
        <f ca="1">ROUND(IF(D2="——",C50,IF(C2="万元",B2*10000/D3,B2/D3)),0)</f>
        <v>#DIV/0!</v>
      </c>
      <c r="C3" s="1497" t="s">
        <v>2005</v>
      </c>
      <c r="D3" s="1497">
        <f>IF(C1="仅计算典型户型",'数据-取费表'!E5,'数据-取费表'!B5)</f>
        <v>2562.92</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44886</v>
      </c>
      <c r="D7" s="1512">
        <v>100</v>
      </c>
      <c r="E7" s="1513"/>
      <c r="F7" s="1514">
        <f>SUMIF(59:59,YEAR(E7)&amp;"-"&amp;MONTH(E7),60:60)</f>
        <v>0</v>
      </c>
      <c r="G7" s="1782"/>
      <c r="H7" s="1512">
        <f>SUMIF(59:59,YEAR(G7)&amp;"-"&amp;MONTH(G7),60:60)</f>
        <v>0</v>
      </c>
      <c r="I7" s="1782"/>
      <c r="J7" s="1512">
        <f>SUMIF(59:59,YEAR(I7)&amp;"-"&amp;MONTH(I7),60:60)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SUMIF(62:62,E8,63:63)-SUMIF(62:62,C8,63:63)+100</f>
        <v>0</v>
      </c>
      <c r="G8" s="1521"/>
      <c r="H8" s="1512">
        <f>SUMIF(62:62,G8,63:63)-SUMIF(62:62,C8,63:63)+100</f>
        <v>0</v>
      </c>
      <c r="I8" s="1521"/>
      <c r="J8" s="1512">
        <f>SUMIF(62:62,I8,63:63)-SUMIF(62:62,C8,63:63)+100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7" si="3">D8/F8</f>
        <v>#DIV/0!</v>
      </c>
      <c r="AB8" s="1519" t="e">
        <f t="shared" ref="AB8:AB47" si="4">D8/H8</f>
        <v>#DIV/0!</v>
      </c>
      <c r="AC8" s="1519" t="e">
        <f t="shared" ref="AC8:AC47" si="5">D8/J8</f>
        <v>#DIV/0!</v>
      </c>
    </row>
    <row r="9" spans="1:29" s="1520" customFormat="1" ht="14.4">
      <c r="A9" s="1473" t="s">
        <v>2024</v>
      </c>
      <c r="B9" s="1523" t="s">
        <v>2025</v>
      </c>
      <c r="C9" s="1524"/>
      <c r="D9" s="1525">
        <v>100</v>
      </c>
      <c r="E9" s="1527"/>
      <c r="F9" s="1525">
        <f>SUMIF(64:64,E9,65:65)-SUMIF(64:64,C9,65:65)+100</f>
        <v>100</v>
      </c>
      <c r="G9" s="1526"/>
      <c r="H9" s="1525">
        <f>SUMIF(64:64,G9,65:65)-SUMIF(64:64,C9,65:65)+100</f>
        <v>100</v>
      </c>
      <c r="I9" s="1526"/>
      <c r="J9" s="1525">
        <f>SUMIF(64:64,I9,65:65)-SUMIF(64:64,C9,65:65)+100</f>
        <v>100</v>
      </c>
      <c r="K9" s="1783"/>
      <c r="L9" s="2694"/>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0"/>
      <c r="F10" s="1531">
        <f>SUMIF(66:66,E10,67:67)-SUMIF(66:66,C10,67:67)+100</f>
        <v>100</v>
      </c>
      <c r="G10" s="1532"/>
      <c r="H10" s="1531">
        <f>SUMIF(66:66,G10,67:67)-SUMIF(66:66,C10,67:67)+100</f>
        <v>100</v>
      </c>
      <c r="I10" s="1530"/>
      <c r="J10" s="1531">
        <f>SUMIF(66:66,I10,67:67)-SUMIF(66:66,C10,67:67)+100</f>
        <v>100</v>
      </c>
      <c r="K10" s="1807"/>
      <c r="L10" s="2695"/>
      <c r="P10" s="3357"/>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t="e">
        <f>LOOKUP(E11,69:69,70:70)-LOOKUP(C11,69:69,70:70)+100</f>
        <v>#N/A</v>
      </c>
      <c r="G11" s="1537"/>
      <c r="H11" s="1531" t="e">
        <f>LOOKUP(G11,69:69,70:70)-LOOKUP(C11,69:69,70:70)+100</f>
        <v>#N/A</v>
      </c>
      <c r="I11" s="1536"/>
      <c r="J11" s="1531" t="e">
        <f>LOOKUP(I11,69:69,70:70)-LOOKUP(C11,69:69,70:70)+100</f>
        <v>#N/A</v>
      </c>
      <c r="K11" s="1807"/>
      <c r="L11" s="2696"/>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57"/>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46" t="s">
        <v>2031</v>
      </c>
      <c r="Q15" s="1454" t="str">
        <f t="shared" si="6"/>
        <v>办公集聚程度</v>
      </c>
      <c r="R15" s="1558" t="s">
        <v>25</v>
      </c>
      <c r="S15" s="1559">
        <f t="shared" si="0"/>
        <v>100</v>
      </c>
      <c r="T15" s="1558" t="s">
        <v>25</v>
      </c>
      <c r="U15" s="1559">
        <f t="shared" si="1"/>
        <v>100</v>
      </c>
      <c r="V15" s="1558" t="s">
        <v>25</v>
      </c>
      <c r="W15" s="1559">
        <f t="shared" si="2"/>
        <v>100</v>
      </c>
      <c r="X15" s="1502"/>
      <c r="Y15" s="3346" t="s">
        <v>2031</v>
      </c>
      <c r="Z15" s="1560" t="str">
        <f t="shared" si="7"/>
        <v>办公集聚程度</v>
      </c>
      <c r="AA15" s="1560">
        <f t="shared" si="3"/>
        <v>1</v>
      </c>
      <c r="AB15" s="1560">
        <f t="shared" si="4"/>
        <v>1</v>
      </c>
      <c r="AC15" s="1560">
        <f t="shared" si="5"/>
        <v>1</v>
      </c>
    </row>
    <row r="16" spans="1:29" ht="15">
      <c r="A16" s="1535"/>
      <c r="B16" s="2237"/>
      <c r="C16" s="1791"/>
      <c r="D16" s="1563"/>
      <c r="E16" s="1562"/>
      <c r="F16" s="1563"/>
      <c r="G16" s="1791"/>
      <c r="H16" s="1567"/>
      <c r="I16" s="1562"/>
      <c r="J16" s="1563"/>
      <c r="K16" s="2217"/>
      <c r="L16" s="2697"/>
      <c r="P16" s="3347"/>
      <c r="Q16" s="1454"/>
      <c r="R16" s="1558"/>
      <c r="S16" s="1559"/>
      <c r="T16" s="1558"/>
      <c r="U16" s="1559"/>
      <c r="V16" s="1558"/>
      <c r="W16" s="1559"/>
      <c r="X16" s="1502"/>
      <c r="Y16" s="3347"/>
      <c r="Z16" s="1560"/>
      <c r="AA16" s="1560">
        <v>1</v>
      </c>
      <c r="AB16" s="1560">
        <v>1</v>
      </c>
      <c r="AC16" s="1560">
        <v>1</v>
      </c>
    </row>
    <row r="17" spans="1:29" ht="96.6">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47"/>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88"/>
      <c r="C18" s="1795"/>
      <c r="D18" s="1567"/>
      <c r="E18" s="1578"/>
      <c r="F18" s="1567"/>
      <c r="G18" s="1577"/>
      <c r="H18" s="1563"/>
      <c r="I18" s="1577"/>
      <c r="J18" s="1563"/>
      <c r="K18" s="2217"/>
      <c r="L18" s="2697"/>
      <c r="P18" s="3347"/>
      <c r="Q18" s="1454"/>
      <c r="R18" s="1558"/>
      <c r="S18" s="1559"/>
      <c r="T18" s="1558"/>
      <c r="U18" s="1559"/>
      <c r="V18" s="1558"/>
      <c r="W18" s="1559"/>
      <c r="X18" s="1502"/>
      <c r="Y18" s="3347"/>
      <c r="Z18" s="1560"/>
      <c r="AA18" s="1560">
        <v>1</v>
      </c>
      <c r="AB18" s="1560">
        <v>1</v>
      </c>
      <c r="AC18" s="1560">
        <v>1</v>
      </c>
    </row>
    <row r="19" spans="1:29" ht="41.4">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47"/>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88"/>
      <c r="C20" s="1791"/>
      <c r="D20" s="1563"/>
      <c r="E20" s="1566"/>
      <c r="F20" s="1563"/>
      <c r="G20" s="1564"/>
      <c r="H20" s="1563"/>
      <c r="I20" s="1564"/>
      <c r="J20" s="1563"/>
      <c r="K20" s="2217"/>
      <c r="L20" s="2697"/>
      <c r="P20" s="3347"/>
      <c r="Q20" s="1454"/>
      <c r="R20" s="1558"/>
      <c r="S20" s="1559"/>
      <c r="T20" s="1558"/>
      <c r="U20" s="1559"/>
      <c r="V20" s="1558"/>
      <c r="W20" s="1559"/>
      <c r="X20" s="1502"/>
      <c r="Y20" s="3347"/>
      <c r="Z20" s="1560"/>
      <c r="AA20" s="1560">
        <v>1</v>
      </c>
      <c r="AB20" s="1560">
        <v>1</v>
      </c>
      <c r="AC20" s="1560">
        <v>1</v>
      </c>
    </row>
    <row r="21" spans="1:29" ht="41.4">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47"/>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2239"/>
      <c r="C22" s="1795"/>
      <c r="D22" s="1563"/>
      <c r="E22" s="1562"/>
      <c r="F22" s="1563"/>
      <c r="G22" s="1791"/>
      <c r="H22" s="1563"/>
      <c r="I22" s="1791"/>
      <c r="J22" s="1563"/>
      <c r="K22" s="2218"/>
      <c r="L22" s="2697"/>
      <c r="P22" s="3347"/>
      <c r="Q22" s="1454"/>
      <c r="R22" s="1558"/>
      <c r="S22" s="1559"/>
      <c r="T22" s="1558"/>
      <c r="U22" s="1559"/>
      <c r="V22" s="1558"/>
      <c r="W22" s="1559"/>
      <c r="X22" s="1502"/>
      <c r="Y22" s="3347"/>
      <c r="Z22" s="1560"/>
      <c r="AA22" s="1560">
        <v>1</v>
      </c>
      <c r="AB22" s="1560">
        <v>1</v>
      </c>
      <c r="AC22" s="1560">
        <v>1</v>
      </c>
    </row>
    <row r="23" spans="1:29" ht="55.2">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47"/>
      <c r="Q23" s="1454" t="str">
        <f>B23</f>
        <v>环境质量</v>
      </c>
      <c r="R23" s="1558" t="s">
        <v>25</v>
      </c>
      <c r="S23" s="1559">
        <f>F23</f>
        <v>100</v>
      </c>
      <c r="T23" s="1558" t="s">
        <v>25</v>
      </c>
      <c r="U23" s="1559">
        <f>H23</f>
        <v>100</v>
      </c>
      <c r="V23" s="1558" t="s">
        <v>25</v>
      </c>
      <c r="W23" s="1559">
        <f>J23</f>
        <v>100</v>
      </c>
      <c r="X23" s="1502"/>
      <c r="Y23" s="3347"/>
      <c r="Z23" s="1560" t="str">
        <f>Q23</f>
        <v>环境质量</v>
      </c>
      <c r="AA23" s="1560">
        <f t="shared" si="3"/>
        <v>1</v>
      </c>
      <c r="AB23" s="1560">
        <f t="shared" si="4"/>
        <v>1</v>
      </c>
      <c r="AC23" s="1560">
        <f t="shared" si="5"/>
        <v>1</v>
      </c>
    </row>
    <row r="24" spans="1:29" ht="15">
      <c r="A24" s="1535"/>
      <c r="B24" s="2239"/>
      <c r="C24" s="1791"/>
      <c r="D24" s="1563"/>
      <c r="E24" s="1566"/>
      <c r="F24" s="1563"/>
      <c r="G24" s="1564"/>
      <c r="H24" s="1563"/>
      <c r="I24" s="1564"/>
      <c r="J24" s="1563"/>
      <c r="K24" s="2217"/>
      <c r="L24" s="2697"/>
      <c r="P24" s="3347"/>
      <c r="Q24" s="1454"/>
      <c r="R24" s="1558"/>
      <c r="S24" s="1559"/>
      <c r="T24" s="1558"/>
      <c r="U24" s="1559"/>
      <c r="V24" s="1558"/>
      <c r="W24" s="1559"/>
      <c r="X24" s="1502"/>
      <c r="Y24" s="3347"/>
      <c r="Z24" s="1560"/>
      <c r="AA24" s="1560">
        <v>1</v>
      </c>
      <c r="AB24" s="1560">
        <v>1</v>
      </c>
      <c r="AC24" s="1560">
        <v>1</v>
      </c>
    </row>
    <row r="25" spans="1:29" ht="28.8">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47"/>
      <c r="Q25" s="1454" t="str">
        <f>B25</f>
        <v>毗邻道路的类型与等级</v>
      </c>
      <c r="R25" s="1558" t="s">
        <v>25</v>
      </c>
      <c r="S25" s="1559">
        <f>F25</f>
        <v>100</v>
      </c>
      <c r="T25" s="1558" t="s">
        <v>25</v>
      </c>
      <c r="U25" s="1559">
        <f>H25</f>
        <v>100</v>
      </c>
      <c r="V25" s="1558" t="s">
        <v>25</v>
      </c>
      <c r="W25" s="1559">
        <f>J25</f>
        <v>100</v>
      </c>
      <c r="X25" s="1502"/>
      <c r="Y25" s="3347"/>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47"/>
      <c r="Q26" s="1454"/>
      <c r="R26" s="1558"/>
      <c r="S26" s="1559"/>
      <c r="T26" s="1558"/>
      <c r="U26" s="1559"/>
      <c r="V26" s="1558"/>
      <c r="W26" s="1559"/>
      <c r="X26" s="1502"/>
      <c r="Y26" s="3347"/>
      <c r="Z26" s="1560"/>
      <c r="AA26" s="1560">
        <v>1</v>
      </c>
      <c r="AB26" s="1560">
        <v>1</v>
      </c>
      <c r="AC26" s="1560">
        <v>1</v>
      </c>
    </row>
    <row r="27" spans="1:29" ht="15">
      <c r="A27" s="1535"/>
      <c r="B27" s="1588" t="s">
        <v>2122</v>
      </c>
      <c r="C27" s="1799"/>
      <c r="D27" s="1544">
        <v>100</v>
      </c>
      <c r="E27" s="1806"/>
      <c r="F27" s="1544">
        <f>SUMIF(89:89,E27,90:90)-SUMIF(89:89,C27,90:90)+100</f>
        <v>100</v>
      </c>
      <c r="G27" s="1799"/>
      <c r="H27" s="1544">
        <f>SUMIF(89:89,G27,90:90)-SUMIF(89:89,C27,90:90)+100</f>
        <v>100</v>
      </c>
      <c r="I27" s="1806"/>
      <c r="J27" s="1544">
        <f>SUMIF(89:89,I27,90:90)-SUMIF(89:89,C27,90:90)+100</f>
        <v>100</v>
      </c>
      <c r="K27" s="1807"/>
      <c r="L27" s="2697"/>
      <c r="P27" s="3347"/>
      <c r="Q27" s="1454" t="str">
        <f t="shared" ref="Q27:Q47" si="11">B27</f>
        <v>楼层</v>
      </c>
      <c r="R27" s="1558" t="s">
        <v>25</v>
      </c>
      <c r="S27" s="1559">
        <f>F27</f>
        <v>100</v>
      </c>
      <c r="T27" s="1558" t="s">
        <v>25</v>
      </c>
      <c r="U27" s="1559">
        <f>H27</f>
        <v>100</v>
      </c>
      <c r="V27" s="1558" t="s">
        <v>25</v>
      </c>
      <c r="W27" s="1559">
        <f>J27</f>
        <v>100</v>
      </c>
      <c r="X27" s="1502"/>
      <c r="Y27" s="3347"/>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47"/>
      <c r="Q28" s="1472" t="str">
        <f t="shared" si="11"/>
        <v>朝向</v>
      </c>
      <c r="R28" s="1516" t="s">
        <v>25</v>
      </c>
      <c r="S28" s="1517">
        <f>F28</f>
        <v>100</v>
      </c>
      <c r="T28" s="1516" t="s">
        <v>25</v>
      </c>
      <c r="U28" s="1517">
        <f>H28</f>
        <v>100</v>
      </c>
      <c r="V28" s="1516" t="s">
        <v>25</v>
      </c>
      <c r="W28" s="1517">
        <f>J28</f>
        <v>100</v>
      </c>
      <c r="X28" s="1518"/>
      <c r="Y28" s="3347"/>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47"/>
      <c r="Q29" s="1454">
        <f t="shared" si="11"/>
        <v>111</v>
      </c>
      <c r="R29" s="1558" t="s">
        <v>25</v>
      </c>
      <c r="S29" s="1559">
        <f t="shared" ref="S29:S47" si="12">F29</f>
        <v>100</v>
      </c>
      <c r="T29" s="1558" t="s">
        <v>25</v>
      </c>
      <c r="U29" s="1559">
        <f t="shared" ref="U29:U47" si="13">H29</f>
        <v>100</v>
      </c>
      <c r="V29" s="1558" t="s">
        <v>25</v>
      </c>
      <c r="W29" s="1559">
        <f t="shared" ref="W29:W47" si="14">J29</f>
        <v>100</v>
      </c>
      <c r="X29" s="1502"/>
      <c r="Y29" s="3347"/>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47"/>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47"/>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6"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47"/>
      <c r="Q32" s="1454">
        <f t="shared" si="11"/>
        <v>111</v>
      </c>
      <c r="R32" s="1558" t="s">
        <v>25</v>
      </c>
      <c r="S32" s="1559">
        <f t="shared" si="12"/>
        <v>100</v>
      </c>
      <c r="T32" s="1558" t="s">
        <v>25</v>
      </c>
      <c r="U32" s="1559">
        <f t="shared" si="13"/>
        <v>100</v>
      </c>
      <c r="V32" s="1558" t="s">
        <v>25</v>
      </c>
      <c r="W32" s="1559">
        <f t="shared" si="14"/>
        <v>100</v>
      </c>
      <c r="X32" s="1502"/>
      <c r="Y32" s="3347"/>
      <c r="Z32" s="1560">
        <f t="shared" si="15"/>
        <v>111</v>
      </c>
      <c r="AA32" s="1560">
        <f t="shared" si="3"/>
        <v>1</v>
      </c>
      <c r="AB32" s="1560">
        <f t="shared" si="4"/>
        <v>1</v>
      </c>
      <c r="AC32" s="1560">
        <f t="shared" si="5"/>
        <v>1</v>
      </c>
    </row>
    <row r="33" spans="1:29" ht="15">
      <c r="A33" s="1550" t="s">
        <v>2035</v>
      </c>
      <c r="B33" s="1523" t="s">
        <v>2151</v>
      </c>
      <c r="C33" s="1592"/>
      <c r="D33" s="1593">
        <v>100</v>
      </c>
      <c r="E33" s="1592"/>
      <c r="F33" s="1586">
        <f>SUMIF(101:101,E33,102:102)-SUMIF(101:101,C33,102:102)+100</f>
        <v>100</v>
      </c>
      <c r="G33" s="1592"/>
      <c r="H33" s="1544">
        <f>SUMIF(101:101,G33,102:102)-SUMIF(101:101,C33,102:102)+100</f>
        <v>100</v>
      </c>
      <c r="I33" s="1592"/>
      <c r="J33" s="1593">
        <f>SUMIF(101:101,I33,102:102)-SUMIF(101:101,C33,102:102)+100</f>
        <v>100</v>
      </c>
      <c r="K33" s="1807"/>
      <c r="L33" s="2697"/>
      <c r="P33" s="3365" t="s">
        <v>2037</v>
      </c>
      <c r="Q33" s="1454" t="str">
        <f t="shared" si="11"/>
        <v>建筑类型</v>
      </c>
      <c r="R33" s="1558" t="s">
        <v>25</v>
      </c>
      <c r="S33" s="1559">
        <f t="shared" si="12"/>
        <v>100</v>
      </c>
      <c r="T33" s="1558" t="s">
        <v>25</v>
      </c>
      <c r="U33" s="1559">
        <f t="shared" si="13"/>
        <v>100</v>
      </c>
      <c r="V33" s="1558" t="s">
        <v>25</v>
      </c>
      <c r="W33" s="1559">
        <f t="shared" si="14"/>
        <v>100</v>
      </c>
      <c r="X33" s="1502"/>
      <c r="Y33" s="3351" t="s">
        <v>2037</v>
      </c>
      <c r="Z33" s="1560" t="str">
        <f t="shared" si="15"/>
        <v>建筑类型</v>
      </c>
      <c r="AA33" s="1560">
        <f t="shared" si="3"/>
        <v>1</v>
      </c>
      <c r="AB33" s="1560">
        <f t="shared" si="4"/>
        <v>1</v>
      </c>
      <c r="AC33" s="1560">
        <f t="shared" si="5"/>
        <v>1</v>
      </c>
    </row>
    <row r="34" spans="1:29" s="1601" customFormat="1" ht="15">
      <c r="A34" s="1595"/>
      <c r="B34" s="1529" t="s">
        <v>2038</v>
      </c>
      <c r="C34" s="1596"/>
      <c r="D34" s="1531">
        <v>100</v>
      </c>
      <c r="E34" s="1537"/>
      <c r="F34" s="1529" t="e">
        <f>LOOKUP(E34,104:104,105:105)-LOOKUP(C34,104:104,105:105)+100</f>
        <v>#N/A</v>
      </c>
      <c r="G34" s="1536"/>
      <c r="H34" s="1531" t="e">
        <f>LOOKUP(G34,104:104,105:105)-LOOKUP(C34,104:104,105:105)+100</f>
        <v>#N/A</v>
      </c>
      <c r="I34" s="1536"/>
      <c r="J34" s="1531" t="e">
        <f>LOOKUP(I34,104:104,105:105)-LOOKUP(C34,104:104,105:105)+100</f>
        <v>#N/A</v>
      </c>
      <c r="K34" s="1804"/>
      <c r="L34" s="2696"/>
      <c r="P34" s="3351"/>
      <c r="Q34" s="478" t="str">
        <f t="shared" si="11"/>
        <v>项目建筑规模</v>
      </c>
      <c r="R34" s="1597" t="s">
        <v>25</v>
      </c>
      <c r="S34" s="1598" t="e">
        <f t="shared" si="12"/>
        <v>#N/A</v>
      </c>
      <c r="T34" s="1597" t="s">
        <v>25</v>
      </c>
      <c r="U34" s="1598" t="e">
        <f t="shared" si="13"/>
        <v>#N/A</v>
      </c>
      <c r="V34" s="1597" t="s">
        <v>25</v>
      </c>
      <c r="W34" s="1598" t="e">
        <f t="shared" si="14"/>
        <v>#N/A</v>
      </c>
      <c r="X34" s="1599"/>
      <c r="Y34" s="3351"/>
      <c r="Z34" s="1600" t="str">
        <f t="shared" si="15"/>
        <v>项目建筑规模</v>
      </c>
      <c r="AA34" s="1560" t="e">
        <f t="shared" si="3"/>
        <v>#N/A</v>
      </c>
      <c r="AB34" s="1560" t="e">
        <f t="shared" si="4"/>
        <v>#N/A</v>
      </c>
      <c r="AC34" s="1560" t="e">
        <f t="shared" si="5"/>
        <v>#N/A</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51"/>
      <c r="Q35" s="1454" t="str">
        <f t="shared" si="11"/>
        <v>建筑结构</v>
      </c>
      <c r="R35" s="1558" t="s">
        <v>25</v>
      </c>
      <c r="S35" s="1559">
        <f t="shared" si="12"/>
        <v>100</v>
      </c>
      <c r="T35" s="1558" t="s">
        <v>25</v>
      </c>
      <c r="U35" s="1559">
        <f t="shared" si="13"/>
        <v>100</v>
      </c>
      <c r="V35" s="1558" t="s">
        <v>25</v>
      </c>
      <c r="W35" s="1559">
        <f t="shared" si="14"/>
        <v>100</v>
      </c>
      <c r="X35" s="1502"/>
      <c r="Y35" s="3351"/>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51"/>
      <c r="Q36" s="1454" t="str">
        <f t="shared" si="11"/>
        <v>公共部分装修</v>
      </c>
      <c r="R36" s="1558" t="s">
        <v>25</v>
      </c>
      <c r="S36" s="1559">
        <f t="shared" si="12"/>
        <v>100</v>
      </c>
      <c r="T36" s="1558" t="s">
        <v>25</v>
      </c>
      <c r="U36" s="1559">
        <f t="shared" si="13"/>
        <v>100</v>
      </c>
      <c r="V36" s="1558" t="s">
        <v>25</v>
      </c>
      <c r="W36" s="1559">
        <f t="shared" si="14"/>
        <v>100</v>
      </c>
      <c r="X36" s="1502"/>
      <c r="Y36" s="3351"/>
      <c r="Z36" s="1560" t="str">
        <f t="shared" si="15"/>
        <v>公共部分装修</v>
      </c>
      <c r="AA36" s="1560">
        <f t="shared" si="3"/>
        <v>1</v>
      </c>
      <c r="AB36" s="1560">
        <f t="shared" si="4"/>
        <v>1</v>
      </c>
      <c r="AC36" s="1560">
        <f t="shared" si="5"/>
        <v>1</v>
      </c>
    </row>
    <row r="37" spans="1:29" ht="15">
      <c r="A37" s="1602"/>
      <c r="B37" s="1529" t="s">
        <v>2125</v>
      </c>
      <c r="C37" s="1605"/>
      <c r="D37" s="1544">
        <v>100</v>
      </c>
      <c r="E37" s="1605"/>
      <c r="F37" s="1586" t="e">
        <f>LOOKUP(E37,111:111,112:112)-LOOKUP(C37,111:111,112:112)+100</f>
        <v>#N/A</v>
      </c>
      <c r="G37" s="1605"/>
      <c r="H37" s="1586" t="e">
        <f>LOOKUP(G37,111:111,112:112)-LOOKUP(C37,111:111,112:112)+100</f>
        <v>#N/A</v>
      </c>
      <c r="I37" s="1605"/>
      <c r="J37" s="1544" t="e">
        <f>LOOKUP(I37,111:111,112:112)-LOOKUP(C37,111:111,112:112)+100</f>
        <v>#N/A</v>
      </c>
      <c r="K37" s="1807"/>
      <c r="L37" s="2697"/>
      <c r="P37" s="3351"/>
      <c r="Q37" s="1454" t="str">
        <f t="shared" si="11"/>
        <v>成新度</v>
      </c>
      <c r="R37" s="1558" t="s">
        <v>25</v>
      </c>
      <c r="S37" s="1559" t="e">
        <f t="shared" si="12"/>
        <v>#N/A</v>
      </c>
      <c r="T37" s="1558" t="s">
        <v>25</v>
      </c>
      <c r="U37" s="1559" t="e">
        <f t="shared" si="13"/>
        <v>#N/A</v>
      </c>
      <c r="V37" s="1558" t="s">
        <v>25</v>
      </c>
      <c r="W37" s="1559" t="e">
        <f t="shared" si="14"/>
        <v>#N/A</v>
      </c>
      <c r="X37" s="1502"/>
      <c r="Y37" s="3351"/>
      <c r="Z37" s="1560" t="str">
        <f t="shared" si="15"/>
        <v>成新度</v>
      </c>
      <c r="AA37" s="1560" t="e">
        <f t="shared" si="3"/>
        <v>#N/A</v>
      </c>
      <c r="AB37" s="1560" t="e">
        <f t="shared" si="4"/>
        <v>#N/A</v>
      </c>
      <c r="AC37" s="1560" t="e">
        <f t="shared" si="5"/>
        <v>#N/A</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51"/>
      <c r="Q38" s="1472" t="str">
        <f t="shared" si="11"/>
        <v>写字楼等级</v>
      </c>
      <c r="R38" s="1516" t="s">
        <v>25</v>
      </c>
      <c r="S38" s="1517">
        <f t="shared" si="12"/>
        <v>100</v>
      </c>
      <c r="T38" s="1516" t="s">
        <v>25</v>
      </c>
      <c r="U38" s="1517">
        <f t="shared" si="13"/>
        <v>100</v>
      </c>
      <c r="V38" s="1516" t="s">
        <v>25</v>
      </c>
      <c r="W38" s="1517">
        <f t="shared" si="14"/>
        <v>100</v>
      </c>
      <c r="X38" s="1518"/>
      <c r="Y38" s="3351"/>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51" t="s">
        <v>2037</v>
      </c>
      <c r="Q39" s="1454" t="str">
        <f t="shared" si="11"/>
        <v>物业管理</v>
      </c>
      <c r="R39" s="1558" t="s">
        <v>25</v>
      </c>
      <c r="S39" s="1559">
        <f t="shared" si="12"/>
        <v>100</v>
      </c>
      <c r="T39" s="1558" t="s">
        <v>25</v>
      </c>
      <c r="U39" s="1559">
        <f t="shared" si="13"/>
        <v>100</v>
      </c>
      <c r="V39" s="1558" t="s">
        <v>25</v>
      </c>
      <c r="W39" s="1559">
        <f t="shared" si="14"/>
        <v>100</v>
      </c>
      <c r="X39" s="1502"/>
      <c r="Y39" s="3351"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51"/>
      <c r="Q40" s="1454" t="str">
        <f t="shared" si="11"/>
        <v>市政基础设施</v>
      </c>
      <c r="R40" s="1558" t="s">
        <v>25</v>
      </c>
      <c r="S40" s="1559">
        <f t="shared" si="12"/>
        <v>100</v>
      </c>
      <c r="T40" s="1558" t="s">
        <v>25</v>
      </c>
      <c r="U40" s="1559">
        <f t="shared" si="13"/>
        <v>100</v>
      </c>
      <c r="V40" s="1558" t="s">
        <v>25</v>
      </c>
      <c r="W40" s="1559">
        <f t="shared" si="14"/>
        <v>100</v>
      </c>
      <c r="X40" s="1502"/>
      <c r="Y40" s="3351"/>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51"/>
      <c r="Q41" s="1454" t="str">
        <f t="shared" si="11"/>
        <v>层高</v>
      </c>
      <c r="R41" s="1558" t="s">
        <v>25</v>
      </c>
      <c r="S41" s="1559">
        <f t="shared" si="12"/>
        <v>100</v>
      </c>
      <c r="T41" s="1558" t="s">
        <v>25</v>
      </c>
      <c r="U41" s="1559">
        <f t="shared" si="13"/>
        <v>100</v>
      </c>
      <c r="V41" s="1558" t="s">
        <v>25</v>
      </c>
      <c r="W41" s="1559">
        <f t="shared" si="14"/>
        <v>100</v>
      </c>
      <c r="X41" s="1502"/>
      <c r="Y41" s="3351"/>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51"/>
      <c r="Q42" s="478" t="str">
        <f t="shared" si="11"/>
        <v>单套建筑面积</v>
      </c>
      <c r="R42" s="1597" t="s">
        <v>25</v>
      </c>
      <c r="S42" s="1598">
        <f t="shared" si="12"/>
        <v>100</v>
      </c>
      <c r="T42" s="1597" t="s">
        <v>25</v>
      </c>
      <c r="U42" s="1598">
        <f t="shared" si="13"/>
        <v>100</v>
      </c>
      <c r="V42" s="1597" t="s">
        <v>25</v>
      </c>
      <c r="W42" s="1598">
        <f t="shared" si="14"/>
        <v>100</v>
      </c>
      <c r="X42" s="1599"/>
      <c r="Y42" s="3351"/>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51"/>
      <c r="Q43" s="1454" t="str">
        <f t="shared" si="11"/>
        <v>内部装修</v>
      </c>
      <c r="R43" s="1558" t="s">
        <v>25</v>
      </c>
      <c r="S43" s="1559">
        <f t="shared" si="12"/>
        <v>100</v>
      </c>
      <c r="T43" s="1558" t="s">
        <v>25</v>
      </c>
      <c r="U43" s="1559">
        <f t="shared" si="13"/>
        <v>100</v>
      </c>
      <c r="V43" s="1558" t="s">
        <v>25</v>
      </c>
      <c r="W43" s="1559">
        <f t="shared" si="14"/>
        <v>100</v>
      </c>
      <c r="X43" s="1502"/>
      <c r="Y43" s="3351"/>
      <c r="Z43" s="1560" t="str">
        <f t="shared" si="15"/>
        <v>内部装修</v>
      </c>
      <c r="AA43" s="1560">
        <f t="shared" si="3"/>
        <v>1</v>
      </c>
      <c r="AB43" s="1560">
        <f t="shared" si="4"/>
        <v>1</v>
      </c>
      <c r="AC43" s="1560">
        <f t="shared" si="5"/>
        <v>1</v>
      </c>
    </row>
    <row r="44" spans="1:29" ht="28.8">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51"/>
      <c r="Q44" s="1454" t="str">
        <f t="shared" si="11"/>
        <v>内部装修维护情况</v>
      </c>
      <c r="R44" s="1558" t="s">
        <v>25</v>
      </c>
      <c r="S44" s="1559">
        <f t="shared" si="12"/>
        <v>100</v>
      </c>
      <c r="T44" s="1558" t="s">
        <v>25</v>
      </c>
      <c r="U44" s="1559">
        <f t="shared" si="13"/>
        <v>100</v>
      </c>
      <c r="V44" s="1558" t="s">
        <v>25</v>
      </c>
      <c r="W44" s="1559">
        <f t="shared" si="14"/>
        <v>100</v>
      </c>
      <c r="X44" s="1502"/>
      <c r="Y44" s="3351"/>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51"/>
      <c r="Q45" s="1472">
        <f t="shared" si="11"/>
        <v>111</v>
      </c>
      <c r="R45" s="1516" t="s">
        <v>25</v>
      </c>
      <c r="S45" s="1517">
        <f t="shared" si="12"/>
        <v>100</v>
      </c>
      <c r="T45" s="1516" t="s">
        <v>25</v>
      </c>
      <c r="U45" s="1517">
        <f t="shared" si="13"/>
        <v>100</v>
      </c>
      <c r="V45" s="1516" t="s">
        <v>25</v>
      </c>
      <c r="W45" s="1517">
        <f t="shared" si="14"/>
        <v>100</v>
      </c>
      <c r="X45" s="1518"/>
      <c r="Y45" s="3351"/>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51"/>
      <c r="Q46" s="1454">
        <f t="shared" si="11"/>
        <v>111</v>
      </c>
      <c r="R46" s="1558" t="s">
        <v>25</v>
      </c>
      <c r="S46" s="1559">
        <f t="shared" si="12"/>
        <v>100</v>
      </c>
      <c r="T46" s="1558" t="s">
        <v>25</v>
      </c>
      <c r="U46" s="1559">
        <f t="shared" si="13"/>
        <v>100</v>
      </c>
      <c r="V46" s="1558" t="s">
        <v>25</v>
      </c>
      <c r="W46" s="1559">
        <f t="shared" si="14"/>
        <v>100</v>
      </c>
      <c r="X46" s="1502"/>
      <c r="Y46" s="3351"/>
      <c r="Z46" s="1560">
        <f t="shared" si="15"/>
        <v>111</v>
      </c>
      <c r="AA46" s="1560">
        <f t="shared" si="3"/>
        <v>1</v>
      </c>
      <c r="AB46" s="1560">
        <f t="shared" si="4"/>
        <v>1</v>
      </c>
      <c r="AC46" s="1560">
        <f t="shared" si="5"/>
        <v>1</v>
      </c>
    </row>
    <row r="47" spans="1:29" ht="15.6"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52"/>
      <c r="Q47" s="1454">
        <f t="shared" si="11"/>
        <v>111</v>
      </c>
      <c r="R47" s="1558" t="s">
        <v>25</v>
      </c>
      <c r="S47" s="1559">
        <f t="shared" si="12"/>
        <v>100</v>
      </c>
      <c r="T47" s="1558" t="s">
        <v>25</v>
      </c>
      <c r="U47" s="1559">
        <f t="shared" si="13"/>
        <v>100</v>
      </c>
      <c r="V47" s="1558" t="s">
        <v>25</v>
      </c>
      <c r="W47" s="1559">
        <f t="shared" si="14"/>
        <v>100</v>
      </c>
      <c r="X47" s="1502"/>
      <c r="Y47" s="3352"/>
      <c r="Z47" s="1560">
        <f t="shared" si="15"/>
        <v>111</v>
      </c>
      <c r="AA47" s="1560">
        <f t="shared" si="3"/>
        <v>1</v>
      </c>
      <c r="AB47" s="1560">
        <f t="shared" si="4"/>
        <v>1</v>
      </c>
      <c r="AC47" s="1560">
        <f t="shared" si="5"/>
        <v>1</v>
      </c>
    </row>
    <row r="48" spans="1:29" ht="14.4">
      <c r="A48" s="1610" t="s">
        <v>2049</v>
      </c>
      <c r="B48" s="1611"/>
      <c r="C48" s="1612" t="s">
        <v>1</v>
      </c>
      <c r="D48" s="1613"/>
      <c r="E48" s="1614"/>
      <c r="F48" s="1615"/>
      <c r="G48" s="1616"/>
      <c r="H48" s="1617"/>
      <c r="I48" s="1614"/>
      <c r="J48" s="1617"/>
      <c r="K48" s="1823"/>
      <c r="L48" s="2698"/>
      <c r="P48" s="3357" t="str">
        <f>A48</f>
        <v>成交单价（元/平方米）</v>
      </c>
      <c r="Q48" s="3357"/>
      <c r="R48" s="3337">
        <f>E48</f>
        <v>0</v>
      </c>
      <c r="S48" s="3337"/>
      <c r="T48" s="3337">
        <f>G48</f>
        <v>0</v>
      </c>
      <c r="U48" s="3337"/>
      <c r="V48" s="3337">
        <f>I48</f>
        <v>0</v>
      </c>
      <c r="W48" s="3337"/>
      <c r="X48" s="1561"/>
      <c r="Y48" s="1620"/>
      <c r="Z48" s="1561"/>
      <c r="AA48" s="1561"/>
      <c r="AB48" s="1561"/>
      <c r="AC48" s="1561"/>
    </row>
    <row r="49" spans="1:29" ht="15" thickBot="1">
      <c r="A49" s="1621" t="s">
        <v>2132</v>
      </c>
      <c r="B49" s="1622"/>
      <c r="C49" s="1623" t="e">
        <f>R50</f>
        <v>#DIV/0!</v>
      </c>
      <c r="D49" s="1624" t="s">
        <v>2503</v>
      </c>
      <c r="E49" s="1625" t="e">
        <f>R49</f>
        <v>#DIV/0!</v>
      </c>
      <c r="F49" s="1626"/>
      <c r="G49" s="1623" t="e">
        <f>T49</f>
        <v>#DIV/0!</v>
      </c>
      <c r="H49" s="1626"/>
      <c r="I49" s="1625" t="e">
        <f>V49</f>
        <v>#DIV/0!</v>
      </c>
      <c r="J49" s="1626"/>
      <c r="K49" s="2251">
        <f>F49+H49+J49</f>
        <v>0</v>
      </c>
      <c r="L49" s="2698"/>
      <c r="P49" s="3357" t="str">
        <f>A49</f>
        <v>比较价值（元/平方米）</v>
      </c>
      <c r="Q49" s="3357"/>
      <c r="R49" s="3337" t="e">
        <f>IF(E1="售价",ROUND(PRODUCT(R48,AA7:AA47),0),ROUND(PRODUCT(R48,AA7:AA47),1))</f>
        <v>#DIV/0!</v>
      </c>
      <c r="S49" s="3337"/>
      <c r="T49" s="3337" t="e">
        <f>IF(E1="售价",ROUND(PRODUCT(T48,AB7:AB47),0),ROUND(PRODUCT(T48,AB7:AB47),1))</f>
        <v>#DIV/0!</v>
      </c>
      <c r="U49" s="3337"/>
      <c r="V49" s="3337" t="e">
        <f>IF(E1="售价",ROUND(PRODUCT(V48,AC7:AC47),0),ROUND(PRODUCT(V48,AC7:AC47),1))</f>
        <v>#DIV/0!</v>
      </c>
      <c r="W49" s="3337"/>
      <c r="X49" s="1561"/>
      <c r="Y49" s="1561"/>
      <c r="Z49" s="1561"/>
      <c r="AA49" s="1561"/>
      <c r="AB49" s="1561"/>
      <c r="AC49" s="1561"/>
    </row>
    <row r="50" spans="1:29" ht="15" thickBot="1">
      <c r="A50" s="1627" t="s">
        <v>2155</v>
      </c>
      <c r="B50" s="1628"/>
      <c r="C50" s="1508" t="e">
        <f>R50</f>
        <v>#DIV/0!</v>
      </c>
      <c r="D50" s="1508"/>
      <c r="E50" s="1508"/>
      <c r="F50" s="1508"/>
      <c r="G50" s="1508"/>
      <c r="H50" s="1508"/>
      <c r="I50" s="1508"/>
      <c r="J50" s="1508"/>
      <c r="K50" s="1828"/>
      <c r="L50" s="2698"/>
      <c r="P50" s="3362" t="str">
        <f>A50</f>
        <v>估价对象XX用房的比较价值（楼面单价，元/平方米）</v>
      </c>
      <c r="Q50" s="3363"/>
      <c r="R50" s="3364" t="e">
        <f>IF(E1="售价",ROUND(IF(D49="简单平均",AVERAGE(R49:V49),R49*F49+T49*H49+V49*J49),0),ROUND(IF(D49="简单平均",AVERAGE(R49:V49),R49*F49+T49*H49+V49*J49),1))</f>
        <v>#DIV/0!</v>
      </c>
      <c r="S50" s="3364"/>
      <c r="T50" s="3364"/>
      <c r="U50" s="3364"/>
      <c r="V50" s="3364"/>
      <c r="W50" s="3364"/>
      <c r="X50" s="1561"/>
      <c r="Y50" s="1561"/>
      <c r="Z50" s="1561"/>
      <c r="AA50" s="1561"/>
      <c r="AB50" s="1561"/>
      <c r="AC50" s="1561"/>
    </row>
    <row r="51" spans="1:29">
      <c r="G51" s="2701"/>
    </row>
    <row r="53" spans="1:29" ht="13.5" customHeight="1">
      <c r="C53" s="376" t="s">
        <v>2134</v>
      </c>
      <c r="D53" s="1634"/>
      <c r="E53" s="1635" t="e">
        <f>IF(E48&lt;E49,E49/E48-1,E48/E49-1)</f>
        <v>#DIV/0!</v>
      </c>
      <c r="F53" s="1636" t="e">
        <f>IF(OR(E53&gt;=0.3,E53&lt;=-0.3),"超过30%","")</f>
        <v>#DIV/0!</v>
      </c>
      <c r="G53" s="1635" t="e">
        <f>IF(G48&lt;G49,G49/G48-1,G48/G49-1)</f>
        <v>#DIV/0!</v>
      </c>
      <c r="H53" s="1636" t="e">
        <f>IF(OR(G53&gt;=0.3,G53&lt;=-0.3),"超过30%","")</f>
        <v>#DIV/0!</v>
      </c>
      <c r="I53" s="1635" t="e">
        <f>IF(I48&lt;I49,I49/I48-1,I48/I49-1)</f>
        <v>#DIV/0!</v>
      </c>
      <c r="J53" s="1636" t="e">
        <f>IF(OR(I53&gt;=0.3,I53&lt;=-0.3),"超过30%","")</f>
        <v>#DIV/0!</v>
      </c>
    </row>
    <row r="54" spans="1:29" ht="13.5" customHeight="1">
      <c r="C54" s="376" t="s">
        <v>2135</v>
      </c>
      <c r="D54" s="1637"/>
      <c r="E54" s="1635" t="e">
        <f>IF(E49&lt;G49,G49/E49-1,E49/G49-1)</f>
        <v>#DIV/0!</v>
      </c>
      <c r="F54" s="1636" t="e">
        <f>IF(OR(E54&gt;=0.2,E54&lt;=-0.2),"超过20%","")</f>
        <v>#DIV/0!</v>
      </c>
      <c r="G54" s="1635" t="e">
        <f>IF(G49&lt;I49,I49/G49-1,G49/I49-1)</f>
        <v>#DIV/0!</v>
      </c>
      <c r="H54" s="1636" t="e">
        <f>IF(OR(G54&gt;=0.2,G54&lt;=-0.2),"超过20%","")</f>
        <v>#DIV/0!</v>
      </c>
      <c r="I54" s="1635" t="e">
        <f>IF(I49&lt;E49,E49/I49-1,I49/E49-1)</f>
        <v>#DIV/0!</v>
      </c>
      <c r="J54" s="1636" t="e">
        <f>IF(OR(I54&gt;=0.2,I54&lt;=-0.2),"超过20%","")</f>
        <v>#DIV/0!</v>
      </c>
    </row>
    <row r="55" spans="1:29" s="1640" customFormat="1" ht="13.5" customHeight="1">
      <c r="C55" s="376" t="s">
        <v>2136</v>
      </c>
      <c r="D55" s="1637"/>
      <c r="E55" s="1635" t="e">
        <f>IF(E48&lt;G48,G48/E48-1,E48/G48-1)</f>
        <v>#DIV/0!</v>
      </c>
      <c r="F55" s="1636" t="e">
        <f>IF(OR(E55&gt;=0.3,E55&lt;=-0.3),"超过30%","")</f>
        <v>#DIV/0!</v>
      </c>
      <c r="G55" s="1635" t="e">
        <f>IF(G48&lt;I48,I48/G48-1,G48/I48-1)</f>
        <v>#DIV/0!</v>
      </c>
      <c r="H55" s="1636" t="e">
        <f>IF(OR(G55&gt;=0.3,G55&lt;=-0.3),"超过30%","")</f>
        <v>#DIV/0!</v>
      </c>
      <c r="I55" s="1635" t="e">
        <f>IF(I48&lt;E48,E48/I48-1,I48/E48-1)</f>
        <v>#DIV/0!</v>
      </c>
      <c r="J55" s="1636" t="e">
        <f>IF(OR(I55&gt;=0.3,I55&lt;=-0.3),"超过30%","")</f>
        <v>#DIV/0!</v>
      </c>
      <c r="K55" s="2704"/>
      <c r="L55" s="2699"/>
    </row>
    <row r="56" spans="1:29" s="1640" customFormat="1">
      <c r="B56" s="2702"/>
      <c r="C56" s="2703"/>
      <c r="K56" s="2704"/>
      <c r="L56" s="2699"/>
    </row>
    <row r="57" spans="1:29">
      <c r="B57" s="2702"/>
      <c r="C57" s="2703"/>
    </row>
    <row r="58" spans="1:29" ht="22.2"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4.4">
      <c r="A59" s="1649" t="s">
        <v>2019</v>
      </c>
      <c r="B59" s="1650"/>
      <c r="C59" s="1651" t="str">
        <f>YEAR(C7)&amp;"-"&amp;MONTH(C7)</f>
        <v>2022-11</v>
      </c>
      <c r="D59" s="1652">
        <f>EDATE(C59,-1)</f>
        <v>44835</v>
      </c>
      <c r="E59" s="1652">
        <f t="shared" ref="E59:O59" si="16">EDATE(D59,-1)</f>
        <v>44805</v>
      </c>
      <c r="F59" s="1652">
        <f t="shared" si="16"/>
        <v>44774</v>
      </c>
      <c r="G59" s="1652">
        <f t="shared" si="16"/>
        <v>44743</v>
      </c>
      <c r="H59" s="1652">
        <f t="shared" si="16"/>
        <v>44713</v>
      </c>
      <c r="I59" s="1652">
        <f t="shared" si="16"/>
        <v>44682</v>
      </c>
      <c r="J59" s="1652">
        <f t="shared" si="16"/>
        <v>44652</v>
      </c>
      <c r="K59" s="1652">
        <f t="shared" si="16"/>
        <v>44621</v>
      </c>
      <c r="L59" s="1652">
        <f t="shared" si="16"/>
        <v>44593</v>
      </c>
      <c r="M59" s="1652">
        <f t="shared" si="16"/>
        <v>44562</v>
      </c>
      <c r="N59" s="1652">
        <f t="shared" si="16"/>
        <v>44531</v>
      </c>
      <c r="O59" s="1652">
        <f t="shared" si="16"/>
        <v>44501</v>
      </c>
    </row>
    <row r="60" spans="1:29" s="1520" customFormat="1">
      <c r="A60" s="1655"/>
      <c r="B60" s="1656"/>
      <c r="C60" s="1657">
        <v>100</v>
      </c>
      <c r="D60" s="1658"/>
      <c r="E60" s="1658"/>
      <c r="F60" s="1658"/>
      <c r="G60" s="1658"/>
      <c r="H60" s="1658"/>
      <c r="I60" s="1658"/>
      <c r="J60" s="1658"/>
      <c r="K60" s="1658"/>
      <c r="L60" s="1658"/>
      <c r="M60" s="1539"/>
      <c r="N60" s="1658"/>
      <c r="O60" s="1671"/>
      <c r="P60" s="1648"/>
    </row>
    <row r="61" spans="1:29" s="1520" customFormat="1" ht="1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4.4">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4.4" thickBot="1">
      <c r="A63" s="1665"/>
      <c r="B63" s="1656"/>
      <c r="C63" s="1670">
        <v>100</v>
      </c>
      <c r="D63" s="1658"/>
      <c r="E63" s="1658"/>
      <c r="F63" s="1658"/>
      <c r="G63" s="1658"/>
      <c r="H63" s="1658"/>
      <c r="I63" s="1658"/>
      <c r="J63" s="1658"/>
      <c r="K63" s="1658"/>
      <c r="L63" s="1658"/>
      <c r="M63" s="1671"/>
      <c r="N63" s="1865"/>
      <c r="O63" s="1865"/>
      <c r="P63" s="1648"/>
      <c r="Q63" s="1648"/>
    </row>
    <row r="64" spans="1:29" ht="14.4">
      <c r="A64" s="1550" t="s">
        <v>2060</v>
      </c>
      <c r="B64" s="1672" t="s">
        <v>2025</v>
      </c>
      <c r="C64" s="1673">
        <f>C9</f>
        <v>0</v>
      </c>
      <c r="D64" s="1674"/>
      <c r="E64" s="1674"/>
      <c r="F64" s="1674"/>
      <c r="G64" s="1674"/>
      <c r="H64" s="1674"/>
      <c r="I64" s="1674"/>
      <c r="J64" s="1674"/>
      <c r="K64" s="408"/>
      <c r="L64" s="408"/>
      <c r="M64" s="1675"/>
      <c r="N64" s="2709"/>
      <c r="O64" s="2709"/>
      <c r="P64" s="1865"/>
      <c r="Q64" s="1648"/>
    </row>
    <row r="65" spans="1:17" ht="14.4" thickBot="1">
      <c r="A65" s="1535"/>
      <c r="B65" s="1678"/>
      <c r="C65" s="1679">
        <v>100</v>
      </c>
      <c r="D65" s="1679"/>
      <c r="E65" s="1679"/>
      <c r="F65" s="1679"/>
      <c r="G65" s="1679"/>
      <c r="H65" s="1679"/>
      <c r="I65" s="1679"/>
      <c r="J65" s="1679"/>
      <c r="K65" s="1679"/>
      <c r="L65" s="1679"/>
      <c r="M65" s="1680"/>
      <c r="N65" s="2248"/>
      <c r="O65" s="2248"/>
      <c r="P65" s="1865"/>
      <c r="Q65" s="1648"/>
    </row>
    <row r="66" spans="1:17" ht="29.4"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4.4"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 thickTop="1">
      <c r="A68" s="1535"/>
      <c r="B68" s="1688" t="s">
        <v>2029</v>
      </c>
      <c r="C68" s="1689" t="str">
        <f>C69&amp;"（含）"&amp;"-"&amp;D69</f>
        <v>（含）-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c r="A69" s="1535"/>
      <c r="B69" s="1690"/>
      <c r="C69" s="1691"/>
      <c r="D69" s="1691"/>
      <c r="E69" s="1691"/>
      <c r="F69" s="1691"/>
      <c r="G69" s="1691"/>
      <c r="H69" s="1691"/>
      <c r="I69" s="1691"/>
      <c r="J69" s="1691"/>
      <c r="K69" s="428"/>
      <c r="L69" s="428"/>
      <c r="M69" s="1692"/>
      <c r="N69" s="2709"/>
      <c r="O69" s="2709"/>
      <c r="P69" s="1865"/>
      <c r="Q69" s="1648"/>
    </row>
    <row r="70" spans="1:17" ht="14.4"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4.4"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4.4" thickBot="1">
      <c r="A72" s="1693"/>
      <c r="B72" s="1685"/>
      <c r="C72" s="1698"/>
      <c r="D72" s="1679"/>
      <c r="E72" s="1679"/>
      <c r="F72" s="1679"/>
      <c r="G72" s="1679"/>
      <c r="H72" s="1679"/>
      <c r="I72" s="1679"/>
      <c r="J72" s="1679"/>
      <c r="K72" s="1679"/>
      <c r="L72" s="1679"/>
      <c r="M72" s="1680"/>
      <c r="N72" s="2248"/>
      <c r="O72" s="2248"/>
      <c r="P72" s="1866"/>
      <c r="Q72" s="1697"/>
    </row>
    <row r="73" spans="1:17" s="1601" customFormat="1" ht="14.4" thickTop="1">
      <c r="A73" s="1693"/>
      <c r="B73" s="1682">
        <f>B13</f>
        <v>111</v>
      </c>
      <c r="C73" s="456"/>
      <c r="D73" s="456"/>
      <c r="E73" s="456"/>
      <c r="F73" s="456"/>
      <c r="G73" s="456"/>
      <c r="H73" s="433"/>
      <c r="I73" s="433"/>
      <c r="J73" s="433"/>
      <c r="K73" s="433"/>
      <c r="L73" s="433"/>
      <c r="M73" s="1694"/>
      <c r="N73" s="1866"/>
      <c r="O73" s="1866"/>
      <c r="Q73" s="1700"/>
    </row>
    <row r="74" spans="1:17" s="1601" customFormat="1" ht="14.4" thickBot="1">
      <c r="A74" s="1693"/>
      <c r="B74" s="1685"/>
      <c r="C74" s="1698"/>
      <c r="D74" s="1698"/>
      <c r="E74" s="1698"/>
      <c r="F74" s="1698"/>
      <c r="G74" s="1698"/>
      <c r="H74" s="1701"/>
      <c r="I74" s="1701"/>
      <c r="J74" s="1701"/>
      <c r="K74" s="1701"/>
      <c r="L74" s="1701"/>
      <c r="M74" s="1702"/>
      <c r="N74" s="1866"/>
      <c r="O74" s="1866"/>
      <c r="P74" s="1866"/>
      <c r="Q74" s="1697"/>
    </row>
    <row r="75" spans="1:17" s="1601" customFormat="1" ht="14.4"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4.4" thickBot="1">
      <c r="A76" s="1704"/>
      <c r="B76" s="1705"/>
      <c r="C76" s="1706"/>
      <c r="D76" s="1706"/>
      <c r="E76" s="1706"/>
      <c r="F76" s="1706"/>
      <c r="G76" s="1706"/>
      <c r="H76" s="1707"/>
      <c r="I76" s="1707"/>
      <c r="J76" s="1707"/>
      <c r="K76" s="1707"/>
      <c r="L76" s="1707"/>
      <c r="M76" s="1708"/>
      <c r="N76" s="1866"/>
      <c r="O76" s="1866"/>
      <c r="P76" s="1866"/>
      <c r="Q76" s="1697"/>
    </row>
    <row r="77" spans="1:17" ht="14.4">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4.4"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4.4"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4.4"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4.4"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4.4"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9.4" thickTop="1">
      <c r="A87" s="1538"/>
      <c r="B87" s="1682" t="s">
        <v>2158</v>
      </c>
      <c r="C87" s="456"/>
      <c r="D87" s="456"/>
      <c r="E87" s="456"/>
      <c r="F87" s="456"/>
      <c r="G87" s="456"/>
      <c r="H87" s="456"/>
      <c r="I87" s="456"/>
      <c r="J87" s="456"/>
      <c r="K87" s="456"/>
      <c r="L87" s="456"/>
      <c r="M87" s="1713"/>
      <c r="N87" s="1865"/>
      <c r="O87" s="1865"/>
      <c r="P87" s="1865"/>
      <c r="Q87" s="1648"/>
    </row>
    <row r="88" spans="1:17" s="1520" customFormat="1" ht="14.4"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4.4" thickTop="1">
      <c r="A89" s="1538"/>
      <c r="B89" s="1682" t="str">
        <f>B27</f>
        <v>楼层</v>
      </c>
      <c r="C89" s="456"/>
      <c r="D89" s="456"/>
      <c r="E89" s="456"/>
      <c r="F89" s="1715"/>
      <c r="G89" s="456"/>
      <c r="H89" s="456"/>
      <c r="I89" s="456"/>
      <c r="J89" s="456"/>
      <c r="K89" s="456"/>
      <c r="L89" s="456"/>
      <c r="M89" s="1713"/>
      <c r="N89" s="1865"/>
      <c r="O89" s="1865"/>
      <c r="P89" s="1865"/>
      <c r="Q89" s="1648"/>
    </row>
    <row r="90" spans="1:17" s="1520" customFormat="1" ht="14.4"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4.4"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4.4"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4.4" thickTop="1">
      <c r="A93" s="1535"/>
      <c r="B93" s="1682">
        <f>B29</f>
        <v>111</v>
      </c>
      <c r="C93" s="456"/>
      <c r="D93" s="456"/>
      <c r="E93" s="456"/>
      <c r="F93" s="456"/>
      <c r="G93" s="456"/>
      <c r="H93" s="456"/>
      <c r="I93" s="456"/>
      <c r="J93" s="456"/>
      <c r="K93" s="456"/>
      <c r="L93" s="456"/>
      <c r="M93" s="1713"/>
      <c r="N93" s="2709"/>
      <c r="O93" s="2709"/>
      <c r="P93" s="1865"/>
      <c r="Q93" s="1648"/>
    </row>
    <row r="94" spans="1:17" ht="14.4" thickBot="1">
      <c r="A94" s="1535"/>
      <c r="B94" s="1685"/>
      <c r="C94" s="1698"/>
      <c r="D94" s="1679"/>
      <c r="E94" s="1679"/>
      <c r="F94" s="1679"/>
      <c r="G94" s="1679"/>
      <c r="H94" s="1679"/>
      <c r="I94" s="1679"/>
      <c r="J94" s="1679"/>
      <c r="K94" s="1679"/>
      <c r="L94" s="1679"/>
      <c r="M94" s="1680"/>
      <c r="N94" s="2248"/>
      <c r="O94" s="2248"/>
      <c r="P94" s="1865"/>
      <c r="Q94" s="1648"/>
    </row>
    <row r="95" spans="1:17" ht="14.4" thickTop="1">
      <c r="A95" s="1535"/>
      <c r="B95" s="1682">
        <f>B30</f>
        <v>111</v>
      </c>
      <c r="C95" s="456"/>
      <c r="D95" s="456"/>
      <c r="E95" s="456"/>
      <c r="F95" s="456"/>
      <c r="G95" s="1417"/>
      <c r="H95" s="1417"/>
      <c r="I95" s="1417"/>
      <c r="J95" s="1417"/>
      <c r="K95" s="461"/>
      <c r="L95" s="461"/>
      <c r="M95" s="1716"/>
      <c r="N95" s="2709"/>
      <c r="O95" s="2709"/>
      <c r="P95" s="1865"/>
      <c r="Q95" s="1648"/>
    </row>
    <row r="96" spans="1:17" ht="14.4" thickBot="1">
      <c r="A96" s="1535"/>
      <c r="B96" s="1685"/>
      <c r="C96" s="1698"/>
      <c r="D96" s="1698"/>
      <c r="E96" s="1698"/>
      <c r="F96" s="1698"/>
      <c r="G96" s="1679"/>
      <c r="H96" s="1679"/>
      <c r="I96" s="1679"/>
      <c r="J96" s="1679"/>
      <c r="K96" s="1679"/>
      <c r="L96" s="1679"/>
      <c r="M96" s="1680"/>
      <c r="N96" s="2248"/>
      <c r="O96" s="2248"/>
      <c r="P96" s="1865"/>
      <c r="Q96" s="1648"/>
    </row>
    <row r="97" spans="1:17" ht="14.4" thickTop="1">
      <c r="A97" s="1535"/>
      <c r="B97" s="1682">
        <f>B31</f>
        <v>111</v>
      </c>
      <c r="C97" s="456"/>
      <c r="D97" s="456"/>
      <c r="E97" s="456"/>
      <c r="F97" s="456"/>
      <c r="G97" s="1417"/>
      <c r="H97" s="1417"/>
      <c r="I97" s="1417"/>
      <c r="J97" s="1417"/>
      <c r="K97" s="461"/>
      <c r="L97" s="461"/>
      <c r="M97" s="1716"/>
      <c r="N97" s="2709"/>
      <c r="O97" s="2709"/>
      <c r="P97" s="1865"/>
      <c r="Q97" s="1648"/>
    </row>
    <row r="98" spans="1:17" ht="14.4" thickBot="1">
      <c r="A98" s="1535"/>
      <c r="B98" s="1685"/>
      <c r="C98" s="1698"/>
      <c r="D98" s="1679"/>
      <c r="E98" s="1679"/>
      <c r="F98" s="1679"/>
      <c r="G98" s="1679"/>
      <c r="H98" s="1679"/>
      <c r="I98" s="1679"/>
      <c r="J98" s="1679"/>
      <c r="K98" s="1679"/>
      <c r="L98" s="1679"/>
      <c r="M98" s="1680"/>
      <c r="N98" s="2248"/>
      <c r="O98" s="2248"/>
      <c r="P98" s="1865"/>
      <c r="Q98" s="1648"/>
    </row>
    <row r="99" spans="1:17" ht="14.4" thickTop="1">
      <c r="A99" s="1535"/>
      <c r="B99" s="1688">
        <f>B32</f>
        <v>111</v>
      </c>
      <c r="C99" s="401"/>
      <c r="D99" s="401"/>
      <c r="E99" s="401"/>
      <c r="F99" s="401"/>
      <c r="G99" s="1717"/>
      <c r="H99" s="1717"/>
      <c r="I99" s="1717"/>
      <c r="J99" s="1717"/>
      <c r="K99" s="465"/>
      <c r="L99" s="465"/>
      <c r="M99" s="1718"/>
      <c r="N99" s="2709"/>
      <c r="O99" s="2709"/>
      <c r="P99" s="1865"/>
      <c r="Q99" s="1648"/>
    </row>
    <row r="100" spans="1:17" ht="14.4" thickBot="1">
      <c r="A100" s="1545"/>
      <c r="B100" s="1705"/>
      <c r="C100" s="1706"/>
      <c r="D100" s="1706"/>
      <c r="E100" s="1706"/>
      <c r="F100" s="1706"/>
      <c r="G100" s="1719"/>
      <c r="H100" s="1719"/>
      <c r="I100" s="1719"/>
      <c r="J100" s="1719"/>
      <c r="K100" s="1719"/>
      <c r="L100" s="1719"/>
      <c r="M100" s="1720"/>
      <c r="N100" s="2248"/>
      <c r="O100" s="2248"/>
      <c r="P100" s="1865"/>
      <c r="Q100" s="1648"/>
    </row>
    <row r="101" spans="1:17" ht="14.4">
      <c r="A101" s="1550" t="s">
        <v>2035</v>
      </c>
      <c r="B101" s="1672" t="s">
        <v>2084</v>
      </c>
      <c r="C101" s="1674"/>
      <c r="D101" s="1674"/>
      <c r="E101" s="1674"/>
      <c r="F101" s="1674"/>
      <c r="G101" s="1674"/>
      <c r="H101" s="1674"/>
      <c r="I101" s="1674"/>
      <c r="J101" s="1674"/>
      <c r="K101" s="408"/>
      <c r="L101" s="408"/>
      <c r="M101" s="1675"/>
      <c r="N101" s="2709"/>
      <c r="O101" s="2709"/>
      <c r="P101" s="1865"/>
      <c r="Q101" s="1648"/>
    </row>
    <row r="102" spans="1:17" ht="14.4"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15" thickTop="1">
      <c r="A103" s="1535"/>
      <c r="B103" s="1682"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c r="D104" s="1722"/>
      <c r="E104" s="1722"/>
      <c r="F104" s="1722"/>
      <c r="G104" s="1722"/>
      <c r="H104" s="1722"/>
      <c r="I104" s="1722"/>
      <c r="J104" s="472"/>
      <c r="K104" s="472"/>
      <c r="L104" s="472"/>
      <c r="M104" s="1723"/>
      <c r="N104" s="1866"/>
      <c r="O104" s="1866"/>
      <c r="P104" s="1866"/>
      <c r="Q104" s="1697"/>
    </row>
    <row r="105" spans="1:17" s="1601" customFormat="1" ht="14.4" thickBot="1">
      <c r="A105" s="1693"/>
      <c r="B105" s="1685"/>
      <c r="C105" s="1698"/>
      <c r="D105" s="1679"/>
      <c r="E105" s="1679"/>
      <c r="F105" s="1679"/>
      <c r="G105" s="1679"/>
      <c r="H105" s="1679"/>
      <c r="I105" s="1679"/>
      <c r="J105" s="1679"/>
      <c r="K105" s="1679"/>
      <c r="L105" s="1679"/>
      <c r="M105" s="1680"/>
      <c r="N105" s="2248"/>
      <c r="O105" s="2248"/>
      <c r="P105" s="1866"/>
      <c r="Q105" s="1697"/>
    </row>
    <row r="106" spans="1:17" ht="15" thickTop="1">
      <c r="A106" s="1602"/>
      <c r="B106" s="1682" t="s">
        <v>2086</v>
      </c>
      <c r="C106" s="456"/>
      <c r="D106" s="456"/>
      <c r="E106" s="1417"/>
      <c r="F106" s="1417"/>
      <c r="G106" s="1417"/>
      <c r="H106" s="1417"/>
      <c r="I106" s="1417"/>
      <c r="J106" s="1417"/>
      <c r="K106" s="461"/>
      <c r="L106" s="461"/>
      <c r="M106" s="1716"/>
      <c r="N106" s="2709"/>
      <c r="O106" s="2709"/>
      <c r="P106" s="1865"/>
      <c r="Q106" s="1648"/>
    </row>
    <row r="107" spans="1:17" ht="14.4"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456"/>
      <c r="D108" s="456"/>
      <c r="E108" s="456"/>
      <c r="F108" s="1417"/>
      <c r="G108" s="1417"/>
      <c r="H108" s="1417"/>
      <c r="I108" s="1417"/>
      <c r="J108" s="1417"/>
      <c r="K108" s="461"/>
      <c r="L108" s="461"/>
      <c r="M108" s="1716"/>
      <c r="N108" s="2709"/>
      <c r="O108" s="2709"/>
      <c r="P108" s="1865"/>
      <c r="Q108" s="1648"/>
    </row>
    <row r="109" spans="1:17" ht="14.4"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4.4"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4.4"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4.4"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456"/>
      <c r="D117" s="456"/>
      <c r="E117" s="456"/>
      <c r="F117" s="456"/>
      <c r="G117" s="456"/>
      <c r="H117" s="1417"/>
      <c r="I117" s="1417"/>
      <c r="J117" s="1417"/>
      <c r="K117" s="461"/>
      <c r="L117" s="461"/>
      <c r="M117" s="1716"/>
      <c r="N117" s="2709"/>
      <c r="O117" s="2709"/>
      <c r="P117" s="1865"/>
      <c r="Q117" s="1648"/>
    </row>
    <row r="118" spans="1:17" ht="14.4"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1417"/>
      <c r="D119" s="1417"/>
      <c r="E119" s="1417"/>
      <c r="F119" s="1417"/>
      <c r="G119" s="1417"/>
      <c r="H119" s="1417"/>
      <c r="I119" s="1417"/>
      <c r="J119" s="1417"/>
      <c r="K119" s="1417"/>
      <c r="L119" s="1417"/>
      <c r="M119" s="2247"/>
      <c r="N119" s="2248"/>
      <c r="O119" s="2248"/>
      <c r="P119" s="2248"/>
      <c r="Q119" s="2249"/>
    </row>
    <row r="120" spans="1:17" ht="14.4"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4.4"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456"/>
      <c r="D123" s="456"/>
      <c r="E123" s="456"/>
      <c r="F123" s="1417"/>
      <c r="G123" s="1417"/>
      <c r="H123" s="1417"/>
      <c r="I123" s="1417"/>
      <c r="J123" s="1417"/>
      <c r="K123" s="461"/>
      <c r="L123" s="461"/>
      <c r="M123" s="1716"/>
      <c r="N123" s="2709"/>
      <c r="O123" s="2709"/>
      <c r="P123" s="1865"/>
      <c r="Q123" s="1648"/>
    </row>
    <row r="124" spans="1:17" ht="14.4"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29.4"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4.4"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4.4"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4.4" thickBot="1">
      <c r="A128" s="1693"/>
      <c r="B128" s="1685"/>
      <c r="C128" s="1698"/>
      <c r="D128" s="1679"/>
      <c r="E128" s="1679"/>
      <c r="F128" s="1679"/>
      <c r="G128" s="1698"/>
      <c r="H128" s="1701"/>
      <c r="I128" s="1701"/>
      <c r="J128" s="1701"/>
      <c r="K128" s="1701"/>
      <c r="L128" s="1701"/>
      <c r="M128" s="1702"/>
      <c r="N128" s="1866"/>
      <c r="O128" s="1866"/>
      <c r="P128" s="1866"/>
      <c r="Q128" s="1697"/>
    </row>
    <row r="129" spans="1:17" ht="14.4"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4.4" thickBot="1">
      <c r="A130" s="1535"/>
      <c r="B130" s="1685"/>
      <c r="C130" s="1698"/>
      <c r="D130" s="1698"/>
      <c r="E130" s="1698"/>
      <c r="F130" s="1698"/>
      <c r="G130" s="1679"/>
      <c r="H130" s="1679"/>
      <c r="I130" s="1679"/>
      <c r="J130" s="1679"/>
      <c r="K130" s="1679"/>
      <c r="L130" s="1679"/>
      <c r="M130" s="1680"/>
      <c r="N130" s="2248"/>
      <c r="O130" s="2248"/>
      <c r="P130" s="1865"/>
      <c r="Q130" s="1648"/>
    </row>
    <row r="131" spans="1:17" ht="14.4"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4.4"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2562.92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44886</v>
      </c>
      <c r="D7" s="300">
        <v>100</v>
      </c>
      <c r="E7" s="301"/>
      <c r="F7" s="302">
        <f>SUMIF(52:52,YEAR(E7)&amp;"-"&amp;MONTH(E7),53:53)</f>
        <v>0</v>
      </c>
      <c r="G7" s="301"/>
      <c r="H7" s="300">
        <f>SUMIF(52:52,YEAR(G7)&amp;"-"&amp;MONTH(G7),53:53)</f>
        <v>0</v>
      </c>
      <c r="I7" s="301"/>
      <c r="J7" s="300">
        <f>SUMIF(52:52,YEAR(I7)&amp;"-"&amp;MONTH(I7),53:53)</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399"/>
      <c r="Q16" s="636"/>
      <c r="R16" s="604"/>
      <c r="S16" s="605"/>
      <c r="T16" s="604"/>
      <c r="U16" s="605"/>
      <c r="V16" s="604"/>
      <c r="W16" s="605"/>
      <c r="X16" s="1202"/>
      <c r="Y16" s="3399"/>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399"/>
      <c r="Q18" s="636"/>
      <c r="R18" s="604"/>
      <c r="S18" s="605"/>
      <c r="T18" s="604"/>
      <c r="U18" s="605"/>
      <c r="V18" s="604"/>
      <c r="W18" s="605"/>
      <c r="X18" s="1202"/>
      <c r="Y18" s="3399"/>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399"/>
      <c r="Q19" s="636" t="str">
        <f>B19</f>
        <v>公共配套设施</v>
      </c>
      <c r="R19" s="604" t="s">
        <v>25</v>
      </c>
      <c r="S19" s="605">
        <f>F19</f>
        <v>100</v>
      </c>
      <c r="T19" s="604" t="s">
        <v>25</v>
      </c>
      <c r="U19" s="605">
        <f>H19</f>
        <v>100</v>
      </c>
      <c r="V19" s="604" t="s">
        <v>25</v>
      </c>
      <c r="W19" s="605">
        <f>J19</f>
        <v>100</v>
      </c>
      <c r="X19" s="1202"/>
      <c r="Y19" s="3399"/>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399"/>
      <c r="Q20" s="636"/>
      <c r="R20" s="604"/>
      <c r="S20" s="605"/>
      <c r="T20" s="604"/>
      <c r="U20" s="605"/>
      <c r="V20" s="604"/>
      <c r="W20" s="605"/>
      <c r="X20" s="1202"/>
      <c r="Y20" s="3399"/>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399"/>
      <c r="Q21" s="636" t="str">
        <f>B21</f>
        <v>基础设施水平</v>
      </c>
      <c r="R21" s="604" t="s">
        <v>25</v>
      </c>
      <c r="S21" s="605">
        <f>F21</f>
        <v>100</v>
      </c>
      <c r="T21" s="604" t="s">
        <v>25</v>
      </c>
      <c r="U21" s="605">
        <f>H21</f>
        <v>100</v>
      </c>
      <c r="V21" s="604" t="s">
        <v>25</v>
      </c>
      <c r="W21" s="605">
        <f>J21</f>
        <v>100</v>
      </c>
      <c r="X21" s="1202"/>
      <c r="Y21" s="3399"/>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399"/>
      <c r="Q22" s="636"/>
      <c r="R22" s="604"/>
      <c r="S22" s="605"/>
      <c r="T22" s="604"/>
      <c r="U22" s="605"/>
      <c r="V22" s="604"/>
      <c r="W22" s="605"/>
      <c r="X22" s="1202"/>
      <c r="Y22" s="3399"/>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399"/>
      <c r="Q23" s="636" t="str">
        <f>B23</f>
        <v>环境质量</v>
      </c>
      <c r="R23" s="604" t="s">
        <v>25</v>
      </c>
      <c r="S23" s="605">
        <f>F23</f>
        <v>100</v>
      </c>
      <c r="T23" s="604" t="s">
        <v>25</v>
      </c>
      <c r="U23" s="605">
        <f>H23</f>
        <v>100</v>
      </c>
      <c r="V23" s="604" t="s">
        <v>25</v>
      </c>
      <c r="W23" s="605">
        <f>J23</f>
        <v>100</v>
      </c>
      <c r="X23" s="1202"/>
      <c r="Y23" s="3399"/>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399"/>
      <c r="Q24" s="636"/>
      <c r="R24" s="604"/>
      <c r="S24" s="605"/>
      <c r="T24" s="604"/>
      <c r="U24" s="605"/>
      <c r="V24" s="604"/>
      <c r="W24" s="605"/>
      <c r="X24" s="1202"/>
      <c r="Y24" s="3399"/>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399"/>
      <c r="Q25" s="636">
        <f>B25</f>
        <v>111</v>
      </c>
      <c r="R25" s="604" t="s">
        <v>25</v>
      </c>
      <c r="S25" s="605">
        <f>F25</f>
        <v>100</v>
      </c>
      <c r="T25" s="604" t="s">
        <v>25</v>
      </c>
      <c r="U25" s="605">
        <f>H25</f>
        <v>100</v>
      </c>
      <c r="V25" s="604" t="s">
        <v>25</v>
      </c>
      <c r="W25" s="605">
        <f>J25</f>
        <v>100</v>
      </c>
      <c r="X25" s="1202"/>
      <c r="Y25" s="3399"/>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399"/>
      <c r="Q26" s="636">
        <f t="shared" ref="Q26:Q40" si="11">B26</f>
        <v>111</v>
      </c>
      <c r="R26" s="604" t="s">
        <v>25</v>
      </c>
      <c r="S26" s="605">
        <f>F26</f>
        <v>100</v>
      </c>
      <c r="T26" s="604" t="s">
        <v>25</v>
      </c>
      <c r="U26" s="605">
        <f>H26</f>
        <v>100</v>
      </c>
      <c r="V26" s="604" t="s">
        <v>25</v>
      </c>
      <c r="W26" s="605">
        <f>J26</f>
        <v>100</v>
      </c>
      <c r="X26" s="1202"/>
      <c r="Y26" s="3399"/>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399"/>
      <c r="Q27" s="477">
        <f t="shared" si="11"/>
        <v>111</v>
      </c>
      <c r="R27" s="601" t="s">
        <v>25</v>
      </c>
      <c r="S27" s="602">
        <f>F27</f>
        <v>100</v>
      </c>
      <c r="T27" s="601" t="s">
        <v>25</v>
      </c>
      <c r="U27" s="602">
        <f>H27</f>
        <v>100</v>
      </c>
      <c r="V27" s="601" t="s">
        <v>25</v>
      </c>
      <c r="W27" s="602">
        <f>J27</f>
        <v>100</v>
      </c>
      <c r="X27" s="603"/>
      <c r="Y27" s="3399"/>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399"/>
      <c r="Q28" s="636">
        <f t="shared" si="11"/>
        <v>111</v>
      </c>
      <c r="R28" s="604" t="s">
        <v>25</v>
      </c>
      <c r="S28" s="605">
        <f t="shared" ref="S28:S40" si="12">F28</f>
        <v>100</v>
      </c>
      <c r="T28" s="604" t="s">
        <v>25</v>
      </c>
      <c r="U28" s="605">
        <f t="shared" ref="U28:U40" si="13">H28</f>
        <v>100</v>
      </c>
      <c r="V28" s="604" t="s">
        <v>25</v>
      </c>
      <c r="W28" s="605">
        <f t="shared" ref="W28:W40" si="14">J28</f>
        <v>100</v>
      </c>
      <c r="X28" s="1202"/>
      <c r="Y28" s="3399"/>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401" t="s">
        <v>2037</v>
      </c>
      <c r="Q29" s="636" t="str">
        <f t="shared" si="11"/>
        <v>建筑类型</v>
      </c>
      <c r="R29" s="604" t="s">
        <v>25</v>
      </c>
      <c r="S29" s="605">
        <f t="shared" si="12"/>
        <v>100</v>
      </c>
      <c r="T29" s="604" t="s">
        <v>25</v>
      </c>
      <c r="U29" s="605">
        <f t="shared" si="13"/>
        <v>100</v>
      </c>
      <c r="V29" s="604" t="s">
        <v>25</v>
      </c>
      <c r="W29" s="605">
        <f t="shared" si="14"/>
        <v>100</v>
      </c>
      <c r="X29" s="1202"/>
      <c r="Y29" s="3402"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402"/>
      <c r="Q30" s="606" t="str">
        <f t="shared" si="11"/>
        <v>项目建筑规模</v>
      </c>
      <c r="R30" s="607" t="s">
        <v>25</v>
      </c>
      <c r="S30" s="608" t="e">
        <f t="shared" si="12"/>
        <v>#N/A</v>
      </c>
      <c r="T30" s="607" t="s">
        <v>25</v>
      </c>
      <c r="U30" s="608" t="e">
        <f t="shared" si="13"/>
        <v>#N/A</v>
      </c>
      <c r="V30" s="607" t="s">
        <v>25</v>
      </c>
      <c r="W30" s="608" t="e">
        <f t="shared" si="14"/>
        <v>#N/A</v>
      </c>
      <c r="X30" s="609"/>
      <c r="Y30" s="3402"/>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402"/>
      <c r="Q31" s="636" t="str">
        <f t="shared" si="11"/>
        <v>建筑结构</v>
      </c>
      <c r="R31" s="604" t="s">
        <v>25</v>
      </c>
      <c r="S31" s="605">
        <f t="shared" si="12"/>
        <v>100</v>
      </c>
      <c r="T31" s="604" t="s">
        <v>25</v>
      </c>
      <c r="U31" s="605">
        <f t="shared" si="13"/>
        <v>100</v>
      </c>
      <c r="V31" s="604" t="s">
        <v>25</v>
      </c>
      <c r="W31" s="605">
        <f t="shared" si="14"/>
        <v>100</v>
      </c>
      <c r="X31" s="1202"/>
      <c r="Y31" s="3402"/>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402"/>
      <c r="Q32" s="636" t="str">
        <f t="shared" si="11"/>
        <v>公共部分装修</v>
      </c>
      <c r="R32" s="604" t="s">
        <v>25</v>
      </c>
      <c r="S32" s="605">
        <f t="shared" si="12"/>
        <v>100</v>
      </c>
      <c r="T32" s="604" t="s">
        <v>25</v>
      </c>
      <c r="U32" s="605">
        <f t="shared" si="13"/>
        <v>100</v>
      </c>
      <c r="V32" s="604" t="s">
        <v>25</v>
      </c>
      <c r="W32" s="605">
        <f t="shared" si="14"/>
        <v>100</v>
      </c>
      <c r="X32" s="1202"/>
      <c r="Y32" s="3402"/>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402"/>
      <c r="Q33" s="636" t="str">
        <f t="shared" si="11"/>
        <v>成新度</v>
      </c>
      <c r="R33" s="604" t="s">
        <v>25</v>
      </c>
      <c r="S33" s="605" t="e">
        <f t="shared" si="12"/>
        <v>#N/A</v>
      </c>
      <c r="T33" s="604" t="s">
        <v>25</v>
      </c>
      <c r="U33" s="605" t="e">
        <f t="shared" si="13"/>
        <v>#N/A</v>
      </c>
      <c r="V33" s="604" t="s">
        <v>25</v>
      </c>
      <c r="W33" s="605" t="e">
        <f t="shared" si="14"/>
        <v>#N/A</v>
      </c>
      <c r="X33" s="1202"/>
      <c r="Y33" s="3402"/>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402"/>
      <c r="Q34" s="477" t="str">
        <f t="shared" si="11"/>
        <v>物业管理</v>
      </c>
      <c r="R34" s="601" t="s">
        <v>25</v>
      </c>
      <c r="S34" s="602">
        <f t="shared" si="12"/>
        <v>100</v>
      </c>
      <c r="T34" s="601" t="s">
        <v>25</v>
      </c>
      <c r="U34" s="602">
        <f t="shared" si="13"/>
        <v>100</v>
      </c>
      <c r="V34" s="601" t="s">
        <v>25</v>
      </c>
      <c r="W34" s="602">
        <f t="shared" si="14"/>
        <v>100</v>
      </c>
      <c r="X34" s="603"/>
      <c r="Y34" s="3402"/>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402" t="s">
        <v>2037</v>
      </c>
      <c r="Q35" s="636" t="str">
        <f t="shared" si="11"/>
        <v>市政基础设施</v>
      </c>
      <c r="R35" s="604" t="s">
        <v>25</v>
      </c>
      <c r="S35" s="605">
        <f t="shared" si="12"/>
        <v>100</v>
      </c>
      <c r="T35" s="604" t="s">
        <v>25</v>
      </c>
      <c r="U35" s="605">
        <f t="shared" si="13"/>
        <v>100</v>
      </c>
      <c r="V35" s="604" t="s">
        <v>25</v>
      </c>
      <c r="W35" s="605">
        <f t="shared" si="14"/>
        <v>100</v>
      </c>
      <c r="X35" s="1202"/>
      <c r="Y35" s="3402"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402"/>
      <c r="Q36" s="636" t="str">
        <f t="shared" si="11"/>
        <v>内部装修</v>
      </c>
      <c r="R36" s="604" t="s">
        <v>25</v>
      </c>
      <c r="S36" s="605">
        <f t="shared" si="12"/>
        <v>100</v>
      </c>
      <c r="T36" s="604" t="s">
        <v>25</v>
      </c>
      <c r="U36" s="605">
        <f t="shared" si="13"/>
        <v>100</v>
      </c>
      <c r="V36" s="604" t="s">
        <v>25</v>
      </c>
      <c r="W36" s="605">
        <f t="shared" si="14"/>
        <v>100</v>
      </c>
      <c r="X36" s="1202"/>
      <c r="Y36" s="3402"/>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402"/>
      <c r="Q37" s="636" t="str">
        <f t="shared" si="11"/>
        <v>内部装修状况</v>
      </c>
      <c r="R37" s="604" t="s">
        <v>25</v>
      </c>
      <c r="S37" s="605">
        <f t="shared" si="12"/>
        <v>100</v>
      </c>
      <c r="T37" s="604" t="s">
        <v>25</v>
      </c>
      <c r="U37" s="605">
        <f t="shared" si="13"/>
        <v>100</v>
      </c>
      <c r="V37" s="604" t="s">
        <v>25</v>
      </c>
      <c r="W37" s="605">
        <f t="shared" si="14"/>
        <v>100</v>
      </c>
      <c r="X37" s="1202"/>
      <c r="Y37" s="3402"/>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402"/>
      <c r="Q38" s="606">
        <f t="shared" si="11"/>
        <v>111</v>
      </c>
      <c r="R38" s="607" t="s">
        <v>25</v>
      </c>
      <c r="S38" s="608">
        <f t="shared" si="12"/>
        <v>100</v>
      </c>
      <c r="T38" s="607" t="s">
        <v>25</v>
      </c>
      <c r="U38" s="608">
        <f t="shared" si="13"/>
        <v>100</v>
      </c>
      <c r="V38" s="607" t="s">
        <v>25</v>
      </c>
      <c r="W38" s="608">
        <f t="shared" si="14"/>
        <v>100</v>
      </c>
      <c r="X38" s="609"/>
      <c r="Y38" s="3402"/>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402"/>
      <c r="Q39" s="636">
        <f t="shared" si="11"/>
        <v>111</v>
      </c>
      <c r="R39" s="604" t="s">
        <v>25</v>
      </c>
      <c r="S39" s="605">
        <f t="shared" si="12"/>
        <v>100</v>
      </c>
      <c r="T39" s="604" t="s">
        <v>25</v>
      </c>
      <c r="U39" s="605">
        <f t="shared" si="13"/>
        <v>100</v>
      </c>
      <c r="V39" s="604" t="s">
        <v>25</v>
      </c>
      <c r="W39" s="605">
        <f t="shared" si="14"/>
        <v>100</v>
      </c>
      <c r="X39" s="1202"/>
      <c r="Y39" s="3402"/>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403"/>
      <c r="Q40" s="636">
        <f t="shared" si="11"/>
        <v>111</v>
      </c>
      <c r="R40" s="604" t="s">
        <v>25</v>
      </c>
      <c r="S40" s="605">
        <f t="shared" si="12"/>
        <v>100</v>
      </c>
      <c r="T40" s="604" t="s">
        <v>25</v>
      </c>
      <c r="U40" s="605">
        <f t="shared" si="13"/>
        <v>100</v>
      </c>
      <c r="V40" s="604" t="s">
        <v>25</v>
      </c>
      <c r="W40" s="605">
        <f t="shared" si="14"/>
        <v>100</v>
      </c>
      <c r="X40" s="1202"/>
      <c r="Y40" s="3403"/>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5"/>
      <c r="P41" s="3370" t="str">
        <f>A41</f>
        <v>成交单价（元/平方米）</v>
      </c>
      <c r="Q41" s="3370"/>
      <c r="R41" s="3394">
        <f>E41</f>
        <v>0</v>
      </c>
      <c r="S41" s="3394"/>
      <c r="T41" s="3394">
        <f>G41</f>
        <v>0</v>
      </c>
      <c r="U41" s="3394"/>
      <c r="V41" s="3394">
        <f>I41</f>
        <v>0</v>
      </c>
      <c r="W41" s="3394"/>
      <c r="X41" s="329"/>
      <c r="Y41" s="611"/>
      <c r="Z41" s="329"/>
      <c r="AA41" s="329"/>
      <c r="AB41" s="329"/>
      <c r="AC41" s="329"/>
    </row>
    <row r="42" spans="1:29" ht="1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70" t="str">
        <f>A42</f>
        <v>比较价值（元/平方米）</v>
      </c>
      <c r="Q42" s="3370"/>
      <c r="R42" s="3394" t="e">
        <f>IF(E1="售价",ROUND(PRODUCT(R41,AA7:AA40),0),ROUND(PRODUCT(R41,AA7:AA40),1))</f>
        <v>#DIV/0!</v>
      </c>
      <c r="S42" s="3394"/>
      <c r="T42" s="3394" t="e">
        <f>IF(E1="售价",ROUND(PRODUCT(T41,AB7:AB40),0),ROUND(PRODUCT(T41,AB7:AB40),1))</f>
        <v>#DIV/0!</v>
      </c>
      <c r="U42" s="3394"/>
      <c r="V42" s="3394" t="e">
        <f>IF(E1="售价",ROUND(PRODUCT(V41,AC7:AC40),0),ROUND(PRODUCT(V41,AC7:AC40),1))</f>
        <v>#DIV/0!</v>
      </c>
      <c r="W42" s="3394"/>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5"/>
      <c r="P43" s="3404" t="str">
        <f>A43</f>
        <v>估价对象XX用房的比较价值（楼面单价，元/平方米）</v>
      </c>
      <c r="Q43" s="3405"/>
      <c r="R43" s="3406" t="e">
        <f>IF(E1="售价",ROUND(IF(D42="简单平均",AVERAGE(R42:V42),R42*F42+T42*H42+V42*J42),0),ROUND(IF(D42="简单平均",AVERAGE(R42:V42),R42*F42+T42*H42+V42*J42),1))</f>
        <v>#DIV/0!</v>
      </c>
      <c r="S43" s="3406"/>
      <c r="T43" s="3406"/>
      <c r="U43" s="3406"/>
      <c r="V43" s="3406"/>
      <c r="W43" s="3406"/>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2022-11</v>
      </c>
      <c r="D52" s="1062">
        <f>EDATE(C52,-1)</f>
        <v>44835</v>
      </c>
      <c r="E52" s="1063">
        <f t="shared" ref="E52:O52" si="16">EDATE(D52,-1)</f>
        <v>44805</v>
      </c>
      <c r="F52" s="1063">
        <f t="shared" si="16"/>
        <v>44774</v>
      </c>
      <c r="G52" s="1063">
        <f t="shared" si="16"/>
        <v>44743</v>
      </c>
      <c r="H52" s="1063">
        <f t="shared" si="16"/>
        <v>44713</v>
      </c>
      <c r="I52" s="1063">
        <f t="shared" si="16"/>
        <v>44682</v>
      </c>
      <c r="J52" s="1063">
        <f t="shared" si="16"/>
        <v>44652</v>
      </c>
      <c r="K52" s="1063">
        <f t="shared" si="16"/>
        <v>44621</v>
      </c>
      <c r="L52" s="1063">
        <f t="shared" si="16"/>
        <v>44593</v>
      </c>
      <c r="M52" s="1063">
        <f t="shared" si="16"/>
        <v>44562</v>
      </c>
      <c r="N52" s="1063">
        <f t="shared" si="16"/>
        <v>44531</v>
      </c>
      <c r="O52" s="1063">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2562.92</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44886</v>
      </c>
      <c r="D7" s="300">
        <v>100</v>
      </c>
      <c r="E7" s="301"/>
      <c r="F7" s="302">
        <f>SUMIF(48:48,YEAR(E7)&amp;"-"&amp;MONTH(E7),49:49)</f>
        <v>0</v>
      </c>
      <c r="G7" s="301"/>
      <c r="H7" s="300">
        <f>SUMIF(48:48,YEAR(G7)&amp;"-"&amp;MONTH(G7),49:49)</f>
        <v>0</v>
      </c>
      <c r="I7" s="301"/>
      <c r="J7" s="300">
        <f>SUMIF(48:48,YEAR(I7)&amp;"-"&amp;MONTH(I7),49:49)</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399"/>
      <c r="Q24" s="636">
        <f t="shared" ref="Q24:Q36"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401"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02"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402"/>
      <c r="Q27" s="606" t="str">
        <f t="shared" si="11"/>
        <v>项目停车位配比</v>
      </c>
      <c r="R27" s="607" t="s">
        <v>25</v>
      </c>
      <c r="S27" s="608">
        <f t="shared" si="12"/>
        <v>100</v>
      </c>
      <c r="T27" s="607" t="s">
        <v>25</v>
      </c>
      <c r="U27" s="608">
        <f t="shared" si="13"/>
        <v>100</v>
      </c>
      <c r="V27" s="607" t="s">
        <v>25</v>
      </c>
      <c r="W27" s="608">
        <f t="shared" si="14"/>
        <v>100</v>
      </c>
      <c r="X27" s="609"/>
      <c r="Y27" s="3402"/>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402"/>
      <c r="Q28" s="636" t="str">
        <f t="shared" si="11"/>
        <v>公共部分装修</v>
      </c>
      <c r="R28" s="604" t="s">
        <v>25</v>
      </c>
      <c r="S28" s="605">
        <f t="shared" si="12"/>
        <v>100</v>
      </c>
      <c r="T28" s="604" t="s">
        <v>25</v>
      </c>
      <c r="U28" s="605">
        <f t="shared" si="13"/>
        <v>100</v>
      </c>
      <c r="V28" s="604" t="s">
        <v>25</v>
      </c>
      <c r="W28" s="605">
        <f t="shared" si="14"/>
        <v>100</v>
      </c>
      <c r="X28" s="1202"/>
      <c r="Y28" s="3402"/>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402"/>
      <c r="Q29" s="636" t="str">
        <f t="shared" si="11"/>
        <v>成新率</v>
      </c>
      <c r="R29" s="604" t="s">
        <v>25</v>
      </c>
      <c r="S29" s="605" t="e">
        <f t="shared" si="12"/>
        <v>#N/A</v>
      </c>
      <c r="T29" s="604" t="s">
        <v>25</v>
      </c>
      <c r="U29" s="605" t="e">
        <f t="shared" si="13"/>
        <v>#N/A</v>
      </c>
      <c r="V29" s="604" t="s">
        <v>25</v>
      </c>
      <c r="W29" s="605" t="e">
        <f t="shared" si="14"/>
        <v>#N/A</v>
      </c>
      <c r="X29" s="1202"/>
      <c r="Y29" s="3402"/>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402"/>
      <c r="Q30" s="636" t="str">
        <f t="shared" si="11"/>
        <v>物业等级</v>
      </c>
      <c r="R30" s="604" t="s">
        <v>25</v>
      </c>
      <c r="S30" s="605">
        <f t="shared" si="12"/>
        <v>100</v>
      </c>
      <c r="T30" s="604" t="s">
        <v>25</v>
      </c>
      <c r="U30" s="605">
        <f t="shared" si="13"/>
        <v>100</v>
      </c>
      <c r="V30" s="604" t="s">
        <v>25</v>
      </c>
      <c r="W30" s="605">
        <f t="shared" si="14"/>
        <v>100</v>
      </c>
      <c r="X30" s="1202"/>
      <c r="Y30" s="3402"/>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402"/>
      <c r="Q31" s="477" t="str">
        <f t="shared" si="11"/>
        <v>停车位面积</v>
      </c>
      <c r="R31" s="601" t="s">
        <v>25</v>
      </c>
      <c r="S31" s="602" t="e">
        <f t="shared" si="12"/>
        <v>#N/A</v>
      </c>
      <c r="T31" s="601" t="s">
        <v>25</v>
      </c>
      <c r="U31" s="602" t="e">
        <f t="shared" si="13"/>
        <v>#N/A</v>
      </c>
      <c r="V31" s="601" t="s">
        <v>25</v>
      </c>
      <c r="W31" s="602" t="e">
        <f t="shared" si="14"/>
        <v>#N/A</v>
      </c>
      <c r="X31" s="603"/>
      <c r="Y31" s="3402"/>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402" t="s">
        <v>2037</v>
      </c>
      <c r="Q32" s="636" t="str">
        <f t="shared" si="11"/>
        <v>车位类型</v>
      </c>
      <c r="R32" s="604" t="s">
        <v>25</v>
      </c>
      <c r="S32" s="605">
        <f t="shared" si="12"/>
        <v>100</v>
      </c>
      <c r="T32" s="604" t="s">
        <v>25</v>
      </c>
      <c r="U32" s="605">
        <f t="shared" si="13"/>
        <v>100</v>
      </c>
      <c r="V32" s="604" t="s">
        <v>25</v>
      </c>
      <c r="W32" s="605">
        <f t="shared" si="14"/>
        <v>100</v>
      </c>
      <c r="X32" s="1202"/>
      <c r="Y32" s="3402"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402"/>
      <c r="Q33" s="636" t="str">
        <f t="shared" si="11"/>
        <v>是否直接入户</v>
      </c>
      <c r="R33" s="604" t="s">
        <v>25</v>
      </c>
      <c r="S33" s="605">
        <f t="shared" si="12"/>
        <v>100</v>
      </c>
      <c r="T33" s="604" t="s">
        <v>25</v>
      </c>
      <c r="U33" s="605">
        <f t="shared" si="13"/>
        <v>100</v>
      </c>
      <c r="V33" s="604" t="s">
        <v>25</v>
      </c>
      <c r="W33" s="605">
        <f t="shared" si="14"/>
        <v>100</v>
      </c>
      <c r="X33" s="1202"/>
      <c r="Y33" s="3402"/>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402"/>
      <c r="Q35" s="606">
        <f t="shared" si="11"/>
        <v>111</v>
      </c>
      <c r="R35" s="607" t="s">
        <v>25</v>
      </c>
      <c r="S35" s="608">
        <f t="shared" si="12"/>
        <v>100</v>
      </c>
      <c r="T35" s="607" t="s">
        <v>25</v>
      </c>
      <c r="U35" s="608">
        <f t="shared" si="13"/>
        <v>100</v>
      </c>
      <c r="V35" s="607" t="s">
        <v>25</v>
      </c>
      <c r="W35" s="608">
        <f t="shared" si="14"/>
        <v>100</v>
      </c>
      <c r="X35" s="609"/>
      <c r="Y35" s="3402"/>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402"/>
      <c r="Q36" s="636">
        <f t="shared" si="11"/>
        <v>111</v>
      </c>
      <c r="R36" s="604" t="s">
        <v>25</v>
      </c>
      <c r="S36" s="605">
        <f t="shared" si="12"/>
        <v>100</v>
      </c>
      <c r="T36" s="604" t="s">
        <v>25</v>
      </c>
      <c r="U36" s="605">
        <f t="shared" si="13"/>
        <v>100</v>
      </c>
      <c r="V36" s="604" t="s">
        <v>25</v>
      </c>
      <c r="W36" s="605">
        <f t="shared" si="14"/>
        <v>100</v>
      </c>
      <c r="X36" s="1202"/>
      <c r="Y36" s="3402"/>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5"/>
      <c r="P37" s="3370" t="str">
        <f>A37</f>
        <v>成交单价</v>
      </c>
      <c r="Q37" s="3370"/>
      <c r="R37" s="3394">
        <f>E37</f>
        <v>0</v>
      </c>
      <c r="S37" s="3394"/>
      <c r="T37" s="3394">
        <f>G37</f>
        <v>0</v>
      </c>
      <c r="U37" s="3394"/>
      <c r="V37" s="3394">
        <f>I37</f>
        <v>0</v>
      </c>
      <c r="W37" s="3394"/>
      <c r="X37" s="329"/>
      <c r="Y37" s="611"/>
      <c r="Z37" s="329"/>
      <c r="AA37" s="329"/>
      <c r="AB37" s="329"/>
      <c r="AC37" s="329"/>
    </row>
    <row r="38" spans="1:29" ht="1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70" t="str">
        <f>A38</f>
        <v>比较价值</v>
      </c>
      <c r="Q38" s="3370"/>
      <c r="R38" s="3394" t="e">
        <f>IF(E1="售价",ROUND(PRODUCT(R37,AA7:AA36),0),ROUND(PRODUCT(R37,AA7:AA36),1))</f>
        <v>#DIV/0!</v>
      </c>
      <c r="S38" s="3394"/>
      <c r="T38" s="3394" t="e">
        <f>IF(E1="售价",ROUND(PRODUCT(T37,AB7:AB36),0),ROUND(PRODUCT(T37,AB7:AB36),1))</f>
        <v>#DIV/0!</v>
      </c>
      <c r="U38" s="3394"/>
      <c r="V38" s="3394" t="e">
        <f>IF(E1="售价",ROUND(PRODUCT(V37,AC7:AC36),0),ROUND(PRODUCT(V37,AC7:AC36),1))</f>
        <v>#DIV/0!</v>
      </c>
      <c r="W38" s="3394"/>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5"/>
      <c r="P39" s="3404" t="str">
        <f>A39</f>
        <v>估价对象XX用房的比较价值（楼面单价，元/平方米）</v>
      </c>
      <c r="Q39" s="3405"/>
      <c r="R39" s="3406" t="e">
        <f>IF(E1="售价",ROUND(IF(D38="简单平均",AVERAGE(R38:W38),R38*F38+T38*H38+V38*J38),0),ROUND(IF(D38="简单平均",AVERAGE(R38:V38),R38*F38+T38*H38+V38*J38),1))</f>
        <v>#DIV/0!</v>
      </c>
      <c r="S39" s="3406"/>
      <c r="T39" s="3406"/>
      <c r="U39" s="3406"/>
      <c r="V39" s="3406"/>
      <c r="W39" s="3406"/>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2022-11</v>
      </c>
      <c r="D48" s="1062">
        <f>EDATE(C48,-1)</f>
        <v>44835</v>
      </c>
      <c r="E48" s="1062">
        <f t="shared" ref="E48:O48" si="16">EDATE(D48,-1)</f>
        <v>44805</v>
      </c>
      <c r="F48" s="1062">
        <f t="shared" si="16"/>
        <v>44774</v>
      </c>
      <c r="G48" s="1062">
        <f t="shared" si="16"/>
        <v>44743</v>
      </c>
      <c r="H48" s="1062">
        <f t="shared" si="16"/>
        <v>44713</v>
      </c>
      <c r="I48" s="1062">
        <f t="shared" si="16"/>
        <v>44682</v>
      </c>
      <c r="J48" s="1062">
        <f t="shared" si="16"/>
        <v>44652</v>
      </c>
      <c r="K48" s="1062">
        <f t="shared" si="16"/>
        <v>44621</v>
      </c>
      <c r="L48" s="1062">
        <f t="shared" si="16"/>
        <v>44593</v>
      </c>
      <c r="M48" s="1062">
        <f t="shared" si="16"/>
        <v>44562</v>
      </c>
      <c r="N48" s="1062">
        <f t="shared" si="16"/>
        <v>44531</v>
      </c>
      <c r="O48" s="1062">
        <f t="shared" si="16"/>
        <v>44501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2562.92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44886</v>
      </c>
      <c r="D7" s="300">
        <v>100</v>
      </c>
      <c r="E7" s="1414"/>
      <c r="F7" s="300">
        <f>SUMIF(46:46,YEAR(E7)&amp;"-"&amp;MONTH(E7),47:47)</f>
        <v>0</v>
      </c>
      <c r="G7" s="301"/>
      <c r="H7" s="300">
        <f>SUMIF(46:46,YEAR(G7)&amp;"-"&amp;MONTH(G7),47:47)</f>
        <v>0</v>
      </c>
      <c r="I7" s="301"/>
      <c r="J7" s="300">
        <f>SUMIF(46:46,YEAR(I7)&amp;"-"&amp;MONTH(I7),47:47)</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399"/>
      <c r="Q24" s="636">
        <f t="shared" ref="Q24:Q34"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401"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02"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402"/>
      <c r="Q27" s="606" t="str">
        <f t="shared" si="11"/>
        <v>成新率</v>
      </c>
      <c r="R27" s="607" t="s">
        <v>25</v>
      </c>
      <c r="S27" s="608" t="e">
        <f t="shared" si="12"/>
        <v>#N/A</v>
      </c>
      <c r="T27" s="607" t="s">
        <v>25</v>
      </c>
      <c r="U27" s="608" t="e">
        <f t="shared" si="13"/>
        <v>#N/A</v>
      </c>
      <c r="V27" s="607" t="s">
        <v>25</v>
      </c>
      <c r="W27" s="608" t="e">
        <f t="shared" si="14"/>
        <v>#N/A</v>
      </c>
      <c r="X27" s="609"/>
      <c r="Y27" s="3402"/>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402"/>
      <c r="Q28" s="636" t="str">
        <f t="shared" si="11"/>
        <v>物业等级</v>
      </c>
      <c r="R28" s="604" t="s">
        <v>25</v>
      </c>
      <c r="S28" s="605">
        <f t="shared" si="12"/>
        <v>100</v>
      </c>
      <c r="T28" s="604" t="s">
        <v>25</v>
      </c>
      <c r="U28" s="605">
        <f t="shared" si="13"/>
        <v>100</v>
      </c>
      <c r="V28" s="604" t="s">
        <v>25</v>
      </c>
      <c r="W28" s="605">
        <f t="shared" si="14"/>
        <v>100</v>
      </c>
      <c r="X28" s="1202"/>
      <c r="Y28" s="3402"/>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402"/>
      <c r="Q29" s="636" t="str">
        <f t="shared" si="11"/>
        <v>有无电梯</v>
      </c>
      <c r="R29" s="604" t="s">
        <v>25</v>
      </c>
      <c r="S29" s="605">
        <f t="shared" si="12"/>
        <v>100</v>
      </c>
      <c r="T29" s="604" t="s">
        <v>25</v>
      </c>
      <c r="U29" s="605">
        <f t="shared" si="13"/>
        <v>100</v>
      </c>
      <c r="V29" s="604" t="s">
        <v>25</v>
      </c>
      <c r="W29" s="605">
        <f t="shared" si="14"/>
        <v>100</v>
      </c>
      <c r="X29" s="1202"/>
      <c r="Y29" s="3402"/>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402"/>
      <c r="Q30" s="636" t="str">
        <f t="shared" si="11"/>
        <v>建筑面积</v>
      </c>
      <c r="R30" s="604" t="s">
        <v>25</v>
      </c>
      <c r="S30" s="605" t="e">
        <f t="shared" si="12"/>
        <v>#N/A</v>
      </c>
      <c r="T30" s="604" t="s">
        <v>25</v>
      </c>
      <c r="U30" s="605" t="e">
        <f t="shared" si="13"/>
        <v>#N/A</v>
      </c>
      <c r="V30" s="604" t="s">
        <v>25</v>
      </c>
      <c r="W30" s="605" t="e">
        <f t="shared" si="14"/>
        <v>#N/A</v>
      </c>
      <c r="X30" s="1202"/>
      <c r="Y30" s="3402"/>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402"/>
      <c r="Q31" s="477" t="str">
        <f t="shared" si="11"/>
        <v>是否封闭</v>
      </c>
      <c r="R31" s="601" t="s">
        <v>25</v>
      </c>
      <c r="S31" s="602">
        <f t="shared" si="12"/>
        <v>100</v>
      </c>
      <c r="T31" s="601" t="s">
        <v>25</v>
      </c>
      <c r="U31" s="602">
        <f t="shared" si="13"/>
        <v>100</v>
      </c>
      <c r="V31" s="601" t="s">
        <v>25</v>
      </c>
      <c r="W31" s="602">
        <f t="shared" si="14"/>
        <v>100</v>
      </c>
      <c r="X31" s="603"/>
      <c r="Y31" s="3402"/>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402" t="s">
        <v>2037</v>
      </c>
      <c r="Q32" s="636">
        <f t="shared" si="11"/>
        <v>111</v>
      </c>
      <c r="R32" s="604" t="s">
        <v>25</v>
      </c>
      <c r="S32" s="605">
        <f t="shared" si="12"/>
        <v>100</v>
      </c>
      <c r="T32" s="604" t="s">
        <v>25</v>
      </c>
      <c r="U32" s="605">
        <f t="shared" si="13"/>
        <v>100</v>
      </c>
      <c r="V32" s="604" t="s">
        <v>25</v>
      </c>
      <c r="W32" s="605">
        <f t="shared" si="14"/>
        <v>100</v>
      </c>
      <c r="X32" s="1202"/>
      <c r="Y32" s="3402"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402"/>
      <c r="Q33" s="636">
        <f t="shared" si="11"/>
        <v>111</v>
      </c>
      <c r="R33" s="604" t="s">
        <v>25</v>
      </c>
      <c r="S33" s="605">
        <f t="shared" si="12"/>
        <v>100</v>
      </c>
      <c r="T33" s="604" t="s">
        <v>25</v>
      </c>
      <c r="U33" s="605">
        <f t="shared" si="13"/>
        <v>100</v>
      </c>
      <c r="V33" s="604" t="s">
        <v>25</v>
      </c>
      <c r="W33" s="605">
        <f t="shared" si="14"/>
        <v>100</v>
      </c>
      <c r="X33" s="1202"/>
      <c r="Y33" s="3402"/>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5"/>
      <c r="P35" s="3370" t="str">
        <f>A35</f>
        <v>成交单价（元/平方米）</v>
      </c>
      <c r="Q35" s="3370"/>
      <c r="R35" s="3394">
        <f>E35</f>
        <v>0</v>
      </c>
      <c r="S35" s="3394"/>
      <c r="T35" s="3394">
        <f>G35</f>
        <v>0</v>
      </c>
      <c r="U35" s="3394"/>
      <c r="V35" s="3394">
        <f>I35</f>
        <v>0</v>
      </c>
      <c r="W35" s="3394"/>
      <c r="X35" s="329"/>
      <c r="Y35" s="611"/>
      <c r="Z35" s="329"/>
      <c r="AA35" s="329"/>
      <c r="AB35" s="329"/>
      <c r="AC35" s="329"/>
    </row>
    <row r="36" spans="1:29" ht="1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70" t="str">
        <f>A36</f>
        <v>比较价值（元/平方米）</v>
      </c>
      <c r="Q36" s="3370"/>
      <c r="R36" s="3394" t="e">
        <f>IF(E1="售价",ROUND(PRODUCT(R35,AA7:AA34),0),ROUND(PRODUCT(R35,AA7:AA34),1))</f>
        <v>#DIV/0!</v>
      </c>
      <c r="S36" s="3394"/>
      <c r="T36" s="3394" t="e">
        <f>IF(E1="售价",ROUND(PRODUCT(T35,AB7:AB34),0),ROUND(PRODUCT(T35,AB7:AB34),1))</f>
        <v>#DIV/0!</v>
      </c>
      <c r="U36" s="3394"/>
      <c r="V36" s="3394" t="e">
        <f>IF(E1="售价",ROUND(PRODUCT(V35,AC7:AC34),0),ROUND(PRODUCT(V35,AC7:AC34),1))</f>
        <v>#DIV/0!</v>
      </c>
      <c r="W36" s="3394"/>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5"/>
      <c r="P37" s="3404" t="str">
        <f>A37</f>
        <v>估价对象XX用房的比较价值（楼面单价，元/平方米）</v>
      </c>
      <c r="Q37" s="3405"/>
      <c r="R37" s="3406" t="e">
        <f>IF(E1="售价",ROUND(IF(D36="简单平均",AVERAGE(R36:W36),R36*F36+T36*H36+V36*J36),0),ROUND(IF(D36="简单平均",AVERAGE(R36:V36),R36*F36+T36*H36+V36*J36),1))</f>
        <v>#DIV/0!</v>
      </c>
      <c r="S37" s="3406"/>
      <c r="T37" s="3406"/>
      <c r="U37" s="3406"/>
      <c r="V37" s="3406"/>
      <c r="W37" s="3406"/>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2022-11</v>
      </c>
      <c r="D46" s="1062">
        <f>EDATE(C46,-1)</f>
        <v>44835</v>
      </c>
      <c r="E46" s="1062">
        <f t="shared" ref="E46:O46" si="16">EDATE(D46,-1)</f>
        <v>44805</v>
      </c>
      <c r="F46" s="1062">
        <f t="shared" si="16"/>
        <v>44774</v>
      </c>
      <c r="G46" s="1062">
        <f t="shared" si="16"/>
        <v>44743</v>
      </c>
      <c r="H46" s="1062">
        <f t="shared" si="16"/>
        <v>44713</v>
      </c>
      <c r="I46" s="1062">
        <f t="shared" si="16"/>
        <v>44682</v>
      </c>
      <c r="J46" s="1062">
        <f t="shared" si="16"/>
        <v>44652</v>
      </c>
      <c r="K46" s="1062">
        <f t="shared" si="16"/>
        <v>44621</v>
      </c>
      <c r="L46" s="1062">
        <f t="shared" si="16"/>
        <v>44593</v>
      </c>
      <c r="M46" s="1062">
        <f t="shared" si="16"/>
        <v>44562</v>
      </c>
      <c r="N46" s="1062">
        <f t="shared" si="16"/>
        <v>44531</v>
      </c>
      <c r="O46" s="1062">
        <f t="shared" si="16"/>
        <v>44501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9"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44886</v>
      </c>
      <c r="D7" s="1512">
        <v>100</v>
      </c>
      <c r="E7" s="1513"/>
      <c r="F7" s="1514">
        <f>SUMIF(69:69,YEAR(E7)&amp;"-"&amp;INT((MONTH(E7)+2)/3),70:70)</f>
        <v>0</v>
      </c>
      <c r="G7" s="1782"/>
      <c r="H7" s="1512">
        <f>SUMIF(69:69,YEAR(G7)&amp;"-"&amp;INT((MONTH(G7)+2)/3),70:70)</f>
        <v>0</v>
      </c>
      <c r="I7" s="1782"/>
      <c r="J7" s="1512">
        <f>SUMIF(69:69,YEAR(I7)&amp;"-"&amp;INT((MONTH(I7)+2)/3),70:70)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5" si="3">D8/F8</f>
        <v>#DIV/0!</v>
      </c>
      <c r="AB8" s="1519" t="e">
        <f t="shared" ref="AB8:AB45" si="4">D8/H8</f>
        <v>#DIV/0!</v>
      </c>
      <c r="AC8" s="1519" t="e">
        <f t="shared" ref="AC8:AC45" si="5">D8/J8</f>
        <v>#DIV/0!</v>
      </c>
    </row>
    <row r="9" spans="1:29" s="1520" customFormat="1" ht="14.4">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103</v>
      </c>
      <c r="G10" s="1589"/>
      <c r="H10" s="1531">
        <f>ROUND(100/'数据-取费表'!B14,0)</f>
        <v>103</v>
      </c>
      <c r="I10" s="1589"/>
      <c r="J10" s="1531">
        <f>ROUND(100/'数据-取费表'!B14,0)</f>
        <v>103</v>
      </c>
      <c r="K10" s="1785"/>
      <c r="L10" s="2695"/>
      <c r="O10" s="2732"/>
      <c r="P10" s="3357"/>
      <c r="Q10" s="1472" t="str">
        <f t="shared" si="6"/>
        <v>土地使用年限（年）</v>
      </c>
      <c r="R10" s="1516" t="s">
        <v>25</v>
      </c>
      <c r="S10" s="1517">
        <f t="shared" si="0"/>
        <v>103</v>
      </c>
      <c r="T10" s="1516" t="s">
        <v>25</v>
      </c>
      <c r="U10" s="1517">
        <f t="shared" si="1"/>
        <v>103</v>
      </c>
      <c r="V10" s="1516" t="s">
        <v>25</v>
      </c>
      <c r="W10" s="1517">
        <f t="shared" si="2"/>
        <v>103</v>
      </c>
      <c r="X10" s="1518"/>
      <c r="Y10" s="3221"/>
      <c r="Z10" s="1519" t="str">
        <f t="shared" si="7"/>
        <v>土地使用年限（年）</v>
      </c>
      <c r="AA10" s="1519">
        <f t="shared" si="3"/>
        <v>0.970873786407767</v>
      </c>
      <c r="AB10" s="1519">
        <f t="shared" si="4"/>
        <v>0.970873786407767</v>
      </c>
      <c r="AC10" s="1519">
        <f t="shared" si="5"/>
        <v>0.970873786407767</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57"/>
      <c r="Q12" s="1472" t="str">
        <f t="shared" si="6"/>
        <v>配建</v>
      </c>
      <c r="R12" s="1516" t="s">
        <v>25</v>
      </c>
      <c r="S12" s="1517">
        <f t="shared" si="0"/>
        <v>100</v>
      </c>
      <c r="T12" s="1516" t="s">
        <v>25</v>
      </c>
      <c r="U12" s="1517">
        <f t="shared" si="1"/>
        <v>100</v>
      </c>
      <c r="V12" s="1516" t="s">
        <v>25</v>
      </c>
      <c r="W12" s="1517">
        <f t="shared" si="2"/>
        <v>100</v>
      </c>
      <c r="X12" s="1518"/>
      <c r="Y12" s="3221"/>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D13/F13</f>
        <v>1</v>
      </c>
      <c r="AB13" s="1519">
        <f>D13/H13</f>
        <v>1</v>
      </c>
      <c r="AC13" s="1519">
        <f>D13/J13</f>
        <v>1</v>
      </c>
    </row>
    <row r="14" spans="1:29" ht="15.6"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D14/F14</f>
        <v>1</v>
      </c>
      <c r="AB14" s="1519">
        <f>D14/H14</f>
        <v>1</v>
      </c>
      <c r="AC14" s="1519">
        <f>D14/J14</f>
        <v>1</v>
      </c>
    </row>
    <row r="15" spans="1:29" ht="96.6">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46" t="s">
        <v>2031</v>
      </c>
      <c r="Q15" s="1454" t="str">
        <f t="shared" si="6"/>
        <v>居住社区成熟度</v>
      </c>
      <c r="R15" s="1558" t="s">
        <v>25</v>
      </c>
      <c r="S15" s="1559">
        <f t="shared" si="0"/>
        <v>100</v>
      </c>
      <c r="T15" s="1558" t="s">
        <v>25</v>
      </c>
      <c r="U15" s="1559">
        <f t="shared" si="1"/>
        <v>100</v>
      </c>
      <c r="V15" s="1558" t="s">
        <v>25</v>
      </c>
      <c r="W15" s="1559">
        <f t="shared" si="2"/>
        <v>100</v>
      </c>
      <c r="X15" s="1502"/>
      <c r="Y15" s="3346"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47"/>
      <c r="Q16" s="1454"/>
      <c r="R16" s="1558"/>
      <c r="S16" s="1559"/>
      <c r="T16" s="1558"/>
      <c r="U16" s="1559"/>
      <c r="V16" s="1558"/>
      <c r="W16" s="1559"/>
      <c r="X16" s="1502"/>
      <c r="Y16" s="3347"/>
      <c r="Z16" s="1560"/>
      <c r="AA16" s="1560">
        <v>1</v>
      </c>
      <c r="AB16" s="1560">
        <v>1</v>
      </c>
      <c r="AC16" s="1560">
        <v>1</v>
      </c>
    </row>
    <row r="17" spans="1:29" ht="82.8">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47"/>
      <c r="Q17" s="1454" t="str">
        <f>B17</f>
        <v>商业繁华度</v>
      </c>
      <c r="R17" s="1558" t="s">
        <v>25</v>
      </c>
      <c r="S17" s="1559">
        <f>F17</f>
        <v>100</v>
      </c>
      <c r="T17" s="1558" t="s">
        <v>25</v>
      </c>
      <c r="U17" s="1559">
        <f>H17</f>
        <v>100</v>
      </c>
      <c r="V17" s="1558" t="s">
        <v>25</v>
      </c>
      <c r="W17" s="1559">
        <f>J17</f>
        <v>100</v>
      </c>
      <c r="X17" s="1502"/>
      <c r="Y17" s="3347"/>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47"/>
      <c r="Q18" s="1454"/>
      <c r="R18" s="1558"/>
      <c r="S18" s="1559"/>
      <c r="T18" s="1558"/>
      <c r="U18" s="1559"/>
      <c r="V18" s="1558"/>
      <c r="W18" s="1559"/>
      <c r="X18" s="1502"/>
      <c r="Y18" s="3347"/>
      <c r="Z18" s="1560"/>
      <c r="AA18" s="1560">
        <v>1</v>
      </c>
      <c r="AB18" s="1560">
        <v>1</v>
      </c>
      <c r="AC18" s="1560">
        <v>1</v>
      </c>
    </row>
    <row r="19" spans="1:29" ht="82.8">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47"/>
      <c r="Q19" s="1454" t="str">
        <f>B19</f>
        <v>办公集聚程度</v>
      </c>
      <c r="R19" s="1558" t="s">
        <v>25</v>
      </c>
      <c r="S19" s="1559">
        <f>F19</f>
        <v>100</v>
      </c>
      <c r="T19" s="1558" t="s">
        <v>25</v>
      </c>
      <c r="U19" s="1559">
        <f>H19</f>
        <v>100</v>
      </c>
      <c r="V19" s="1558" t="s">
        <v>25</v>
      </c>
      <c r="W19" s="1559">
        <f>J19</f>
        <v>100</v>
      </c>
      <c r="X19" s="1502"/>
      <c r="Y19" s="3347"/>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47"/>
      <c r="Q20" s="1454"/>
      <c r="R20" s="1558"/>
      <c r="S20" s="1559"/>
      <c r="T20" s="1558"/>
      <c r="U20" s="1559"/>
      <c r="V20" s="1558"/>
      <c r="W20" s="1559"/>
      <c r="X20" s="1502"/>
      <c r="Y20" s="3347"/>
      <c r="Z20" s="1560"/>
      <c r="AA20" s="1560">
        <v>1</v>
      </c>
      <c r="AB20" s="1560">
        <v>1</v>
      </c>
      <c r="AC20" s="1560">
        <v>1</v>
      </c>
    </row>
    <row r="21" spans="1:29" ht="96.6">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47"/>
      <c r="Q21" s="1454" t="str">
        <f>B21</f>
        <v>交通便捷度</v>
      </c>
      <c r="R21" s="1558" t="s">
        <v>25</v>
      </c>
      <c r="S21" s="1559">
        <f>F21</f>
        <v>100</v>
      </c>
      <c r="T21" s="1558" t="s">
        <v>25</v>
      </c>
      <c r="U21" s="1559">
        <f>H21</f>
        <v>100</v>
      </c>
      <c r="V21" s="1558" t="s">
        <v>25</v>
      </c>
      <c r="W21" s="1559">
        <f>J21</f>
        <v>100</v>
      </c>
      <c r="X21" s="1502"/>
      <c r="Y21" s="3347"/>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47"/>
      <c r="Q22" s="1454"/>
      <c r="R22" s="1558"/>
      <c r="S22" s="1559"/>
      <c r="T22" s="1558"/>
      <c r="U22" s="1559"/>
      <c r="V22" s="1558"/>
      <c r="W22" s="1559"/>
      <c r="X22" s="1502"/>
      <c r="Y22" s="3347"/>
      <c r="Z22" s="1560"/>
      <c r="AA22" s="1560">
        <v>1</v>
      </c>
      <c r="AB22" s="1560">
        <v>1</v>
      </c>
      <c r="AC22" s="1560">
        <v>1</v>
      </c>
    </row>
    <row r="23" spans="1:29" ht="28.8">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47"/>
      <c r="Q23" s="1454" t="str">
        <f t="shared" ref="Q23:Q37" si="8">B23</f>
        <v>区域土地利用方向</v>
      </c>
      <c r="R23" s="1558" t="s">
        <v>25</v>
      </c>
      <c r="S23" s="1559">
        <f>F23</f>
        <v>100</v>
      </c>
      <c r="T23" s="1558" t="s">
        <v>25</v>
      </c>
      <c r="U23" s="1559">
        <f>H23</f>
        <v>100</v>
      </c>
      <c r="V23" s="1558" t="s">
        <v>25</v>
      </c>
      <c r="W23" s="1559">
        <f>J23</f>
        <v>100</v>
      </c>
      <c r="X23" s="1502"/>
      <c r="Y23" s="3347"/>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47"/>
      <c r="Q24" s="1454"/>
      <c r="R24" s="1558"/>
      <c r="S24" s="1559"/>
      <c r="T24" s="1558"/>
      <c r="U24" s="1559"/>
      <c r="V24" s="1558"/>
      <c r="W24" s="1559"/>
      <c r="X24" s="1502"/>
      <c r="Y24" s="3347"/>
      <c r="Z24" s="1560"/>
      <c r="AA24" s="1560"/>
      <c r="AB24" s="1560"/>
      <c r="AC24" s="1560"/>
    </row>
    <row r="25" spans="1:29" ht="55.2">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47"/>
      <c r="Q25" s="1454" t="str">
        <f t="shared" si="8"/>
        <v>自然及人文环境状况</v>
      </c>
      <c r="R25" s="1558" t="s">
        <v>25</v>
      </c>
      <c r="S25" s="1559">
        <f>F25</f>
        <v>100</v>
      </c>
      <c r="T25" s="1558" t="s">
        <v>25</v>
      </c>
      <c r="U25" s="1559">
        <f>H25</f>
        <v>100</v>
      </c>
      <c r="V25" s="1558" t="s">
        <v>25</v>
      </c>
      <c r="W25" s="1559">
        <f>J25</f>
        <v>100</v>
      </c>
      <c r="X25" s="1502"/>
      <c r="Y25" s="3347"/>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47"/>
      <c r="Q26" s="1454"/>
      <c r="R26" s="1558"/>
      <c r="S26" s="1559"/>
      <c r="T26" s="1558"/>
      <c r="U26" s="1559"/>
      <c r="V26" s="1558"/>
      <c r="W26" s="1559"/>
      <c r="X26" s="1502"/>
      <c r="Y26" s="3347"/>
      <c r="Z26" s="1560"/>
      <c r="AA26" s="1560">
        <v>1</v>
      </c>
      <c r="AB26" s="1560">
        <v>1</v>
      </c>
      <c r="AC26" s="1560">
        <v>1</v>
      </c>
    </row>
    <row r="27" spans="1:29" ht="41.4">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47"/>
      <c r="Q27" s="1472" t="str">
        <f t="shared" ref="Q27" si="9">B27</f>
        <v>公共配套设施</v>
      </c>
      <c r="R27" s="1516" t="s">
        <v>25</v>
      </c>
      <c r="S27" s="1517">
        <f>F27</f>
        <v>100</v>
      </c>
      <c r="T27" s="1516" t="s">
        <v>25</v>
      </c>
      <c r="U27" s="1517">
        <f>H27</f>
        <v>100</v>
      </c>
      <c r="V27" s="1516" t="s">
        <v>25</v>
      </c>
      <c r="W27" s="1517">
        <f>J27</f>
        <v>100</v>
      </c>
      <c r="X27" s="1502"/>
      <c r="Y27" s="3347"/>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47"/>
      <c r="Q28" s="1454"/>
      <c r="R28" s="1558"/>
      <c r="S28" s="1559"/>
      <c r="T28" s="1558"/>
      <c r="U28" s="1559"/>
      <c r="V28" s="1558"/>
      <c r="W28" s="1559"/>
      <c r="X28" s="1502"/>
      <c r="Y28" s="3347"/>
      <c r="Z28" s="1519"/>
      <c r="AA28" s="1560">
        <v>1</v>
      </c>
      <c r="AB28" s="1560">
        <v>1</v>
      </c>
      <c r="AC28" s="1560">
        <v>1</v>
      </c>
    </row>
    <row r="29" spans="1:29" s="1520" customFormat="1" ht="41.4">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47"/>
      <c r="Q29" s="1472" t="str">
        <f t="shared" si="8"/>
        <v>基础设施水平</v>
      </c>
      <c r="R29" s="1516" t="s">
        <v>25</v>
      </c>
      <c r="S29" s="1517">
        <f>F29</f>
        <v>100</v>
      </c>
      <c r="T29" s="1516" t="s">
        <v>25</v>
      </c>
      <c r="U29" s="1517">
        <f>H29</f>
        <v>100</v>
      </c>
      <c r="V29" s="1516" t="s">
        <v>25</v>
      </c>
      <c r="W29" s="1517">
        <f>J29</f>
        <v>100</v>
      </c>
      <c r="X29" s="1518"/>
      <c r="Y29" s="3347"/>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47"/>
      <c r="Q30" s="1472"/>
      <c r="R30" s="1516"/>
      <c r="S30" s="1517"/>
      <c r="T30" s="1516"/>
      <c r="U30" s="1517"/>
      <c r="V30" s="1516"/>
      <c r="W30" s="1517"/>
      <c r="X30" s="1518"/>
      <c r="Y30" s="3347"/>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47"/>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47"/>
      <c r="Z31" s="1560" t="str">
        <f t="shared" ref="Z31:Z45" si="13">Q31</f>
        <v>临街状况</v>
      </c>
      <c r="AA31" s="1560">
        <f t="shared" si="3"/>
        <v>1</v>
      </c>
      <c r="AB31" s="1560">
        <f t="shared" si="4"/>
        <v>1</v>
      </c>
      <c r="AC31" s="1560">
        <f t="shared" si="5"/>
        <v>1</v>
      </c>
    </row>
    <row r="32" spans="1:29" ht="28.8">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47"/>
      <c r="Q32" s="1454" t="str">
        <f t="shared" si="8"/>
        <v>毗邻道路的类型与等级</v>
      </c>
      <c r="R32" s="1558" t="s">
        <v>25</v>
      </c>
      <c r="S32" s="1559">
        <f t="shared" si="10"/>
        <v>100</v>
      </c>
      <c r="T32" s="1558" t="s">
        <v>25</v>
      </c>
      <c r="U32" s="1559">
        <f t="shared" si="11"/>
        <v>100</v>
      </c>
      <c r="V32" s="1558" t="s">
        <v>25</v>
      </c>
      <c r="W32" s="1559">
        <f t="shared" si="12"/>
        <v>100</v>
      </c>
      <c r="X32" s="1502"/>
      <c r="Y32" s="3347"/>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47"/>
      <c r="Q33" s="1454"/>
      <c r="R33" s="1558"/>
      <c r="S33" s="1559"/>
      <c r="T33" s="1558"/>
      <c r="U33" s="1559"/>
      <c r="V33" s="1558"/>
      <c r="W33" s="1559"/>
      <c r="X33" s="1502"/>
      <c r="Y33" s="3347"/>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47"/>
      <c r="Q34" s="1454" t="str">
        <f t="shared" si="8"/>
        <v>土地级别</v>
      </c>
      <c r="R34" s="1558" t="s">
        <v>25</v>
      </c>
      <c r="S34" s="1559">
        <f t="shared" si="10"/>
        <v>100</v>
      </c>
      <c r="T34" s="1558" t="s">
        <v>25</v>
      </c>
      <c r="U34" s="1559">
        <f t="shared" si="11"/>
        <v>100</v>
      </c>
      <c r="V34" s="1558" t="s">
        <v>25</v>
      </c>
      <c r="W34" s="1559">
        <f t="shared" si="12"/>
        <v>100</v>
      </c>
      <c r="X34" s="1502"/>
      <c r="Y34" s="3347"/>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47"/>
      <c r="Q35" s="1454">
        <f t="shared" si="8"/>
        <v>111</v>
      </c>
      <c r="R35" s="1558" t="s">
        <v>25</v>
      </c>
      <c r="S35" s="1559">
        <f t="shared" si="10"/>
        <v>100</v>
      </c>
      <c r="T35" s="1558" t="s">
        <v>25</v>
      </c>
      <c r="U35" s="1559">
        <f t="shared" si="11"/>
        <v>100</v>
      </c>
      <c r="V35" s="1558" t="s">
        <v>25</v>
      </c>
      <c r="W35" s="1559">
        <f t="shared" si="12"/>
        <v>100</v>
      </c>
      <c r="X35" s="1502"/>
      <c r="Y35" s="3347"/>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65" t="s">
        <v>2037</v>
      </c>
      <c r="Q36" s="1454">
        <f t="shared" si="8"/>
        <v>111</v>
      </c>
      <c r="R36" s="1558" t="s">
        <v>25</v>
      </c>
      <c r="S36" s="1559">
        <f t="shared" si="10"/>
        <v>100</v>
      </c>
      <c r="T36" s="1558" t="s">
        <v>25</v>
      </c>
      <c r="U36" s="1559">
        <f t="shared" si="11"/>
        <v>100</v>
      </c>
      <c r="V36" s="1558" t="s">
        <v>25</v>
      </c>
      <c r="W36" s="1559">
        <f t="shared" si="12"/>
        <v>100</v>
      </c>
      <c r="X36" s="1502"/>
      <c r="Y36" s="3351" t="s">
        <v>2037</v>
      </c>
      <c r="Z36" s="1560">
        <f t="shared" si="13"/>
        <v>111</v>
      </c>
      <c r="AA36" s="1560">
        <f t="shared" si="3"/>
        <v>1</v>
      </c>
      <c r="AB36" s="1560">
        <f t="shared" si="4"/>
        <v>1</v>
      </c>
      <c r="AC36" s="1560">
        <f t="shared" si="5"/>
        <v>1</v>
      </c>
    </row>
    <row r="37" spans="1:29" s="1601" customFormat="1" ht="15.6"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51"/>
      <c r="Q37" s="1454">
        <f t="shared" si="8"/>
        <v>111</v>
      </c>
      <c r="R37" s="1597" t="s">
        <v>25</v>
      </c>
      <c r="S37" s="1598">
        <f t="shared" si="10"/>
        <v>100</v>
      </c>
      <c r="T37" s="1597" t="s">
        <v>25</v>
      </c>
      <c r="U37" s="1598">
        <f t="shared" si="11"/>
        <v>100</v>
      </c>
      <c r="V37" s="1597" t="s">
        <v>25</v>
      </c>
      <c r="W37" s="1598">
        <f t="shared" si="12"/>
        <v>100</v>
      </c>
      <c r="X37" s="1599"/>
      <c r="Y37" s="3351"/>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51"/>
      <c r="Q38" s="1454" t="str">
        <f>B38</f>
        <v>宗地面积</v>
      </c>
      <c r="R38" s="1558" t="s">
        <v>25</v>
      </c>
      <c r="S38" s="1559" t="e">
        <f t="shared" si="10"/>
        <v>#N/A</v>
      </c>
      <c r="T38" s="1558" t="s">
        <v>25</v>
      </c>
      <c r="U38" s="1559" t="e">
        <f t="shared" si="11"/>
        <v>#N/A</v>
      </c>
      <c r="V38" s="1558" t="s">
        <v>25</v>
      </c>
      <c r="W38" s="1559" t="e">
        <f t="shared" si="12"/>
        <v>#N/A</v>
      </c>
      <c r="X38" s="1502"/>
      <c r="Y38" s="3351"/>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51"/>
      <c r="Q39" s="1454" t="str">
        <f t="shared" ref="Q39:Q45" si="14">B39</f>
        <v>宗地形状</v>
      </c>
      <c r="R39" s="1558" t="s">
        <v>25</v>
      </c>
      <c r="S39" s="1559">
        <f t="shared" si="10"/>
        <v>100</v>
      </c>
      <c r="T39" s="1558" t="s">
        <v>25</v>
      </c>
      <c r="U39" s="1559">
        <f t="shared" si="11"/>
        <v>100</v>
      </c>
      <c r="V39" s="1558" t="s">
        <v>25</v>
      </c>
      <c r="W39" s="1559">
        <f t="shared" si="12"/>
        <v>100</v>
      </c>
      <c r="X39" s="1502"/>
      <c r="Y39" s="3351"/>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51"/>
      <c r="Q40" s="1454" t="str">
        <f t="shared" si="14"/>
        <v>临街宽度及深度</v>
      </c>
      <c r="R40" s="1558" t="s">
        <v>25</v>
      </c>
      <c r="S40" s="1559">
        <f t="shared" si="10"/>
        <v>100</v>
      </c>
      <c r="T40" s="1558" t="s">
        <v>25</v>
      </c>
      <c r="U40" s="1559">
        <f t="shared" si="11"/>
        <v>100</v>
      </c>
      <c r="V40" s="1558" t="s">
        <v>25</v>
      </c>
      <c r="W40" s="1559">
        <f t="shared" si="12"/>
        <v>100</v>
      </c>
      <c r="X40" s="1502"/>
      <c r="Y40" s="3351"/>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51"/>
      <c r="Q41" s="1454" t="str">
        <f t="shared" si="14"/>
        <v>宗地开发程度</v>
      </c>
      <c r="R41" s="1516" t="s">
        <v>25</v>
      </c>
      <c r="S41" s="1517">
        <f t="shared" si="10"/>
        <v>100</v>
      </c>
      <c r="T41" s="1516" t="s">
        <v>25</v>
      </c>
      <c r="U41" s="1517">
        <f t="shared" si="11"/>
        <v>100</v>
      </c>
      <c r="V41" s="1516" t="s">
        <v>25</v>
      </c>
      <c r="W41" s="1517">
        <f t="shared" si="12"/>
        <v>100</v>
      </c>
      <c r="X41" s="1518"/>
      <c r="Y41" s="3351"/>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51" t="s">
        <v>2037</v>
      </c>
      <c r="Q42" s="1454" t="str">
        <f t="shared" si="14"/>
        <v>工程地质条件</v>
      </c>
      <c r="R42" s="1558" t="s">
        <v>25</v>
      </c>
      <c r="S42" s="1559">
        <f t="shared" si="10"/>
        <v>100</v>
      </c>
      <c r="T42" s="1558" t="s">
        <v>25</v>
      </c>
      <c r="U42" s="1559">
        <f t="shared" si="11"/>
        <v>100</v>
      </c>
      <c r="V42" s="1558" t="s">
        <v>25</v>
      </c>
      <c r="W42" s="1559">
        <f t="shared" si="12"/>
        <v>100</v>
      </c>
      <c r="X42" s="1502"/>
      <c r="Y42" s="3351"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51"/>
      <c r="Q43" s="1454">
        <f t="shared" si="14"/>
        <v>111</v>
      </c>
      <c r="R43" s="1558" t="s">
        <v>25</v>
      </c>
      <c r="S43" s="1559">
        <f t="shared" si="10"/>
        <v>100</v>
      </c>
      <c r="T43" s="1558" t="s">
        <v>25</v>
      </c>
      <c r="U43" s="1559">
        <f t="shared" si="11"/>
        <v>100</v>
      </c>
      <c r="V43" s="1558" t="s">
        <v>25</v>
      </c>
      <c r="W43" s="1559">
        <f t="shared" si="12"/>
        <v>100</v>
      </c>
      <c r="X43" s="1502"/>
      <c r="Y43" s="3351"/>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51"/>
      <c r="Q44" s="1454">
        <f t="shared" si="14"/>
        <v>111</v>
      </c>
      <c r="R44" s="1558" t="s">
        <v>25</v>
      </c>
      <c r="S44" s="1559">
        <f t="shared" si="10"/>
        <v>100</v>
      </c>
      <c r="T44" s="1558" t="s">
        <v>25</v>
      </c>
      <c r="U44" s="1559">
        <f t="shared" si="11"/>
        <v>100</v>
      </c>
      <c r="V44" s="1558" t="s">
        <v>25</v>
      </c>
      <c r="W44" s="1559">
        <f t="shared" si="12"/>
        <v>100</v>
      </c>
      <c r="X44" s="1502"/>
      <c r="Y44" s="3351"/>
      <c r="Z44" s="1560">
        <f t="shared" si="13"/>
        <v>111</v>
      </c>
      <c r="AA44" s="1560">
        <f t="shared" si="3"/>
        <v>1</v>
      </c>
      <c r="AB44" s="1560">
        <f t="shared" si="4"/>
        <v>1</v>
      </c>
      <c r="AC44" s="1560">
        <f t="shared" si="5"/>
        <v>1</v>
      </c>
    </row>
    <row r="45" spans="1:29" s="1601" customFormat="1" ht="15.6"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51"/>
      <c r="Q45" s="1454">
        <f t="shared" si="14"/>
        <v>111</v>
      </c>
      <c r="R45" s="1597" t="s">
        <v>25</v>
      </c>
      <c r="S45" s="1598">
        <f t="shared" si="10"/>
        <v>100</v>
      </c>
      <c r="T45" s="1597" t="s">
        <v>25</v>
      </c>
      <c r="U45" s="1598">
        <f t="shared" si="11"/>
        <v>100</v>
      </c>
      <c r="V45" s="1597" t="s">
        <v>25</v>
      </c>
      <c r="W45" s="1598">
        <f t="shared" si="12"/>
        <v>100</v>
      </c>
      <c r="X45" s="1599"/>
      <c r="Y45" s="3351"/>
      <c r="Z45" s="1600">
        <f t="shared" si="13"/>
        <v>111</v>
      </c>
      <c r="AA45" s="1560">
        <f t="shared" si="3"/>
        <v>1</v>
      </c>
      <c r="AB45" s="1560">
        <f t="shared" si="4"/>
        <v>1</v>
      </c>
      <c r="AC45" s="1560">
        <f t="shared" si="5"/>
        <v>1</v>
      </c>
    </row>
    <row r="46" spans="1:29" ht="14.4">
      <c r="A46" s="1610" t="s">
        <v>2179</v>
      </c>
      <c r="B46" s="1821" t="s">
        <v>2216</v>
      </c>
      <c r="C46" s="1822" t="s">
        <v>1</v>
      </c>
      <c r="D46" s="1613"/>
      <c r="E46" s="1614"/>
      <c r="F46" s="1615"/>
      <c r="G46" s="1616"/>
      <c r="H46" s="1617"/>
      <c r="I46" s="1614"/>
      <c r="J46" s="1617"/>
      <c r="K46" s="1823"/>
      <c r="L46" s="2698"/>
      <c r="P46" s="3357" t="str">
        <f>A46</f>
        <v>成交单价</v>
      </c>
      <c r="Q46" s="3357"/>
      <c r="R46" s="3337">
        <f>E46</f>
        <v>0</v>
      </c>
      <c r="S46" s="3337"/>
      <c r="T46" s="3337">
        <f>G46</f>
        <v>0</v>
      </c>
      <c r="U46" s="3337"/>
      <c r="V46" s="3337">
        <f>I46</f>
        <v>0</v>
      </c>
      <c r="W46" s="3337"/>
      <c r="X46" s="1561"/>
      <c r="Y46" s="1620"/>
      <c r="Z46" s="1561"/>
      <c r="AA46" s="1561"/>
      <c r="AB46" s="1561"/>
      <c r="AC46" s="1561"/>
    </row>
    <row r="47" spans="1:29" ht="1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57" t="str">
        <f>A47</f>
        <v>比较价值（元/平方米）</v>
      </c>
      <c r="Q47" s="3357"/>
      <c r="R47" s="3407" t="e">
        <f>ROUND(PRODUCT(R46,AA7:AA45),0)</f>
        <v>#DIV/0!</v>
      </c>
      <c r="S47" s="3407"/>
      <c r="T47" s="3407" t="e">
        <f>ROUND(PRODUCT(T46,AB7:AB45),0)</f>
        <v>#DIV/0!</v>
      </c>
      <c r="U47" s="3407"/>
      <c r="V47" s="3407" t="e">
        <f>ROUND(PRODUCT(V46,AC7:AC45),0)</f>
        <v>#DIV/0!</v>
      </c>
      <c r="W47" s="3407"/>
      <c r="X47" s="1561"/>
      <c r="Y47" s="1561"/>
      <c r="Z47" s="1561"/>
      <c r="AA47" s="1561"/>
      <c r="AB47" s="1561"/>
      <c r="AC47" s="1561"/>
    </row>
    <row r="48" spans="1:29" ht="15" thickBot="1">
      <c r="A48" s="1627" t="s">
        <v>2155</v>
      </c>
      <c r="B48" s="1628"/>
      <c r="C48" s="1827" t="e">
        <f>R48</f>
        <v>#DIV/0!</v>
      </c>
      <c r="D48" s="1827"/>
      <c r="E48" s="1827"/>
      <c r="F48" s="1827"/>
      <c r="G48" s="1827"/>
      <c r="H48" s="1827"/>
      <c r="I48" s="1827"/>
      <c r="J48" s="1827"/>
      <c r="K48" s="1828"/>
      <c r="L48" s="2698"/>
      <c r="P48" s="3362" t="str">
        <f>A48</f>
        <v>估价对象XX用房的比较价值（楼面单价，元/平方米）</v>
      </c>
      <c r="Q48" s="3363"/>
      <c r="R48" s="3408" t="e">
        <f>ROUND(IF(D47="简单平均",AVERAGE(R47:W47),R47*F47+T47*H47+V47*J47),0)</f>
        <v>#DIV/0!</v>
      </c>
      <c r="S48" s="3408"/>
      <c r="T48" s="3408"/>
      <c r="U48" s="3408"/>
      <c r="V48" s="3408"/>
      <c r="W48" s="3408"/>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4.4" thickBot="1">
      <c r="B54" s="2702"/>
      <c r="C54" s="2703"/>
      <c r="K54" s="2704"/>
      <c r="L54" s="2699"/>
    </row>
    <row r="55" spans="1:14" ht="28.8">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2022-11-1</v>
      </c>
      <c r="D67" s="1850">
        <f>EDATE(C67,-3)</f>
        <v>44774</v>
      </c>
      <c r="E67" s="1850">
        <f t="shared" ref="E67:O67" si="18">EDATE(D67,-3)</f>
        <v>44682</v>
      </c>
      <c r="F67" s="1850">
        <f t="shared" si="18"/>
        <v>44593</v>
      </c>
      <c r="G67" s="1850">
        <f t="shared" si="18"/>
        <v>44501</v>
      </c>
      <c r="H67" s="1850">
        <f t="shared" si="18"/>
        <v>44409</v>
      </c>
      <c r="I67" s="1850">
        <f t="shared" si="18"/>
        <v>44317</v>
      </c>
      <c r="J67" s="1850">
        <f t="shared" si="18"/>
        <v>44228</v>
      </c>
      <c r="K67" s="1850">
        <f t="shared" si="18"/>
        <v>44136</v>
      </c>
      <c r="L67" s="1850">
        <f t="shared" si="18"/>
        <v>44044</v>
      </c>
      <c r="M67" s="1850">
        <f t="shared" si="18"/>
        <v>43952</v>
      </c>
      <c r="N67" s="1850">
        <f t="shared" si="18"/>
        <v>43862</v>
      </c>
      <c r="O67" s="1850">
        <f t="shared" si="18"/>
        <v>43770</v>
      </c>
    </row>
    <row r="68" spans="1:17" ht="22.2"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4.4">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4.4">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4.4" thickBot="1">
      <c r="A73" s="1665"/>
      <c r="B73" s="1656"/>
      <c r="C73" s="1657">
        <v>100</v>
      </c>
      <c r="D73" s="1658"/>
      <c r="E73" s="1658"/>
      <c r="F73" s="1658"/>
      <c r="G73" s="1658"/>
      <c r="H73" s="1658"/>
      <c r="I73" s="1658"/>
      <c r="J73" s="1658"/>
      <c r="K73" s="1658"/>
      <c r="L73" s="1658"/>
      <c r="M73" s="1671"/>
      <c r="N73" s="1865"/>
      <c r="O73" s="1865"/>
      <c r="P73" s="1648"/>
      <c r="Q73" s="1648"/>
    </row>
    <row r="74" spans="1:17" ht="14.4">
      <c r="A74" s="1550" t="s">
        <v>2060</v>
      </c>
      <c r="B74" s="1672" t="s">
        <v>2025</v>
      </c>
      <c r="C74" s="1674"/>
      <c r="D74" s="1674"/>
      <c r="E74" s="1674"/>
      <c r="F74" s="1674"/>
      <c r="G74" s="1674"/>
      <c r="H74" s="1674"/>
      <c r="I74" s="1674"/>
      <c r="J74" s="1674"/>
      <c r="K74" s="408"/>
      <c r="L74" s="408"/>
      <c r="M74" s="1675"/>
      <c r="N74" s="2709"/>
      <c r="O74" s="2709"/>
      <c r="P74" s="1865"/>
      <c r="Q74" s="1648"/>
    </row>
    <row r="75" spans="1:17" ht="14.4" thickBot="1">
      <c r="A75" s="1535"/>
      <c r="B75" s="1678"/>
      <c r="C75" s="1679"/>
      <c r="D75" s="1679"/>
      <c r="E75" s="1679"/>
      <c r="F75" s="1679"/>
      <c r="G75" s="1679"/>
      <c r="H75" s="1679"/>
      <c r="I75" s="1679"/>
      <c r="J75" s="1679"/>
      <c r="K75" s="1679"/>
      <c r="L75" s="1679"/>
      <c r="M75" s="1680"/>
      <c r="N75" s="2248"/>
      <c r="O75" s="2248"/>
      <c r="P75" s="1865"/>
      <c r="Q75" s="1648"/>
    </row>
    <row r="76" spans="1:17" ht="29.4" thickTop="1">
      <c r="A76" s="1535"/>
      <c r="B76" s="1682" t="s">
        <v>2028</v>
      </c>
      <c r="C76" s="1683"/>
      <c r="D76" s="1683"/>
      <c r="E76" s="1683"/>
      <c r="F76" s="1683"/>
      <c r="G76" s="1683"/>
      <c r="H76" s="1683"/>
      <c r="I76" s="1683"/>
      <c r="J76" s="1683"/>
      <c r="K76" s="418"/>
      <c r="L76" s="418"/>
      <c r="M76" s="1684"/>
      <c r="N76" s="2709"/>
      <c r="O76" s="2709"/>
      <c r="P76" s="1865"/>
      <c r="Q76" s="1648"/>
    </row>
    <row r="77" spans="1:17" ht="14.4" thickBot="1">
      <c r="A77" s="1535"/>
      <c r="B77" s="1685"/>
      <c r="C77" s="1686"/>
      <c r="D77" s="1686"/>
      <c r="E77" s="1686"/>
      <c r="F77" s="1686"/>
      <c r="G77" s="1686"/>
      <c r="H77" s="1686"/>
      <c r="I77" s="1686"/>
      <c r="J77" s="1686"/>
      <c r="K77" s="1686"/>
      <c r="L77" s="1686"/>
      <c r="M77" s="1687"/>
      <c r="N77" s="2248"/>
      <c r="O77" s="2248"/>
      <c r="P77" s="1865"/>
      <c r="Q77" s="1648"/>
    </row>
    <row r="78" spans="1:17" ht="1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c r="A79" s="1535"/>
      <c r="B79" s="1690"/>
      <c r="C79" s="1691"/>
      <c r="D79" s="1691"/>
      <c r="E79" s="1691"/>
      <c r="F79" s="1691"/>
      <c r="G79" s="1691"/>
      <c r="H79" s="1691"/>
      <c r="I79" s="1691"/>
      <c r="J79" s="1691"/>
      <c r="K79" s="428"/>
      <c r="L79" s="428"/>
      <c r="M79" s="1692"/>
      <c r="N79" s="2709"/>
      <c r="O79" s="2709"/>
      <c r="P79" s="1865"/>
      <c r="Q79" s="1648"/>
    </row>
    <row r="80" spans="1:17" ht="14.4"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4.4"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4.4" thickBot="1">
      <c r="A82" s="1693"/>
      <c r="B82" s="1685"/>
      <c r="C82" s="1698"/>
      <c r="D82" s="1679"/>
      <c r="E82" s="1679"/>
      <c r="F82" s="1679"/>
      <c r="G82" s="1679"/>
      <c r="H82" s="1679"/>
      <c r="I82" s="1679"/>
      <c r="J82" s="1679"/>
      <c r="K82" s="1679"/>
      <c r="L82" s="1679"/>
      <c r="M82" s="1680"/>
      <c r="N82" s="2248"/>
      <c r="O82" s="2248"/>
      <c r="P82" s="1866"/>
      <c r="Q82" s="1697"/>
    </row>
    <row r="83" spans="1:17" s="1601" customFormat="1" ht="14.4" thickTop="1">
      <c r="A83" s="1693"/>
      <c r="B83" s="1682">
        <f>B13</f>
        <v>111</v>
      </c>
      <c r="C83" s="456"/>
      <c r="D83" s="456"/>
      <c r="E83" s="456"/>
      <c r="F83" s="456"/>
      <c r="G83" s="456"/>
      <c r="H83" s="433"/>
      <c r="I83" s="433"/>
      <c r="J83" s="433"/>
      <c r="K83" s="433"/>
      <c r="L83" s="433"/>
      <c r="M83" s="1694"/>
      <c r="N83" s="1866"/>
      <c r="O83" s="1866"/>
      <c r="Q83" s="1700"/>
    </row>
    <row r="84" spans="1:17" s="1601" customFormat="1" ht="14.4" thickBot="1">
      <c r="A84" s="1693"/>
      <c r="B84" s="1685"/>
      <c r="C84" s="1698"/>
      <c r="D84" s="1698"/>
      <c r="E84" s="1698"/>
      <c r="F84" s="1698"/>
      <c r="G84" s="1698"/>
      <c r="H84" s="1701"/>
      <c r="I84" s="1701"/>
      <c r="J84" s="1701"/>
      <c r="K84" s="1701"/>
      <c r="L84" s="1701"/>
      <c r="M84" s="1702"/>
      <c r="N84" s="1866"/>
      <c r="O84" s="1866"/>
      <c r="P84" s="1866"/>
      <c r="Q84" s="1697"/>
    </row>
    <row r="85" spans="1:17" s="1601" customFormat="1" ht="14.4"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4.4" thickBot="1">
      <c r="A86" s="1704"/>
      <c r="B86" s="1705"/>
      <c r="C86" s="1706"/>
      <c r="D86" s="1706"/>
      <c r="E86" s="1706"/>
      <c r="F86" s="1706"/>
      <c r="G86" s="1706"/>
      <c r="H86" s="1707"/>
      <c r="I86" s="1707"/>
      <c r="J86" s="1707"/>
      <c r="K86" s="1707"/>
      <c r="L86" s="1707"/>
      <c r="M86" s="1708"/>
      <c r="N86" s="1866"/>
      <c r="O86" s="1866"/>
      <c r="P86" s="1866"/>
      <c r="Q86" s="1697"/>
    </row>
    <row r="87" spans="1:17" ht="14.4">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4.4"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4.4"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4.4"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4.4"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29.4"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4.4"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9.4"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4.4"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4.4"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4.4"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4.4"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9.4" thickTop="1">
      <c r="A105" s="1535"/>
      <c r="B105" s="1682" t="s">
        <v>2149</v>
      </c>
      <c r="C105" s="456"/>
      <c r="D105" s="456"/>
      <c r="E105" s="456"/>
      <c r="F105" s="456"/>
      <c r="G105" s="456"/>
      <c r="H105" s="1417"/>
      <c r="I105" s="1417"/>
      <c r="J105" s="1417"/>
      <c r="K105" s="461"/>
      <c r="L105" s="461"/>
      <c r="M105" s="1716"/>
      <c r="N105" s="2709"/>
      <c r="O105" s="2709"/>
      <c r="P105" s="1865"/>
      <c r="Q105" s="1648"/>
    </row>
    <row r="106" spans="1:17" ht="14.4"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4.4"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4.4"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4.4" thickBot="1">
      <c r="A110" s="1535"/>
      <c r="B110" s="1705"/>
      <c r="C110" s="1698"/>
      <c r="D110" s="1698"/>
      <c r="E110" s="1698"/>
      <c r="F110" s="1698"/>
      <c r="G110" s="1719"/>
      <c r="H110" s="1719"/>
      <c r="I110" s="1719"/>
      <c r="J110" s="1719"/>
      <c r="K110" s="1719"/>
      <c r="L110" s="1719"/>
      <c r="M110" s="1720"/>
      <c r="N110" s="2248"/>
      <c r="O110" s="2248"/>
      <c r="P110" s="1865"/>
      <c r="Q110" s="1648"/>
    </row>
    <row r="111" spans="1:17" ht="14.4"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4.4"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4.4"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4.4" thickBot="1">
      <c r="A114" s="1693"/>
      <c r="B114" s="1688"/>
      <c r="C114" s="1658"/>
      <c r="D114" s="1868"/>
      <c r="E114" s="1868"/>
      <c r="F114" s="1868"/>
      <c r="G114" s="1868"/>
      <c r="H114" s="1868"/>
      <c r="I114" s="1868"/>
      <c r="J114" s="1868"/>
      <c r="K114" s="1868"/>
      <c r="L114" s="1868"/>
      <c r="M114" s="1869"/>
      <c r="N114" s="2248"/>
      <c r="O114" s="2248"/>
      <c r="P114" s="1866"/>
      <c r="Q114" s="1697"/>
    </row>
    <row r="115" spans="1:17" ht="14.4">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c r="A116" s="1535"/>
      <c r="B116" s="1688"/>
      <c r="C116" s="1722"/>
      <c r="D116" s="1722"/>
      <c r="E116" s="1722"/>
      <c r="F116" s="1722"/>
      <c r="G116" s="1722"/>
      <c r="H116" s="1722"/>
      <c r="I116" s="1722"/>
      <c r="J116" s="472"/>
      <c r="K116" s="472"/>
      <c r="L116" s="472"/>
      <c r="M116" s="1723"/>
      <c r="N116" s="2709"/>
      <c r="O116" s="2709"/>
      <c r="P116" s="1865"/>
      <c r="Q116" s="1648"/>
    </row>
    <row r="117" spans="1:17" ht="14.4"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4.4"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4.4"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4.4"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4.4"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4.4"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4.4" thickBot="1">
      <c r="A127" s="1535"/>
      <c r="B127" s="1685"/>
      <c r="C127" s="1698"/>
      <c r="D127" s="1698"/>
      <c r="E127" s="1698"/>
      <c r="F127" s="1698"/>
      <c r="G127" s="1679"/>
      <c r="H127" s="1679"/>
      <c r="I127" s="1679"/>
      <c r="J127" s="1679"/>
      <c r="K127" s="1679"/>
      <c r="L127" s="1679"/>
      <c r="M127" s="1680"/>
      <c r="N127" s="2248"/>
      <c r="O127" s="2248"/>
      <c r="P127" s="1865"/>
      <c r="Q127" s="1648"/>
    </row>
    <row r="128" spans="1:17" ht="14.4"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4.4"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4.4"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4.4"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44886</v>
      </c>
      <c r="D7" s="300">
        <v>100</v>
      </c>
      <c r="E7" s="301"/>
      <c r="F7" s="302">
        <f>SUMIF(64:64,YEAR(E7)&amp;"-"&amp;INT((MONTH(E7)+2)/3),65:65)</f>
        <v>0</v>
      </c>
      <c r="G7" s="1414"/>
      <c r="H7" s="300">
        <f>SUMIF(64:64,YEAR(G7)&amp;"-"&amp;INT((MONTH(G7)+2)/3),65:65)</f>
        <v>0</v>
      </c>
      <c r="I7" s="1414"/>
      <c r="J7" s="300">
        <f>SUMIF(64:64,YEAR(I7)&amp;"-"&amp;INT((MONTH(I7)+2)/3),65:65)</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103</v>
      </c>
      <c r="G10" s="317"/>
      <c r="H10" s="25">
        <f>ROUND(100/'数据-取费表'!B14,0)</f>
        <v>103</v>
      </c>
      <c r="I10" s="317"/>
      <c r="J10" s="25">
        <f>ROUND(100/'数据-取费表'!B14,0)</f>
        <v>103</v>
      </c>
      <c r="K10" s="533"/>
      <c r="L10" s="2719"/>
      <c r="O10" s="2720"/>
      <c r="P10" s="3370"/>
      <c r="Q10" s="477" t="str">
        <f t="shared" si="6"/>
        <v>土地使用年限（年）</v>
      </c>
      <c r="R10" s="601" t="s">
        <v>25</v>
      </c>
      <c r="S10" s="602">
        <f t="shared" si="0"/>
        <v>103</v>
      </c>
      <c r="T10" s="601" t="s">
        <v>25</v>
      </c>
      <c r="U10" s="602">
        <f t="shared" si="1"/>
        <v>103</v>
      </c>
      <c r="V10" s="601" t="s">
        <v>25</v>
      </c>
      <c r="W10" s="602">
        <f t="shared" si="2"/>
        <v>103</v>
      </c>
      <c r="X10" s="603"/>
      <c r="Y10" s="3400"/>
      <c r="Z10" s="18" t="str">
        <f t="shared" si="7"/>
        <v>土地使用年限（年）</v>
      </c>
      <c r="AA10" s="18">
        <f t="shared" si="3"/>
        <v>0.970873786407767</v>
      </c>
      <c r="AB10" s="18">
        <f t="shared" si="4"/>
        <v>0.970873786407767</v>
      </c>
      <c r="AC10" s="18">
        <f t="shared" si="5"/>
        <v>0.970873786407767</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399"/>
      <c r="Q16" s="636"/>
      <c r="R16" s="604"/>
      <c r="S16" s="605"/>
      <c r="T16" s="604"/>
      <c r="U16" s="605"/>
      <c r="V16" s="604"/>
      <c r="W16" s="605"/>
      <c r="X16" s="1202"/>
      <c r="Y16" s="3399"/>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399"/>
      <c r="Q18" s="636"/>
      <c r="R18" s="604"/>
      <c r="S18" s="605"/>
      <c r="T18" s="604"/>
      <c r="U18" s="605"/>
      <c r="V18" s="604"/>
      <c r="W18" s="605"/>
      <c r="X18" s="1202"/>
      <c r="Y18" s="3399"/>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399"/>
      <c r="Q19" s="636" t="str">
        <f t="shared" ref="Q19:Q33" si="8">B19</f>
        <v>区域土地利用方向</v>
      </c>
      <c r="R19" s="604" t="s">
        <v>25</v>
      </c>
      <c r="S19" s="605">
        <f>F19</f>
        <v>100</v>
      </c>
      <c r="T19" s="604" t="s">
        <v>25</v>
      </c>
      <c r="U19" s="605">
        <f>H19</f>
        <v>100</v>
      </c>
      <c r="V19" s="604" t="s">
        <v>25</v>
      </c>
      <c r="W19" s="605">
        <f>J19</f>
        <v>100</v>
      </c>
      <c r="X19" s="1202"/>
      <c r="Y19" s="3399"/>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399"/>
      <c r="Q20" s="636"/>
      <c r="R20" s="604"/>
      <c r="S20" s="605"/>
      <c r="T20" s="604"/>
      <c r="U20" s="605"/>
      <c r="V20" s="604"/>
      <c r="W20" s="605"/>
      <c r="X20" s="1202"/>
      <c r="Y20" s="3399"/>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399"/>
      <c r="Q21" s="636" t="str">
        <f t="shared" si="8"/>
        <v>环境状况</v>
      </c>
      <c r="R21" s="604" t="s">
        <v>25</v>
      </c>
      <c r="S21" s="605">
        <f>F21</f>
        <v>100</v>
      </c>
      <c r="T21" s="604" t="s">
        <v>25</v>
      </c>
      <c r="U21" s="605">
        <f>H21</f>
        <v>100</v>
      </c>
      <c r="V21" s="604" t="s">
        <v>25</v>
      </c>
      <c r="W21" s="605">
        <f>J21</f>
        <v>100</v>
      </c>
      <c r="X21" s="1202"/>
      <c r="Y21" s="3399"/>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399"/>
      <c r="Q22" s="636"/>
      <c r="R22" s="604"/>
      <c r="S22" s="605"/>
      <c r="T22" s="604"/>
      <c r="U22" s="605"/>
      <c r="V22" s="604"/>
      <c r="W22" s="605"/>
      <c r="X22" s="1202"/>
      <c r="Y22" s="3399"/>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399"/>
      <c r="Q23" s="477" t="str">
        <f t="shared" si="8"/>
        <v>公共配套设施</v>
      </c>
      <c r="R23" s="601" t="s">
        <v>25</v>
      </c>
      <c r="S23" s="602">
        <f>F23</f>
        <v>100</v>
      </c>
      <c r="T23" s="601" t="s">
        <v>25</v>
      </c>
      <c r="U23" s="602">
        <f>H23</f>
        <v>100</v>
      </c>
      <c r="V23" s="601" t="s">
        <v>25</v>
      </c>
      <c r="W23" s="602">
        <f>J23</f>
        <v>100</v>
      </c>
      <c r="X23" s="603"/>
      <c r="Y23" s="3399"/>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399"/>
      <c r="Q24" s="477"/>
      <c r="R24" s="601"/>
      <c r="S24" s="602"/>
      <c r="T24" s="601"/>
      <c r="U24" s="602"/>
      <c r="V24" s="601"/>
      <c r="W24" s="602"/>
      <c r="X24" s="603"/>
      <c r="Y24" s="3399"/>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399"/>
      <c r="Q25" s="477" t="str">
        <f t="shared" ref="Q25" si="9">B25</f>
        <v>基础设施水平</v>
      </c>
      <c r="R25" s="601" t="s">
        <v>25</v>
      </c>
      <c r="S25" s="602">
        <f>F25</f>
        <v>100</v>
      </c>
      <c r="T25" s="601" t="s">
        <v>25</v>
      </c>
      <c r="U25" s="602">
        <f>H25</f>
        <v>100</v>
      </c>
      <c r="V25" s="601" t="s">
        <v>25</v>
      </c>
      <c r="W25" s="602">
        <f>J25</f>
        <v>100</v>
      </c>
      <c r="X25" s="603"/>
      <c r="Y25" s="3399"/>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399"/>
      <c r="Q26" s="477"/>
      <c r="R26" s="601"/>
      <c r="S26" s="602"/>
      <c r="T26" s="601"/>
      <c r="U26" s="602"/>
      <c r="V26" s="601"/>
      <c r="W26" s="602"/>
      <c r="X26" s="603"/>
      <c r="Y26" s="3399"/>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399"/>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99"/>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399"/>
      <c r="Q28" s="636" t="str">
        <f t="shared" si="8"/>
        <v>毗邻道路的类型与等级</v>
      </c>
      <c r="R28" s="604" t="s">
        <v>25</v>
      </c>
      <c r="S28" s="605">
        <f t="shared" si="10"/>
        <v>100</v>
      </c>
      <c r="T28" s="604" t="s">
        <v>25</v>
      </c>
      <c r="U28" s="605">
        <f t="shared" si="11"/>
        <v>100</v>
      </c>
      <c r="V28" s="604" t="s">
        <v>25</v>
      </c>
      <c r="W28" s="605">
        <f t="shared" si="12"/>
        <v>100</v>
      </c>
      <c r="X28" s="1202"/>
      <c r="Y28" s="3399"/>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399"/>
      <c r="Q29" s="636"/>
      <c r="R29" s="604"/>
      <c r="S29" s="605"/>
      <c r="T29" s="604"/>
      <c r="U29" s="605"/>
      <c r="V29" s="604"/>
      <c r="W29" s="605"/>
      <c r="X29" s="1202"/>
      <c r="Y29" s="3399"/>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399"/>
      <c r="Q30" s="636" t="str">
        <f t="shared" si="8"/>
        <v>土地级别</v>
      </c>
      <c r="R30" s="604" t="s">
        <v>25</v>
      </c>
      <c r="S30" s="605">
        <f t="shared" si="10"/>
        <v>100</v>
      </c>
      <c r="T30" s="604" t="s">
        <v>25</v>
      </c>
      <c r="U30" s="605">
        <f t="shared" si="11"/>
        <v>100</v>
      </c>
      <c r="V30" s="604" t="s">
        <v>25</v>
      </c>
      <c r="W30" s="605">
        <f t="shared" si="12"/>
        <v>100</v>
      </c>
      <c r="X30" s="1202"/>
      <c r="Y30" s="3399"/>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399"/>
      <c r="Q31" s="636">
        <f t="shared" si="8"/>
        <v>111</v>
      </c>
      <c r="R31" s="604" t="s">
        <v>25</v>
      </c>
      <c r="S31" s="605">
        <f t="shared" si="10"/>
        <v>100</v>
      </c>
      <c r="T31" s="604" t="s">
        <v>25</v>
      </c>
      <c r="U31" s="605">
        <f t="shared" si="11"/>
        <v>100</v>
      </c>
      <c r="V31" s="604" t="s">
        <v>25</v>
      </c>
      <c r="W31" s="605">
        <f t="shared" si="12"/>
        <v>100</v>
      </c>
      <c r="X31" s="1202"/>
      <c r="Y31" s="3399"/>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401" t="s">
        <v>2037</v>
      </c>
      <c r="Q32" s="636">
        <f t="shared" si="8"/>
        <v>111</v>
      </c>
      <c r="R32" s="604" t="s">
        <v>25</v>
      </c>
      <c r="S32" s="605">
        <f t="shared" si="10"/>
        <v>100</v>
      </c>
      <c r="T32" s="604" t="s">
        <v>25</v>
      </c>
      <c r="U32" s="605">
        <f t="shared" si="11"/>
        <v>100</v>
      </c>
      <c r="V32" s="604" t="s">
        <v>25</v>
      </c>
      <c r="W32" s="605">
        <f t="shared" si="12"/>
        <v>100</v>
      </c>
      <c r="X32" s="1202"/>
      <c r="Y32" s="3402"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402"/>
      <c r="Q33" s="636">
        <f t="shared" si="8"/>
        <v>111</v>
      </c>
      <c r="R33" s="607" t="s">
        <v>25</v>
      </c>
      <c r="S33" s="608">
        <f t="shared" si="10"/>
        <v>100</v>
      </c>
      <c r="T33" s="607" t="s">
        <v>25</v>
      </c>
      <c r="U33" s="608">
        <f t="shared" si="11"/>
        <v>100</v>
      </c>
      <c r="V33" s="607" t="s">
        <v>25</v>
      </c>
      <c r="W33" s="608">
        <f t="shared" si="12"/>
        <v>100</v>
      </c>
      <c r="X33" s="609"/>
      <c r="Y33" s="3402"/>
      <c r="Z33" s="610">
        <f t="shared" si="13"/>
        <v>111</v>
      </c>
      <c r="AA33" s="1203">
        <f t="shared" si="3"/>
        <v>1</v>
      </c>
      <c r="AB33" s="1203">
        <f t="shared" si="4"/>
        <v>1</v>
      </c>
      <c r="AC33" s="1203">
        <f t="shared" si="5"/>
        <v>1</v>
      </c>
    </row>
    <row r="34" spans="1:29" ht="3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402"/>
      <c r="Q34" s="636" t="str">
        <f>B34</f>
        <v>宗地面积</v>
      </c>
      <c r="R34" s="604" t="s">
        <v>25</v>
      </c>
      <c r="S34" s="605" t="e">
        <f t="shared" si="10"/>
        <v>#N/A</v>
      </c>
      <c r="T34" s="604" t="s">
        <v>25</v>
      </c>
      <c r="U34" s="605" t="e">
        <f t="shared" si="11"/>
        <v>#N/A</v>
      </c>
      <c r="V34" s="604" t="s">
        <v>25</v>
      </c>
      <c r="W34" s="605" t="e">
        <f t="shared" si="12"/>
        <v>#N/A</v>
      </c>
      <c r="X34" s="1202"/>
      <c r="Y34" s="3402"/>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402"/>
      <c r="Q35" s="636" t="str">
        <f t="shared" ref="Q35:Q40" si="14">B35</f>
        <v>宗地形状</v>
      </c>
      <c r="R35" s="604" t="s">
        <v>25</v>
      </c>
      <c r="S35" s="605">
        <f t="shared" si="10"/>
        <v>100</v>
      </c>
      <c r="T35" s="604" t="s">
        <v>25</v>
      </c>
      <c r="U35" s="605">
        <f t="shared" si="11"/>
        <v>100</v>
      </c>
      <c r="V35" s="604" t="s">
        <v>25</v>
      </c>
      <c r="W35" s="605">
        <f t="shared" si="12"/>
        <v>100</v>
      </c>
      <c r="X35" s="1202"/>
      <c r="Y35" s="3402"/>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402"/>
      <c r="Q36" s="636" t="str">
        <f t="shared" si="14"/>
        <v>宗地开发程度</v>
      </c>
      <c r="R36" s="601" t="s">
        <v>25</v>
      </c>
      <c r="S36" s="602">
        <f t="shared" si="10"/>
        <v>100</v>
      </c>
      <c r="T36" s="601" t="s">
        <v>25</v>
      </c>
      <c r="U36" s="602">
        <f t="shared" si="11"/>
        <v>100</v>
      </c>
      <c r="V36" s="601" t="s">
        <v>25</v>
      </c>
      <c r="W36" s="602">
        <f t="shared" si="12"/>
        <v>100</v>
      </c>
      <c r="X36" s="603"/>
      <c r="Y36" s="3402"/>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402" t="s">
        <v>2037</v>
      </c>
      <c r="Q37" s="636" t="str">
        <f t="shared" si="14"/>
        <v>工程地质条件</v>
      </c>
      <c r="R37" s="604" t="s">
        <v>25</v>
      </c>
      <c r="S37" s="605">
        <f t="shared" si="10"/>
        <v>100</v>
      </c>
      <c r="T37" s="604" t="s">
        <v>25</v>
      </c>
      <c r="U37" s="605">
        <f t="shared" si="11"/>
        <v>100</v>
      </c>
      <c r="V37" s="604" t="s">
        <v>25</v>
      </c>
      <c r="W37" s="605">
        <f t="shared" si="12"/>
        <v>100</v>
      </c>
      <c r="X37" s="1202"/>
      <c r="Y37" s="3402"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402"/>
      <c r="Q38" s="636">
        <f t="shared" si="14"/>
        <v>111</v>
      </c>
      <c r="R38" s="604" t="s">
        <v>25</v>
      </c>
      <c r="S38" s="605">
        <f t="shared" si="10"/>
        <v>100</v>
      </c>
      <c r="T38" s="604" t="s">
        <v>25</v>
      </c>
      <c r="U38" s="605">
        <f t="shared" si="11"/>
        <v>100</v>
      </c>
      <c r="V38" s="604" t="s">
        <v>25</v>
      </c>
      <c r="W38" s="605">
        <f t="shared" si="12"/>
        <v>100</v>
      </c>
      <c r="X38" s="1202"/>
      <c r="Y38" s="3402"/>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402"/>
      <c r="Q39" s="636">
        <f t="shared" si="14"/>
        <v>111</v>
      </c>
      <c r="R39" s="604" t="s">
        <v>25</v>
      </c>
      <c r="S39" s="605">
        <f t="shared" si="10"/>
        <v>100</v>
      </c>
      <c r="T39" s="604" t="s">
        <v>25</v>
      </c>
      <c r="U39" s="605">
        <f t="shared" si="11"/>
        <v>100</v>
      </c>
      <c r="V39" s="604" t="s">
        <v>25</v>
      </c>
      <c r="W39" s="605">
        <f t="shared" si="12"/>
        <v>100</v>
      </c>
      <c r="X39" s="1202"/>
      <c r="Y39" s="3402"/>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402"/>
      <c r="Q40" s="636">
        <f t="shared" si="14"/>
        <v>111</v>
      </c>
      <c r="R40" s="607" t="s">
        <v>25</v>
      </c>
      <c r="S40" s="608">
        <f t="shared" si="10"/>
        <v>100</v>
      </c>
      <c r="T40" s="607" t="s">
        <v>25</v>
      </c>
      <c r="U40" s="608">
        <f t="shared" si="11"/>
        <v>100</v>
      </c>
      <c r="V40" s="607" t="s">
        <v>25</v>
      </c>
      <c r="W40" s="608">
        <f t="shared" si="12"/>
        <v>100</v>
      </c>
      <c r="X40" s="609"/>
      <c r="Y40" s="3402"/>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5"/>
      <c r="P41" s="3370" t="str">
        <f>A41</f>
        <v>成交单价</v>
      </c>
      <c r="Q41" s="3370"/>
      <c r="R41" s="3394">
        <f>E41</f>
        <v>0</v>
      </c>
      <c r="S41" s="3394"/>
      <c r="T41" s="3394">
        <f>G41</f>
        <v>0</v>
      </c>
      <c r="U41" s="3394"/>
      <c r="V41" s="3394">
        <f>I41</f>
        <v>0</v>
      </c>
      <c r="W41" s="3394"/>
      <c r="X41" s="329"/>
      <c r="Y41" s="611"/>
      <c r="Z41" s="329"/>
      <c r="AA41" s="329"/>
      <c r="AB41" s="329"/>
      <c r="AC41" s="329"/>
    </row>
    <row r="42" spans="1:29" ht="1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70" t="str">
        <f>A42</f>
        <v>比较价值（元/平方米）</v>
      </c>
      <c r="Q42" s="3370"/>
      <c r="R42" s="3410" t="e">
        <f>ROUND(PRODUCT(R41,AA7:AA40),0)</f>
        <v>#DIV/0!</v>
      </c>
      <c r="S42" s="3410"/>
      <c r="T42" s="3410" t="e">
        <f>ROUND(PRODUCT(T41,AB7:AB40),0)</f>
        <v>#DIV/0!</v>
      </c>
      <c r="U42" s="3410"/>
      <c r="V42" s="3410" t="e">
        <f>ROUND(PRODUCT(V41,AC7:AC40),0)</f>
        <v>#DIV/0!</v>
      </c>
      <c r="W42" s="3410"/>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5"/>
      <c r="P43" s="3404" t="str">
        <f>A43</f>
        <v>估价对象XX用房的比较价值（楼面单价，元/平方米）</v>
      </c>
      <c r="Q43" s="3405"/>
      <c r="R43" s="3409" t="e">
        <f>ROUND(IF(D42="简单平均",AVERAGE(R42:W42),R42*F42+T42*H42+V42*J42),0)</f>
        <v>#DIV/0!</v>
      </c>
      <c r="S43" s="3409"/>
      <c r="T43" s="3409"/>
      <c r="U43" s="3409"/>
      <c r="V43" s="3409"/>
      <c r="W43" s="3409"/>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4.4" thickBot="1">
      <c r="B49" s="2727"/>
      <c r="C49" s="2730"/>
      <c r="K49" s="2729"/>
      <c r="L49" s="2726"/>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2022-11-1</v>
      </c>
      <c r="D62" s="1056">
        <f>EDATE(C62,-3)</f>
        <v>44774</v>
      </c>
      <c r="E62" s="1056">
        <f t="shared" ref="E62:O62" si="18">EDATE(D62,-3)</f>
        <v>44682</v>
      </c>
      <c r="F62" s="1056">
        <f t="shared" si="18"/>
        <v>44593</v>
      </c>
      <c r="G62" s="1056">
        <f t="shared" si="18"/>
        <v>44501</v>
      </c>
      <c r="H62" s="1056">
        <f t="shared" si="18"/>
        <v>44409</v>
      </c>
      <c r="I62" s="1056">
        <f t="shared" si="18"/>
        <v>44317</v>
      </c>
      <c r="J62" s="1056">
        <f t="shared" si="18"/>
        <v>44228</v>
      </c>
      <c r="K62" s="1056">
        <f t="shared" si="18"/>
        <v>44136</v>
      </c>
      <c r="L62" s="1056">
        <f t="shared" si="18"/>
        <v>44044</v>
      </c>
      <c r="M62" s="1056">
        <f t="shared" si="18"/>
        <v>43952</v>
      </c>
      <c r="N62" s="1056">
        <f t="shared" si="18"/>
        <v>43862</v>
      </c>
      <c r="O62" s="1056">
        <f t="shared" si="18"/>
        <v>43770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估价对象为北京市房地产，为XX所有。根据《》[]，估价对象建筑面积为2562.92平方米。根据《》[]，估价对象（分摊）出让国有建设用地使用权面积为平方米。估价对象用途为。</v>
      </c>
      <c r="B6" s="1212"/>
      <c r="C6" s="1212"/>
      <c r="D6" s="1212"/>
      <c r="E6" s="1212"/>
      <c r="F6" s="1212"/>
      <c r="G6" s="1212"/>
    </row>
    <row r="7" spans="1:7" ht="17.399999999999999">
      <c r="A7" s="1213" t="s">
        <v>1016</v>
      </c>
    </row>
    <row r="8" spans="1:7" ht="17.399999999999999">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2022年11月21日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34.799999999999997">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c r="B13" s="1212"/>
      <c r="C13" s="1212"/>
      <c r="D13" s="1212"/>
      <c r="E13" s="1212"/>
      <c r="F13" s="1212"/>
      <c r="G13" s="1212"/>
    </row>
    <row r="14" spans="1:7" ht="8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5" customWidth="1"/>
    <col min="33" max="38" width="9.33203125" style="1461" customWidth="1"/>
    <col min="39" max="16384" width="9" style="1461"/>
  </cols>
  <sheetData>
    <row r="1" spans="1:36" ht="31.2">
      <c r="A1" s="1888" t="s">
        <v>2256</v>
      </c>
      <c r="B1" s="1889"/>
      <c r="C1" s="1890" t="s">
        <v>2257</v>
      </c>
      <c r="D1" s="1891">
        <f>SUM(D29:D30,D33:D39)</f>
        <v>2562.92</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5.2">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6.4">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6">
      <c r="A4" s="3428"/>
      <c r="B4" s="3429"/>
      <c r="C4" s="3429"/>
      <c r="D4" s="3430"/>
      <c r="E4" s="3430"/>
      <c r="F4" s="3430"/>
      <c r="G4" s="3430"/>
      <c r="H4" s="3430"/>
      <c r="I4" s="3430"/>
      <c r="J4" s="3431"/>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6"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6"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32"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33"/>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26" t="s">
        <v>2292</v>
      </c>
      <c r="X8" s="3427"/>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33"/>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27"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33"/>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27"/>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6" thickBot="1">
      <c r="A11" s="3433"/>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27"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8" thickBot="1">
      <c r="A12" s="3432">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27"/>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34"/>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27"/>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34"/>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6" thickBot="1">
      <c r="A15" s="3435"/>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11">
        <f>IF(E2="办公",2,IF(E2="工业",2,IF(E2="住宅",3,IF(E2="商业",IF(C8="不临58条商业街",2,3)))))</f>
        <v>3</v>
      </c>
      <c r="B16" s="1468" t="s">
        <v>2338</v>
      </c>
      <c r="C16" s="1445">
        <f>ROUND(IF(F17="与级别开发程度一致",0,(G17-E17)/C17),0)</f>
        <v>0</v>
      </c>
      <c r="D16" s="3424" t="s">
        <v>2342</v>
      </c>
      <c r="E16" s="3425"/>
      <c r="F16" s="3424" t="s">
        <v>2339</v>
      </c>
      <c r="G16" s="3425"/>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7" thickBot="1">
      <c r="A17" s="3412"/>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4"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44886</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9.4" thickBot="1">
      <c r="A20" s="1550" t="s">
        <v>2352</v>
      </c>
      <c r="B20" s="1452" t="s">
        <v>2353</v>
      </c>
      <c r="C20" s="1986">
        <f>ROUND(POWER(1+G20,J20-I20)*(POWER(1+G20,I20)-1)/(POWER(1+G20,J20)-1),4)</f>
        <v>0.86399999999999999</v>
      </c>
      <c r="D20" s="1987" t="s">
        <v>2354</v>
      </c>
      <c r="E20" s="2818">
        <f>存贷款利率!E22/100</f>
        <v>4.3499999999999997E-2</v>
      </c>
      <c r="F20" s="1987" t="s">
        <v>2343</v>
      </c>
      <c r="G20" s="2819">
        <f>SUMIF(M26:P26,E2,M28:P28)</f>
        <v>0.05</v>
      </c>
      <c r="H20" s="1987" t="s">
        <v>2355</v>
      </c>
      <c r="I20" s="1988">
        <f>'数据-取费表'!B13</f>
        <v>37</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4">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4">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8.8">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4.4">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ht="25.2">
      <c r="A29" s="2024"/>
      <c r="B29" s="1441" t="s">
        <v>2380</v>
      </c>
      <c r="C29" s="50">
        <f>ROUND(C5*C18*C19*C20*C21*C24,0)</f>
        <v>0</v>
      </c>
      <c r="D29" s="2025">
        <f>项目基本情况!C12</f>
        <v>2562.92</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8"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36">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21"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22"/>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22"/>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8" thickBot="1">
      <c r="A36" s="3423"/>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8"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ht="24">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4.4">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5.2">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52.8">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66">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50.4">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36">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6.4">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6.4">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40.200000000000003"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4.4">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5.2">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52.8">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66">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50.4">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36">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6.4">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6.4">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40.200000000000003"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4.4">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5.2">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66">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66">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3.8">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6.4">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6.4">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36">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9.6">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36.6"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4.4">
      <c r="A79" s="2050" t="s">
        <v>2434</v>
      </c>
      <c r="B79" s="2076">
        <f>1+E81</f>
        <v>1</v>
      </c>
      <c r="C79" s="2053"/>
      <c r="D79" s="2053"/>
      <c r="E79" s="2054"/>
      <c r="F79" s="2048"/>
      <c r="G79" s="584"/>
      <c r="H79" s="584"/>
      <c r="I79" s="584"/>
      <c r="J79" s="584"/>
      <c r="K79" s="584"/>
      <c r="L79" s="584"/>
      <c r="M79" s="584"/>
      <c r="N79" s="584"/>
      <c r="AA79" s="1461"/>
      <c r="AG79" s="2045"/>
    </row>
    <row r="80" spans="1:33" ht="25.2">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9.6">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66">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3.8">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6.4">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6.4">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36">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53.4"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13" t="s">
        <v>2437</v>
      </c>
      <c r="B90" s="3413"/>
      <c r="C90" s="3413"/>
      <c r="D90" s="3413"/>
      <c r="E90" s="3413"/>
      <c r="F90" s="3413"/>
      <c r="G90" s="3413"/>
      <c r="H90" s="3413"/>
      <c r="I90" s="3413"/>
      <c r="J90" s="3413"/>
      <c r="K90" s="2082"/>
      <c r="L90" s="2082"/>
      <c r="M90" s="2082"/>
      <c r="N90" s="2082"/>
    </row>
    <row r="91" spans="1:33">
      <c r="A91" s="3415" t="s">
        <v>2438</v>
      </c>
      <c r="B91" s="3415" t="s">
        <v>2439</v>
      </c>
      <c r="C91" s="2026" t="s">
        <v>2440</v>
      </c>
      <c r="D91" s="2027"/>
      <c r="E91" s="2027"/>
      <c r="F91" s="2027"/>
      <c r="G91" s="2027"/>
      <c r="H91" s="2027"/>
      <c r="I91" s="2027"/>
      <c r="J91" s="2083"/>
      <c r="K91" s="1360"/>
      <c r="L91" s="1360"/>
      <c r="M91" s="1360"/>
      <c r="N91" s="1360"/>
    </row>
    <row r="92" spans="1:33">
      <c r="A92" s="3415"/>
      <c r="B92" s="3415"/>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16"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17"/>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17"/>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17"/>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17"/>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17"/>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17"/>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18"/>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16"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17"/>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17"/>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17"/>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17"/>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17"/>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17"/>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17"/>
      <c r="B108" s="3419"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18"/>
      <c r="B109" s="3420"/>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14" t="s">
        <v>2445</v>
      </c>
      <c r="B110" s="3414"/>
      <c r="C110" s="3414"/>
      <c r="D110" s="3414"/>
      <c r="E110" s="3414"/>
      <c r="F110" s="3414"/>
      <c r="G110" s="3414"/>
      <c r="H110" s="3414"/>
      <c r="I110" s="3414"/>
      <c r="J110" s="3414"/>
      <c r="K110" s="1874"/>
      <c r="L110" s="1874"/>
      <c r="M110" s="1874"/>
      <c r="N110" s="1874"/>
    </row>
    <row r="112" spans="1:14" ht="13.8" thickBot="1"/>
    <row r="113" spans="1:13" ht="25.8"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8"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36" t="s">
        <v>597</v>
      </c>
      <c r="B1" s="3436"/>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36" t="s">
        <v>105</v>
      </c>
      <c r="B1" s="3436"/>
      <c r="C1" s="3436"/>
      <c r="D1" s="3436"/>
      <c r="E1" s="3436"/>
      <c r="F1" s="3436"/>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37" t="s">
        <v>118</v>
      </c>
      <c r="B2" s="3437"/>
      <c r="C2" s="3437"/>
      <c r="D2" s="3437"/>
      <c r="E2" s="3437"/>
      <c r="F2" s="3437"/>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8"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9"/>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44" t="s">
        <v>2803</v>
      </c>
      <c r="B20" s="3447" t="s">
        <v>2811</v>
      </c>
      <c r="C20" s="3025" t="s">
        <v>2812</v>
      </c>
      <c r="D20" s="3026"/>
      <c r="E20" s="3027">
        <v>1</v>
      </c>
      <c r="F20" s="3028" t="s">
        <v>2813</v>
      </c>
      <c r="G20" s="3028"/>
    </row>
    <row r="21" spans="1:13" ht="19.5" customHeight="1">
      <c r="A21" s="3445"/>
      <c r="B21" s="3443"/>
      <c r="C21" s="708" t="s">
        <v>2814</v>
      </c>
      <c r="D21" s="709"/>
      <c r="E21" s="3029">
        <v>1</v>
      </c>
      <c r="F21" s="3028" t="s">
        <v>2815</v>
      </c>
      <c r="G21" s="3028"/>
    </row>
    <row r="22" spans="1:13" ht="19.5" customHeight="1">
      <c r="A22" s="3445"/>
      <c r="B22" s="3443"/>
      <c r="C22" s="708" t="s">
        <v>2816</v>
      </c>
      <c r="D22" s="709"/>
      <c r="E22" s="3029">
        <v>0.9</v>
      </c>
      <c r="F22" s="3028" t="s">
        <v>2817</v>
      </c>
      <c r="G22" s="3028"/>
    </row>
    <row r="23" spans="1:13" ht="19.5" customHeight="1">
      <c r="A23" s="3445"/>
      <c r="B23" s="3443"/>
      <c r="C23" s="708" t="s">
        <v>2818</v>
      </c>
      <c r="D23" s="709"/>
      <c r="E23" s="3029">
        <v>0.9</v>
      </c>
      <c r="F23" s="3028" t="s">
        <v>2819</v>
      </c>
      <c r="G23" s="3028"/>
    </row>
    <row r="24" spans="1:13" ht="19.5" customHeight="1">
      <c r="A24" s="3445"/>
      <c r="B24" s="3443"/>
      <c r="C24" s="708" t="s">
        <v>2820</v>
      </c>
      <c r="D24" s="709"/>
      <c r="E24" s="3029">
        <v>0.8</v>
      </c>
      <c r="F24" s="3028" t="s">
        <v>2821</v>
      </c>
      <c r="G24" s="3028"/>
    </row>
    <row r="25" spans="1:13" ht="19.5" customHeight="1" thickBot="1">
      <c r="A25" s="3446"/>
      <c r="B25" s="3448"/>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49" t="s">
        <v>2808</v>
      </c>
      <c r="B27" s="3447" t="s">
        <v>2808</v>
      </c>
      <c r="C27" s="3025" t="s">
        <v>2825</v>
      </c>
      <c r="D27" s="3026"/>
      <c r="E27" s="3027">
        <v>1</v>
      </c>
      <c r="F27" s="3028" t="s">
        <v>2866</v>
      </c>
      <c r="G27" s="3028"/>
    </row>
    <row r="28" spans="1:13" ht="19.5" customHeight="1">
      <c r="A28" s="3450"/>
      <c r="B28" s="3443"/>
      <c r="C28" s="708" t="s">
        <v>2826</v>
      </c>
      <c r="D28" s="709"/>
      <c r="E28" s="3029">
        <v>1</v>
      </c>
      <c r="F28" s="3028" t="s">
        <v>2867</v>
      </c>
      <c r="G28" s="3028"/>
    </row>
    <row r="29" spans="1:13" ht="19.5" customHeight="1">
      <c r="A29" s="3450"/>
      <c r="B29" s="3443"/>
      <c r="C29" s="708" t="s">
        <v>2827</v>
      </c>
      <c r="D29" s="709"/>
      <c r="E29" s="3029">
        <v>0.8</v>
      </c>
      <c r="F29" s="3028" t="s">
        <v>2868</v>
      </c>
      <c r="G29" s="3028"/>
    </row>
    <row r="30" spans="1:13" ht="19.5" customHeight="1">
      <c r="A30" s="3450"/>
      <c r="B30" s="3443"/>
      <c r="C30" s="708" t="s">
        <v>2828</v>
      </c>
      <c r="D30" s="709"/>
      <c r="E30" s="3029">
        <v>0.8</v>
      </c>
      <c r="F30" s="3028" t="s">
        <v>2869</v>
      </c>
      <c r="G30" s="3028"/>
    </row>
    <row r="31" spans="1:13" ht="19.5" customHeight="1">
      <c r="A31" s="3450"/>
      <c r="B31" s="3443"/>
      <c r="C31" s="708" t="s">
        <v>2829</v>
      </c>
      <c r="D31" s="709"/>
      <c r="E31" s="3029">
        <v>0.8</v>
      </c>
      <c r="F31" s="3028" t="s">
        <v>2870</v>
      </c>
      <c r="G31" s="3028"/>
    </row>
    <row r="32" spans="1:13" ht="19.5" customHeight="1">
      <c r="A32" s="3450"/>
      <c r="B32" s="3443"/>
      <c r="C32" s="708" t="s">
        <v>2830</v>
      </c>
      <c r="D32" s="709"/>
      <c r="E32" s="3029">
        <v>0.7</v>
      </c>
      <c r="F32" s="3028" t="s">
        <v>2871</v>
      </c>
      <c r="G32" s="3028"/>
    </row>
    <row r="33" spans="1:7" ht="19.5" customHeight="1">
      <c r="A33" s="3450"/>
      <c r="B33" s="3443"/>
      <c r="C33" s="708" t="s">
        <v>2831</v>
      </c>
      <c r="D33" s="709"/>
      <c r="E33" s="3029">
        <v>0.8</v>
      </c>
      <c r="F33" s="3028" t="s">
        <v>2872</v>
      </c>
      <c r="G33" s="3028"/>
    </row>
    <row r="34" spans="1:7" ht="19.5" customHeight="1">
      <c r="A34" s="3450"/>
      <c r="B34" s="3443"/>
      <c r="C34" s="708" t="s">
        <v>2832</v>
      </c>
      <c r="D34" s="709"/>
      <c r="E34" s="3029">
        <v>0.6</v>
      </c>
      <c r="F34" s="3028" t="s">
        <v>2873</v>
      </c>
      <c r="G34" s="3028"/>
    </row>
    <row r="35" spans="1:7" ht="19.5" customHeight="1">
      <c r="A35" s="3450"/>
      <c r="B35" s="3443"/>
      <c r="C35" s="708" t="s">
        <v>2833</v>
      </c>
      <c r="D35" s="709"/>
      <c r="E35" s="3029">
        <v>0.2</v>
      </c>
      <c r="F35" s="3028" t="s">
        <v>2874</v>
      </c>
      <c r="G35" s="3028"/>
    </row>
    <row r="36" spans="1:7" ht="19.5" customHeight="1">
      <c r="A36" s="3450"/>
      <c r="B36" s="3443"/>
      <c r="C36" s="708" t="s">
        <v>2834</v>
      </c>
      <c r="D36" s="709"/>
      <c r="E36" s="3029">
        <v>0.2</v>
      </c>
      <c r="F36" s="3028" t="s">
        <v>2875</v>
      </c>
      <c r="G36" s="3028"/>
    </row>
    <row r="37" spans="1:7" ht="19.5" customHeight="1">
      <c r="A37" s="3450"/>
      <c r="B37" s="3441" t="s">
        <v>2835</v>
      </c>
      <c r="C37" s="708" t="s">
        <v>2836</v>
      </c>
      <c r="D37" s="709"/>
      <c r="E37" s="3029">
        <v>0.6</v>
      </c>
      <c r="F37" s="3028" t="s">
        <v>2876</v>
      </c>
      <c r="G37" s="3028"/>
    </row>
    <row r="38" spans="1:7" ht="19.5" customHeight="1">
      <c r="A38" s="3450"/>
      <c r="B38" s="3443"/>
      <c r="C38" s="708" t="s">
        <v>2837</v>
      </c>
      <c r="D38" s="709"/>
      <c r="E38" s="3029">
        <v>0.6</v>
      </c>
      <c r="F38" s="3028" t="s">
        <v>2877</v>
      </c>
      <c r="G38" s="3028"/>
    </row>
    <row r="39" spans="1:7" ht="19.5" customHeight="1" thickBot="1">
      <c r="A39" s="3451"/>
      <c r="B39" s="3448"/>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44" t="s">
        <v>2841</v>
      </c>
      <c r="B41" s="3447" t="s">
        <v>2842</v>
      </c>
      <c r="C41" s="3025" t="s">
        <v>2843</v>
      </c>
      <c r="D41" s="3026"/>
      <c r="E41" s="3027">
        <v>1</v>
      </c>
      <c r="F41" s="3028" t="s">
        <v>2844</v>
      </c>
      <c r="G41" s="3028"/>
    </row>
    <row r="42" spans="1:7" ht="19.5" customHeight="1">
      <c r="A42" s="3445"/>
      <c r="B42" s="3443"/>
      <c r="C42" s="708" t="s">
        <v>2845</v>
      </c>
      <c r="D42" s="709"/>
      <c r="E42" s="3029">
        <v>1</v>
      </c>
      <c r="F42" s="3028" t="s">
        <v>2846</v>
      </c>
      <c r="G42" s="3028"/>
    </row>
    <row r="43" spans="1:7" ht="19.5" customHeight="1">
      <c r="A43" s="3445"/>
      <c r="B43" s="3442"/>
      <c r="C43" s="708" t="s">
        <v>2847</v>
      </c>
      <c r="D43" s="709"/>
      <c r="E43" s="3029">
        <v>1.5</v>
      </c>
      <c r="F43" s="3028" t="s">
        <v>2848</v>
      </c>
      <c r="G43" s="3028"/>
    </row>
    <row r="44" spans="1:7" ht="19.5" customHeight="1">
      <c r="A44" s="3445"/>
      <c r="B44" s="3038" t="s">
        <v>2808</v>
      </c>
      <c r="C44" s="708" t="s">
        <v>2807</v>
      </c>
      <c r="D44" s="709"/>
      <c r="E44" s="3029">
        <v>2</v>
      </c>
      <c r="F44" s="3028" t="s">
        <v>2849</v>
      </c>
      <c r="G44" s="3028"/>
    </row>
    <row r="45" spans="1:7" ht="19.5" customHeight="1">
      <c r="A45" s="3445"/>
      <c r="B45" s="3441" t="s">
        <v>2850</v>
      </c>
      <c r="C45" s="708" t="s">
        <v>2851</v>
      </c>
      <c r="D45" s="709"/>
      <c r="E45" s="3029">
        <v>1</v>
      </c>
      <c r="F45" s="3028" t="s">
        <v>2852</v>
      </c>
      <c r="G45" s="3028"/>
    </row>
    <row r="46" spans="1:7" ht="19.5" customHeight="1">
      <c r="A46" s="3445"/>
      <c r="B46" s="3443"/>
      <c r="C46" s="708" t="s">
        <v>2853</v>
      </c>
      <c r="D46" s="709"/>
      <c r="E46" s="3029">
        <v>1</v>
      </c>
      <c r="F46" s="3028" t="s">
        <v>2854</v>
      </c>
      <c r="G46" s="3028"/>
    </row>
    <row r="47" spans="1:7" ht="19.5" customHeight="1">
      <c r="A47" s="3445"/>
      <c r="B47" s="3443"/>
      <c r="C47" s="708" t="s">
        <v>2855</v>
      </c>
      <c r="D47" s="709"/>
      <c r="E47" s="3029">
        <v>1</v>
      </c>
      <c r="F47" s="3028" t="s">
        <v>2856</v>
      </c>
      <c r="G47" s="3028"/>
    </row>
    <row r="48" spans="1:7" ht="19.5" customHeight="1">
      <c r="A48" s="3445"/>
      <c r="B48" s="3443"/>
      <c r="C48" s="708" t="s">
        <v>2857</v>
      </c>
      <c r="D48" s="709"/>
      <c r="E48" s="3029">
        <v>1</v>
      </c>
      <c r="F48" s="3028" t="s">
        <v>2858</v>
      </c>
      <c r="G48" s="3028"/>
    </row>
    <row r="49" spans="1:7" ht="19.5" customHeight="1">
      <c r="A49" s="3445"/>
      <c r="B49" s="3443"/>
      <c r="C49" s="708" t="s">
        <v>2859</v>
      </c>
      <c r="D49" s="709"/>
      <c r="E49" s="3029">
        <v>1</v>
      </c>
      <c r="F49" s="3028" t="s">
        <v>2860</v>
      </c>
      <c r="G49" s="3028"/>
    </row>
    <row r="50" spans="1:7" ht="19.5" customHeight="1">
      <c r="A50" s="3445"/>
      <c r="B50" s="3443"/>
      <c r="C50" s="708" t="s">
        <v>2861</v>
      </c>
      <c r="D50" s="709"/>
      <c r="E50" s="3029">
        <v>1</v>
      </c>
      <c r="F50" s="3028" t="s">
        <v>2862</v>
      </c>
      <c r="G50" s="3028"/>
    </row>
    <row r="51" spans="1:7" ht="19.5" customHeight="1" thickBot="1">
      <c r="A51" s="3446"/>
      <c r="B51" s="3448"/>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4.4">
      <c r="A72" s="3038"/>
      <c r="B72" s="3038"/>
      <c r="C72" s="3038" t="s">
        <v>2880</v>
      </c>
      <c r="D72" s="3038"/>
      <c r="E72" s="3044" t="s">
        <v>1</v>
      </c>
      <c r="F72" s="3038" t="s">
        <v>1</v>
      </c>
    </row>
    <row r="73" spans="1:7" ht="14.4">
      <c r="A73" s="3038">
        <v>1</v>
      </c>
      <c r="B73" s="3441" t="s">
        <v>2881</v>
      </c>
      <c r="C73" s="3019" t="s">
        <v>2882</v>
      </c>
      <c r="D73" s="3019" t="s">
        <v>2883</v>
      </c>
      <c r="E73" s="3044">
        <v>0.2</v>
      </c>
      <c r="F73" s="3038">
        <v>25</v>
      </c>
    </row>
    <row r="74" spans="1:7" ht="24">
      <c r="A74" s="3038">
        <v>2</v>
      </c>
      <c r="B74" s="3443"/>
      <c r="C74" s="3019" t="s">
        <v>2884</v>
      </c>
      <c r="D74" s="3019" t="s">
        <v>2885</v>
      </c>
      <c r="E74" s="3044">
        <v>0.2</v>
      </c>
      <c r="F74" s="3038">
        <v>25</v>
      </c>
    </row>
    <row r="75" spans="1:7" ht="24">
      <c r="A75" s="3038">
        <v>3</v>
      </c>
      <c r="B75" s="3443"/>
      <c r="C75" s="3019" t="s">
        <v>2886</v>
      </c>
      <c r="D75" s="3019" t="s">
        <v>2887</v>
      </c>
      <c r="E75" s="3044">
        <v>0.2</v>
      </c>
      <c r="F75" s="3038">
        <v>25</v>
      </c>
    </row>
    <row r="76" spans="1:7" ht="14.4">
      <c r="A76" s="3038">
        <v>4</v>
      </c>
      <c r="B76" s="3443"/>
      <c r="C76" s="3019" t="s">
        <v>2888</v>
      </c>
      <c r="D76" s="3019" t="s">
        <v>2889</v>
      </c>
      <c r="E76" s="3044">
        <v>0.15</v>
      </c>
      <c r="F76" s="3038">
        <v>20</v>
      </c>
    </row>
    <row r="77" spans="1:7" ht="24">
      <c r="A77" s="3038">
        <v>5</v>
      </c>
      <c r="B77" s="3443"/>
      <c r="C77" s="3019" t="s">
        <v>2890</v>
      </c>
      <c r="D77" s="3019" t="s">
        <v>2891</v>
      </c>
      <c r="E77" s="3044">
        <v>0.15</v>
      </c>
      <c r="F77" s="3038">
        <v>20</v>
      </c>
    </row>
    <row r="78" spans="1:7" ht="24">
      <c r="A78" s="3038">
        <v>6</v>
      </c>
      <c r="B78" s="3443"/>
      <c r="C78" s="3019" t="s">
        <v>2892</v>
      </c>
      <c r="D78" s="3019" t="s">
        <v>2893</v>
      </c>
      <c r="E78" s="3044">
        <v>0.15</v>
      </c>
      <c r="F78" s="3038">
        <v>20</v>
      </c>
    </row>
    <row r="79" spans="1:7" ht="24">
      <c r="A79" s="3038">
        <v>7</v>
      </c>
      <c r="B79" s="3443"/>
      <c r="C79" s="3019" t="s">
        <v>2894</v>
      </c>
      <c r="D79" s="3019" t="s">
        <v>2895</v>
      </c>
      <c r="E79" s="3044">
        <v>0.15</v>
      </c>
      <c r="F79" s="3038">
        <v>20</v>
      </c>
    </row>
    <row r="80" spans="1:7" ht="24">
      <c r="A80" s="3038">
        <v>8</v>
      </c>
      <c r="B80" s="3443"/>
      <c r="C80" s="3019" t="s">
        <v>2896</v>
      </c>
      <c r="D80" s="3019" t="s">
        <v>2897</v>
      </c>
      <c r="E80" s="3044">
        <v>0.1</v>
      </c>
      <c r="F80" s="3038">
        <v>15</v>
      </c>
    </row>
    <row r="81" spans="1:6" ht="24">
      <c r="A81" s="3038">
        <v>9</v>
      </c>
      <c r="B81" s="3443"/>
      <c r="C81" s="3019" t="s">
        <v>2898</v>
      </c>
      <c r="D81" s="3019" t="s">
        <v>2899</v>
      </c>
      <c r="E81" s="3044">
        <v>0.1</v>
      </c>
      <c r="F81" s="3038">
        <v>15</v>
      </c>
    </row>
    <row r="82" spans="1:6" ht="24">
      <c r="A82" s="3038">
        <v>10</v>
      </c>
      <c r="B82" s="3443"/>
      <c r="C82" s="3019" t="s">
        <v>2900</v>
      </c>
      <c r="D82" s="3019" t="s">
        <v>2901</v>
      </c>
      <c r="E82" s="3044">
        <v>0.1</v>
      </c>
      <c r="F82" s="3038">
        <v>15</v>
      </c>
    </row>
    <row r="83" spans="1:6" ht="24">
      <c r="A83" s="3038">
        <v>11</v>
      </c>
      <c r="B83" s="3443"/>
      <c r="C83" s="3019" t="s">
        <v>2902</v>
      </c>
      <c r="D83" s="3019" t="s">
        <v>2903</v>
      </c>
      <c r="E83" s="3044">
        <v>0.1</v>
      </c>
      <c r="F83" s="3038">
        <v>15</v>
      </c>
    </row>
    <row r="84" spans="1:6" ht="24">
      <c r="A84" s="3038">
        <v>12</v>
      </c>
      <c r="B84" s="3443"/>
      <c r="C84" s="3019" t="s">
        <v>2904</v>
      </c>
      <c r="D84" s="3019" t="s">
        <v>2905</v>
      </c>
      <c r="E84" s="3044">
        <v>0.1</v>
      </c>
      <c r="F84" s="3038">
        <v>15</v>
      </c>
    </row>
    <row r="85" spans="1:6" ht="24">
      <c r="A85" s="3038">
        <v>13</v>
      </c>
      <c r="B85" s="3443"/>
      <c r="C85" s="3019" t="s">
        <v>2906</v>
      </c>
      <c r="D85" s="3019" t="s">
        <v>2907</v>
      </c>
      <c r="E85" s="3044">
        <v>0.1</v>
      </c>
      <c r="F85" s="3038">
        <v>15</v>
      </c>
    </row>
    <row r="86" spans="1:6" ht="24">
      <c r="A86" s="3038">
        <v>14</v>
      </c>
      <c r="B86" s="3443"/>
      <c r="C86" s="3019" t="s">
        <v>2908</v>
      </c>
      <c r="D86" s="3019" t="s">
        <v>2909</v>
      </c>
      <c r="E86" s="3044">
        <v>0.1</v>
      </c>
      <c r="F86" s="3038">
        <v>15</v>
      </c>
    </row>
    <row r="87" spans="1:6" ht="24">
      <c r="A87" s="3038">
        <v>15</v>
      </c>
      <c r="B87" s="3443"/>
      <c r="C87" s="3019" t="s">
        <v>2910</v>
      </c>
      <c r="D87" s="3019" t="s">
        <v>2911</v>
      </c>
      <c r="E87" s="3044">
        <v>0.1</v>
      </c>
      <c r="F87" s="3038">
        <v>15</v>
      </c>
    </row>
    <row r="88" spans="1:6" ht="24">
      <c r="A88" s="3038">
        <v>16</v>
      </c>
      <c r="B88" s="3443"/>
      <c r="C88" s="3019" t="s">
        <v>2912</v>
      </c>
      <c r="D88" s="3019" t="s">
        <v>2913</v>
      </c>
      <c r="E88" s="3044">
        <v>0.1</v>
      </c>
      <c r="F88" s="3038">
        <v>15</v>
      </c>
    </row>
    <row r="89" spans="1:6" ht="24">
      <c r="A89" s="3038">
        <v>17</v>
      </c>
      <c r="B89" s="3442"/>
      <c r="C89" s="3019" t="s">
        <v>2914</v>
      </c>
      <c r="D89" s="3019" t="s">
        <v>2915</v>
      </c>
      <c r="E89" s="3044">
        <v>0.1</v>
      </c>
      <c r="F89" s="3038">
        <v>15</v>
      </c>
    </row>
    <row r="90" spans="1:6" ht="14.4">
      <c r="A90" s="3038">
        <v>18</v>
      </c>
      <c r="B90" s="3441" t="s">
        <v>2916</v>
      </c>
      <c r="C90" s="3019" t="s">
        <v>2917</v>
      </c>
      <c r="D90" s="3019" t="s">
        <v>2918</v>
      </c>
      <c r="E90" s="3044">
        <v>0.2</v>
      </c>
      <c r="F90" s="3038">
        <v>25</v>
      </c>
    </row>
    <row r="91" spans="1:6" ht="24">
      <c r="A91" s="3038">
        <v>19</v>
      </c>
      <c r="B91" s="3443"/>
      <c r="C91" s="3019" t="s">
        <v>2919</v>
      </c>
      <c r="D91" s="3019" t="s">
        <v>2920</v>
      </c>
      <c r="E91" s="3044">
        <v>0.2</v>
      </c>
      <c r="F91" s="3038">
        <v>25</v>
      </c>
    </row>
    <row r="92" spans="1:6" ht="14.4">
      <c r="A92" s="3038">
        <v>20</v>
      </c>
      <c r="B92" s="3443"/>
      <c r="C92" s="3019" t="s">
        <v>2921</v>
      </c>
      <c r="D92" s="3019" t="s">
        <v>2922</v>
      </c>
      <c r="E92" s="3044">
        <v>0.15</v>
      </c>
      <c r="F92" s="3038">
        <v>20</v>
      </c>
    </row>
    <row r="93" spans="1:6" ht="24">
      <c r="A93" s="3038">
        <v>21</v>
      </c>
      <c r="B93" s="3443"/>
      <c r="C93" s="3019" t="s">
        <v>2923</v>
      </c>
      <c r="D93" s="3019" t="s">
        <v>2924</v>
      </c>
      <c r="E93" s="3044">
        <v>0.15</v>
      </c>
      <c r="F93" s="3038">
        <v>20</v>
      </c>
    </row>
    <row r="94" spans="1:6" ht="24">
      <c r="A94" s="3038">
        <v>22</v>
      </c>
      <c r="B94" s="3443"/>
      <c r="C94" s="3019" t="s">
        <v>2925</v>
      </c>
      <c r="D94" s="3019" t="s">
        <v>2926</v>
      </c>
      <c r="E94" s="3044">
        <v>0.15</v>
      </c>
      <c r="F94" s="3038">
        <v>20</v>
      </c>
    </row>
    <row r="95" spans="1:6" ht="36">
      <c r="A95" s="3038">
        <v>23</v>
      </c>
      <c r="B95" s="3443"/>
      <c r="C95" s="3019" t="s">
        <v>2927</v>
      </c>
      <c r="D95" s="3019" t="s">
        <v>2928</v>
      </c>
      <c r="E95" s="3044">
        <v>0.15</v>
      </c>
      <c r="F95" s="3038">
        <v>20</v>
      </c>
    </row>
    <row r="96" spans="1:6" ht="24">
      <c r="A96" s="3038">
        <v>24</v>
      </c>
      <c r="B96" s="3443"/>
      <c r="C96" s="3019" t="s">
        <v>2929</v>
      </c>
      <c r="D96" s="3019" t="s">
        <v>2930</v>
      </c>
      <c r="E96" s="3044">
        <v>0.1</v>
      </c>
      <c r="F96" s="3038">
        <v>15</v>
      </c>
    </row>
    <row r="97" spans="1:6" ht="24">
      <c r="A97" s="3038">
        <v>25</v>
      </c>
      <c r="B97" s="3443"/>
      <c r="C97" s="3019" t="s">
        <v>2931</v>
      </c>
      <c r="D97" s="3019" t="s">
        <v>2932</v>
      </c>
      <c r="E97" s="3044">
        <v>0.1</v>
      </c>
      <c r="F97" s="3038">
        <v>15</v>
      </c>
    </row>
    <row r="98" spans="1:6" ht="24">
      <c r="A98" s="3038">
        <v>26</v>
      </c>
      <c r="B98" s="3443"/>
      <c r="C98" s="3019" t="s">
        <v>2933</v>
      </c>
      <c r="D98" s="3019" t="s">
        <v>2934</v>
      </c>
      <c r="E98" s="3044">
        <v>0.1</v>
      </c>
      <c r="F98" s="3038">
        <v>15</v>
      </c>
    </row>
    <row r="99" spans="1:6" ht="24">
      <c r="A99" s="3038">
        <v>27</v>
      </c>
      <c r="B99" s="3443"/>
      <c r="C99" s="3019" t="s">
        <v>2935</v>
      </c>
      <c r="D99" s="3019" t="s">
        <v>2936</v>
      </c>
      <c r="E99" s="3044">
        <v>0.1</v>
      </c>
      <c r="F99" s="3038">
        <v>15</v>
      </c>
    </row>
    <row r="100" spans="1:6" ht="24">
      <c r="A100" s="3038">
        <v>28</v>
      </c>
      <c r="B100" s="3443"/>
      <c r="C100" s="3019" t="s">
        <v>2937</v>
      </c>
      <c r="D100" s="3019" t="s">
        <v>2938</v>
      </c>
      <c r="E100" s="3044">
        <v>0.1</v>
      </c>
      <c r="F100" s="3038">
        <v>15</v>
      </c>
    </row>
    <row r="101" spans="1:6" ht="24">
      <c r="A101" s="3038">
        <v>29</v>
      </c>
      <c r="B101" s="3443"/>
      <c r="C101" s="3019" t="s">
        <v>2939</v>
      </c>
      <c r="D101" s="3019" t="s">
        <v>2940</v>
      </c>
      <c r="E101" s="3044">
        <v>0.1</v>
      </c>
      <c r="F101" s="3038">
        <v>15</v>
      </c>
    </row>
    <row r="102" spans="1:6" ht="24">
      <c r="A102" s="3038">
        <v>30</v>
      </c>
      <c r="B102" s="3443"/>
      <c r="C102" s="3019" t="s">
        <v>2941</v>
      </c>
      <c r="D102" s="3019" t="s">
        <v>2942</v>
      </c>
      <c r="E102" s="3044">
        <v>0.1</v>
      </c>
      <c r="F102" s="3038">
        <v>15</v>
      </c>
    </row>
    <row r="103" spans="1:6" ht="24">
      <c r="A103" s="3038">
        <v>31</v>
      </c>
      <c r="B103" s="3443"/>
      <c r="C103" s="3019" t="s">
        <v>2943</v>
      </c>
      <c r="D103" s="3019" t="s">
        <v>2944</v>
      </c>
      <c r="E103" s="3044">
        <v>0.1</v>
      </c>
      <c r="F103" s="3038">
        <v>15</v>
      </c>
    </row>
    <row r="104" spans="1:6" ht="24">
      <c r="A104" s="3038">
        <v>32</v>
      </c>
      <c r="B104" s="3443"/>
      <c r="C104" s="3019" t="s">
        <v>2945</v>
      </c>
      <c r="D104" s="3019" t="s">
        <v>2946</v>
      </c>
      <c r="E104" s="3044">
        <v>0.1</v>
      </c>
      <c r="F104" s="3038">
        <v>15</v>
      </c>
    </row>
    <row r="105" spans="1:6" ht="24">
      <c r="A105" s="3038">
        <v>33</v>
      </c>
      <c r="B105" s="3443"/>
      <c r="C105" s="3019" t="s">
        <v>2947</v>
      </c>
      <c r="D105" s="3019" t="s">
        <v>2948</v>
      </c>
      <c r="E105" s="3044">
        <v>0.1</v>
      </c>
      <c r="F105" s="3038">
        <v>15</v>
      </c>
    </row>
    <row r="106" spans="1:6" ht="24">
      <c r="A106" s="3038">
        <v>34</v>
      </c>
      <c r="B106" s="3442"/>
      <c r="C106" s="3019" t="s">
        <v>2949</v>
      </c>
      <c r="D106" s="3019" t="s">
        <v>2950</v>
      </c>
      <c r="E106" s="3044">
        <v>0.1</v>
      </c>
      <c r="F106" s="3038">
        <v>15</v>
      </c>
    </row>
    <row r="107" spans="1:6" ht="36">
      <c r="A107" s="3038">
        <v>35</v>
      </c>
      <c r="B107" s="3441" t="s">
        <v>2951</v>
      </c>
      <c r="C107" s="3038" t="s">
        <v>2952</v>
      </c>
      <c r="D107" s="3019" t="s">
        <v>2953</v>
      </c>
      <c r="E107" s="3044">
        <v>0.15</v>
      </c>
      <c r="F107" s="3038">
        <v>20</v>
      </c>
    </row>
    <row r="108" spans="1:6" ht="24">
      <c r="A108" s="3038">
        <v>36</v>
      </c>
      <c r="B108" s="3443"/>
      <c r="C108" s="3038" t="s">
        <v>2954</v>
      </c>
      <c r="D108" s="3019" t="s">
        <v>2955</v>
      </c>
      <c r="E108" s="3044">
        <v>0.15</v>
      </c>
      <c r="F108" s="3038">
        <v>20</v>
      </c>
    </row>
    <row r="109" spans="1:6" ht="24">
      <c r="A109" s="3038">
        <v>37</v>
      </c>
      <c r="B109" s="3443"/>
      <c r="C109" s="3038" t="s">
        <v>2956</v>
      </c>
      <c r="D109" s="3019" t="s">
        <v>2957</v>
      </c>
      <c r="E109" s="3044">
        <v>0.15</v>
      </c>
      <c r="F109" s="3038">
        <v>20</v>
      </c>
    </row>
    <row r="110" spans="1:6" ht="24">
      <c r="A110" s="3038">
        <v>38</v>
      </c>
      <c r="B110" s="3443"/>
      <c r="C110" s="3038" t="s">
        <v>2958</v>
      </c>
      <c r="D110" s="3019" t="s">
        <v>2959</v>
      </c>
      <c r="E110" s="3044">
        <v>0.1</v>
      </c>
      <c r="F110" s="3038">
        <v>15</v>
      </c>
    </row>
    <row r="111" spans="1:6" ht="24">
      <c r="A111" s="3038">
        <v>39</v>
      </c>
      <c r="B111" s="3443"/>
      <c r="C111" s="3038" t="s">
        <v>2960</v>
      </c>
      <c r="D111" s="3019" t="s">
        <v>2961</v>
      </c>
      <c r="E111" s="3044">
        <v>0.1</v>
      </c>
      <c r="F111" s="3038">
        <v>15</v>
      </c>
    </row>
    <row r="112" spans="1:6" ht="24">
      <c r="A112" s="3038">
        <v>40</v>
      </c>
      <c r="B112" s="3442"/>
      <c r="C112" s="3038" t="s">
        <v>2962</v>
      </c>
      <c r="D112" s="3019" t="s">
        <v>2963</v>
      </c>
      <c r="E112" s="3044">
        <v>0.1</v>
      </c>
      <c r="F112" s="3038">
        <v>15</v>
      </c>
    </row>
    <row r="113" spans="1:6" ht="24">
      <c r="A113" s="3038">
        <v>41</v>
      </c>
      <c r="B113" s="3440" t="s">
        <v>2964</v>
      </c>
      <c r="C113" s="3038" t="s">
        <v>2965</v>
      </c>
      <c r="D113" s="3019" t="s">
        <v>2966</v>
      </c>
      <c r="E113" s="3044">
        <v>0.1</v>
      </c>
      <c r="F113" s="3038">
        <v>15</v>
      </c>
    </row>
    <row r="114" spans="1:6" ht="24">
      <c r="A114" s="3038">
        <v>42</v>
      </c>
      <c r="B114" s="3440"/>
      <c r="C114" s="3038" t="s">
        <v>2967</v>
      </c>
      <c r="D114" s="3019" t="s">
        <v>2968</v>
      </c>
      <c r="E114" s="3044">
        <v>0.1</v>
      </c>
      <c r="F114" s="3038">
        <v>15</v>
      </c>
    </row>
    <row r="115" spans="1:6" ht="24">
      <c r="A115" s="3038">
        <v>43</v>
      </c>
      <c r="B115" s="3440"/>
      <c r="C115" s="3038" t="s">
        <v>2969</v>
      </c>
      <c r="D115" s="3019" t="s">
        <v>2970</v>
      </c>
      <c r="E115" s="3044">
        <v>0.1</v>
      </c>
      <c r="F115" s="3038">
        <v>15</v>
      </c>
    </row>
    <row r="116" spans="1:6" ht="24">
      <c r="A116" s="3038">
        <v>44</v>
      </c>
      <c r="B116" s="3441" t="s">
        <v>2971</v>
      </c>
      <c r="C116" s="3038" t="s">
        <v>2972</v>
      </c>
      <c r="D116" s="3019" t="s">
        <v>2973</v>
      </c>
      <c r="E116" s="3044">
        <v>0.1</v>
      </c>
      <c r="F116" s="3038">
        <v>15</v>
      </c>
    </row>
    <row r="117" spans="1:6" ht="24">
      <c r="A117" s="3038">
        <v>45</v>
      </c>
      <c r="B117" s="3442"/>
      <c r="C117" s="3019" t="s">
        <v>2974</v>
      </c>
      <c r="D117" s="3019" t="s">
        <v>2975</v>
      </c>
      <c r="E117" s="3044">
        <v>0.1</v>
      </c>
      <c r="F117" s="3038">
        <v>15</v>
      </c>
    </row>
    <row r="118" spans="1:6" ht="24">
      <c r="A118" s="3038">
        <v>46</v>
      </c>
      <c r="B118" s="3441" t="s">
        <v>2976</v>
      </c>
      <c r="C118" s="3038" t="s">
        <v>2977</v>
      </c>
      <c r="D118" s="3019" t="s">
        <v>2978</v>
      </c>
      <c r="E118" s="3044">
        <v>0.1</v>
      </c>
      <c r="F118" s="3038">
        <v>15</v>
      </c>
    </row>
    <row r="119" spans="1:6" ht="24">
      <c r="A119" s="3038">
        <v>47</v>
      </c>
      <c r="B119" s="3442"/>
      <c r="C119" s="3038" t="s">
        <v>2979</v>
      </c>
      <c r="D119" s="3019" t="s">
        <v>2980</v>
      </c>
      <c r="E119" s="3044">
        <v>0.1</v>
      </c>
      <c r="F119" s="3038">
        <v>15</v>
      </c>
    </row>
    <row r="120" spans="1:6" ht="24">
      <c r="A120" s="3038">
        <v>48</v>
      </c>
      <c r="B120" s="3441" t="s">
        <v>2981</v>
      </c>
      <c r="C120" s="3038" t="s">
        <v>2982</v>
      </c>
      <c r="D120" s="3019" t="s">
        <v>2983</v>
      </c>
      <c r="E120" s="3044">
        <v>0.1</v>
      </c>
      <c r="F120" s="3038">
        <v>15</v>
      </c>
    </row>
    <row r="121" spans="1:6" ht="24">
      <c r="A121" s="3038">
        <v>49</v>
      </c>
      <c r="B121" s="3442"/>
      <c r="C121" s="3038" t="s">
        <v>2984</v>
      </c>
      <c r="D121" s="3019" t="s">
        <v>2985</v>
      </c>
      <c r="E121" s="3044">
        <v>0.1</v>
      </c>
      <c r="F121" s="3038">
        <v>15</v>
      </c>
    </row>
    <row r="122" spans="1:6" ht="24">
      <c r="A122" s="3038">
        <v>50</v>
      </c>
      <c r="B122" s="3440" t="s">
        <v>2986</v>
      </c>
      <c r="C122" s="3038" t="s">
        <v>2987</v>
      </c>
      <c r="D122" s="3019" t="s">
        <v>2988</v>
      </c>
      <c r="E122" s="3044">
        <v>0.1</v>
      </c>
      <c r="F122" s="3038">
        <v>15</v>
      </c>
    </row>
    <row r="123" spans="1:6" ht="24">
      <c r="A123" s="3038">
        <v>51</v>
      </c>
      <c r="B123" s="3440"/>
      <c r="C123" s="3038" t="s">
        <v>2989</v>
      </c>
      <c r="D123" s="3019" t="s">
        <v>2990</v>
      </c>
      <c r="E123" s="3044">
        <v>0.1</v>
      </c>
      <c r="F123" s="3038">
        <v>15</v>
      </c>
    </row>
    <row r="124" spans="1:6" ht="24">
      <c r="A124" s="3038">
        <v>52</v>
      </c>
      <c r="B124" s="3440" t="s">
        <v>2991</v>
      </c>
      <c r="C124" s="3038" t="s">
        <v>2992</v>
      </c>
      <c r="D124" s="3019" t="s">
        <v>2993</v>
      </c>
      <c r="E124" s="3044">
        <v>0.1</v>
      </c>
      <c r="F124" s="3038">
        <v>15</v>
      </c>
    </row>
    <row r="125" spans="1:6" ht="24">
      <c r="A125" s="3038">
        <v>53</v>
      </c>
      <c r="B125" s="3440"/>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24">
      <c r="A127" s="3038">
        <v>55</v>
      </c>
      <c r="B127" s="3440" t="s">
        <v>2999</v>
      </c>
      <c r="C127" s="3038" t="s">
        <v>3000</v>
      </c>
      <c r="D127" s="3019" t="s">
        <v>3001</v>
      </c>
      <c r="E127" s="3044">
        <v>0.1</v>
      </c>
      <c r="F127" s="3038">
        <v>15</v>
      </c>
    </row>
    <row r="128" spans="1:6" ht="24">
      <c r="A128" s="3038">
        <v>56</v>
      </c>
      <c r="B128" s="3440"/>
      <c r="C128" s="3038" t="s">
        <v>3002</v>
      </c>
      <c r="D128" s="3019" t="s">
        <v>3003</v>
      </c>
      <c r="E128" s="3044">
        <v>0.1</v>
      </c>
      <c r="F128" s="3038">
        <v>15</v>
      </c>
    </row>
    <row r="129" spans="1:6" ht="24">
      <c r="A129" s="3038">
        <v>57</v>
      </c>
      <c r="B129" s="3440"/>
      <c r="C129" s="3038" t="s">
        <v>3004</v>
      </c>
      <c r="D129" s="3019" t="s">
        <v>3005</v>
      </c>
      <c r="E129" s="3044">
        <v>0.1</v>
      </c>
      <c r="F129" s="3038">
        <v>15</v>
      </c>
    </row>
    <row r="130" spans="1:6" ht="24">
      <c r="A130" s="3038">
        <v>58</v>
      </c>
      <c r="B130" s="3440" t="s">
        <v>3006</v>
      </c>
      <c r="C130" s="3038" t="s">
        <v>3007</v>
      </c>
      <c r="D130" s="3019" t="s">
        <v>3008</v>
      </c>
      <c r="E130" s="3044">
        <v>0.1</v>
      </c>
      <c r="F130" s="3038">
        <v>15</v>
      </c>
    </row>
    <row r="131" spans="1:6" ht="24">
      <c r="A131" s="3038">
        <v>59</v>
      </c>
      <c r="B131" s="3440"/>
      <c r="C131" s="3038" t="s">
        <v>3009</v>
      </c>
      <c r="D131" s="3019" t="s">
        <v>3010</v>
      </c>
      <c r="E131" s="3044">
        <v>0.1</v>
      </c>
      <c r="F131" s="3038">
        <v>15</v>
      </c>
    </row>
    <row r="132" spans="1:6" ht="24">
      <c r="A132" s="3038">
        <v>60</v>
      </c>
      <c r="B132" s="3441" t="s">
        <v>3011</v>
      </c>
      <c r="C132" s="3038" t="s">
        <v>3012</v>
      </c>
      <c r="D132" s="3019" t="s">
        <v>3013</v>
      </c>
      <c r="E132" s="3044">
        <v>0.1</v>
      </c>
      <c r="F132" s="3038">
        <v>15</v>
      </c>
    </row>
    <row r="133" spans="1:6" ht="24">
      <c r="A133" s="3038">
        <v>61</v>
      </c>
      <c r="B133" s="3442"/>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40" t="s">
        <v>3019</v>
      </c>
      <c r="C135" s="3038" t="s">
        <v>3020</v>
      </c>
      <c r="D135" s="3019" t="s">
        <v>3021</v>
      </c>
      <c r="E135" s="3044">
        <v>0.1</v>
      </c>
      <c r="F135" s="3038">
        <v>15</v>
      </c>
    </row>
    <row r="136" spans="1:6" ht="24">
      <c r="A136" s="3038">
        <v>64</v>
      </c>
      <c r="B136" s="3440"/>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4.4">
      <c r="A138" s="3038"/>
      <c r="B138" s="3038"/>
      <c r="C138" s="3038"/>
      <c r="D138" s="3038"/>
      <c r="E138" s="3044"/>
      <c r="F138" s="303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2"/>
    <col min="2" max="6" width="9" style="2122" customWidth="1"/>
    <col min="7" max="7" width="9" style="2147"/>
    <col min="8" max="8" width="9" style="2122"/>
    <col min="9" max="12" width="9" style="2122" customWidth="1"/>
    <col min="13" max="13" width="2.21875" style="2122" customWidth="1"/>
    <col min="14" max="14" width="9" style="2147" customWidth="1"/>
    <col min="15" max="17" width="9" style="2122" customWidth="1"/>
    <col min="18" max="18" width="2.33203125" style="2122" customWidth="1"/>
    <col min="19" max="19" width="7.109375" style="2147" customWidth="1"/>
    <col min="20" max="22" width="7.109375" style="2122" customWidth="1"/>
    <col min="23" max="23" width="23.88671875" style="2122" customWidth="1"/>
    <col min="24" max="25" width="9" style="2122"/>
    <col min="26" max="27" width="11.6640625" style="2122" customWidth="1"/>
    <col min="28" max="28" width="9" style="2122"/>
    <col min="29" max="29" width="2" style="2122" customWidth="1"/>
    <col min="30" max="16384" width="9" style="2122"/>
  </cols>
  <sheetData>
    <row r="1" spans="1:34" s="2103" customFormat="1">
      <c r="B1" s="3457" t="s">
        <v>782</v>
      </c>
      <c r="C1" s="3457"/>
      <c r="D1" s="3457"/>
      <c r="E1" s="3457"/>
      <c r="F1" s="3457"/>
      <c r="G1" s="3456" t="s">
        <v>783</v>
      </c>
      <c r="H1" s="3456"/>
      <c r="I1" s="3456"/>
      <c r="J1" s="3456"/>
      <c r="K1" s="3456"/>
      <c r="L1" s="3456"/>
      <c r="N1" s="3456" t="s">
        <v>784</v>
      </c>
      <c r="O1" s="3456"/>
      <c r="P1" s="3456"/>
      <c r="Q1" s="3456"/>
      <c r="S1" s="3456" t="s">
        <v>785</v>
      </c>
      <c r="T1" s="3456"/>
      <c r="U1" s="3456"/>
      <c r="V1" s="3456"/>
      <c r="X1" s="3455" t="s">
        <v>786</v>
      </c>
      <c r="Y1" s="3456"/>
      <c r="Z1" s="3456"/>
      <c r="AA1" s="3456"/>
      <c r="AB1" s="3456"/>
      <c r="AD1" s="3455" t="s">
        <v>787</v>
      </c>
      <c r="AE1" s="3456"/>
      <c r="AF1" s="3456"/>
      <c r="AG1" s="3456"/>
      <c r="AH1" s="3456"/>
    </row>
    <row r="2" spans="1:34" s="2104" customFormat="1" ht="1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4">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4">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53">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53"/>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53"/>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62"/>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58">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53"/>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53"/>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62"/>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58">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53"/>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53"/>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8"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54"/>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8" thickBot="1">
      <c r="A34" s="2126" t="s">
        <v>101</v>
      </c>
      <c r="B34" s="2134">
        <v>333</v>
      </c>
      <c r="C34" s="2134">
        <v>277</v>
      </c>
      <c r="D34" s="2134">
        <f t="shared" si="238"/>
        <v>277</v>
      </c>
      <c r="E34" s="2134">
        <v>459</v>
      </c>
      <c r="F34" s="2135">
        <v>249</v>
      </c>
      <c r="G34" s="3452">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53"/>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53"/>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54"/>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8" thickBot="1">
      <c r="A38" s="2126" t="s">
        <v>97</v>
      </c>
      <c r="B38" s="2150">
        <v>318</v>
      </c>
      <c r="C38" s="2150">
        <v>268</v>
      </c>
      <c r="D38" s="2150">
        <f t="shared" si="238"/>
        <v>268</v>
      </c>
      <c r="E38" s="2150">
        <v>437</v>
      </c>
      <c r="F38" s="2151">
        <v>237</v>
      </c>
      <c r="G38" s="3452">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53"/>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8"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53"/>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8"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54"/>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8" thickBot="1">
      <c r="A42" s="2126" t="s">
        <v>800</v>
      </c>
      <c r="B42" s="2134">
        <v>299</v>
      </c>
      <c r="C42" s="2134">
        <v>252</v>
      </c>
      <c r="D42" s="2134">
        <f t="shared" si="238"/>
        <v>252</v>
      </c>
      <c r="E42" s="2134">
        <v>409</v>
      </c>
      <c r="F42" s="2135">
        <v>227</v>
      </c>
      <c r="G42" s="3459">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60"/>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60"/>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61"/>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8" thickBot="1">
      <c r="A46" s="2126" t="s">
        <v>804</v>
      </c>
      <c r="B46" s="2169">
        <v>278</v>
      </c>
      <c r="C46" s="2169">
        <v>234</v>
      </c>
      <c r="D46" s="2169">
        <f t="shared" si="238"/>
        <v>234</v>
      </c>
      <c r="E46" s="2169">
        <v>379</v>
      </c>
      <c r="F46" s="2170">
        <v>220</v>
      </c>
      <c r="G46" s="3452">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53"/>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53"/>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8" thickBot="1">
      <c r="A49" s="2126" t="s">
        <v>807</v>
      </c>
      <c r="B49" s="2127">
        <f>B48/(1+N48)</f>
        <v>275.19025476197027</v>
      </c>
      <c r="C49" s="2171">
        <v>232</v>
      </c>
      <c r="D49" s="2171">
        <f t="shared" si="238"/>
        <v>232</v>
      </c>
      <c r="E49" s="2127">
        <f t="shared" si="249"/>
        <v>375.65990977608692</v>
      </c>
      <c r="F49" s="2127">
        <f t="shared" si="249"/>
        <v>214.12518283971252</v>
      </c>
      <c r="G49" s="3454"/>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8" thickBot="1">
      <c r="A50" s="2126" t="s">
        <v>808</v>
      </c>
      <c r="B50" s="2134">
        <v>275</v>
      </c>
      <c r="C50" s="2134">
        <v>232</v>
      </c>
      <c r="D50" s="2134">
        <f t="shared" si="238"/>
        <v>232</v>
      </c>
      <c r="E50" s="2134">
        <v>376</v>
      </c>
      <c r="F50" s="2135">
        <v>213</v>
      </c>
      <c r="G50" s="3452">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53">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53">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8"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54">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8" thickBot="1">
      <c r="A54" s="2126" t="s">
        <v>812</v>
      </c>
      <c r="B54" s="2134">
        <v>269</v>
      </c>
      <c r="C54" s="2134">
        <v>221</v>
      </c>
      <c r="D54" s="2134">
        <f t="shared" si="238"/>
        <v>221</v>
      </c>
      <c r="E54" s="2134">
        <v>373</v>
      </c>
      <c r="F54" s="2135">
        <v>196</v>
      </c>
      <c r="G54" s="3452">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53">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53">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8"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54">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8" thickBot="1">
      <c r="A58" s="2126" t="s">
        <v>816</v>
      </c>
      <c r="B58" s="2134">
        <v>220</v>
      </c>
      <c r="C58" s="2134">
        <v>187</v>
      </c>
      <c r="D58" s="2134">
        <f t="shared" si="238"/>
        <v>187</v>
      </c>
      <c r="E58" s="2134">
        <v>301</v>
      </c>
      <c r="F58" s="2135">
        <v>168</v>
      </c>
      <c r="G58" s="3452">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53">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53">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54">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8" thickBot="1">
      <c r="A62" s="2126" t="s">
        <v>820</v>
      </c>
      <c r="B62" s="2169">
        <v>214</v>
      </c>
      <c r="C62" s="2169">
        <v>188</v>
      </c>
      <c r="D62" s="2169">
        <f t="shared" si="238"/>
        <v>188</v>
      </c>
      <c r="E62" s="2169">
        <v>289</v>
      </c>
      <c r="F62" s="2170">
        <v>166</v>
      </c>
      <c r="G62" s="3452">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53">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53">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8"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54">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8" thickBot="1">
      <c r="A66" s="2126" t="s">
        <v>824</v>
      </c>
      <c r="B66" s="2134">
        <v>188</v>
      </c>
      <c r="C66" s="2134">
        <v>165</v>
      </c>
      <c r="D66" s="2134">
        <f t="shared" si="238"/>
        <v>165</v>
      </c>
      <c r="E66" s="2134">
        <v>254</v>
      </c>
      <c r="F66" s="2135">
        <v>148</v>
      </c>
      <c r="G66" s="3452">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53">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53">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54">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8" thickBot="1">
      <c r="A70" s="2126" t="s">
        <v>828</v>
      </c>
      <c r="B70" s="2150">
        <v>159</v>
      </c>
      <c r="C70" s="2150">
        <v>141</v>
      </c>
      <c r="D70" s="2150">
        <f t="shared" si="238"/>
        <v>141</v>
      </c>
      <c r="E70" s="2150">
        <v>195</v>
      </c>
      <c r="F70" s="2151">
        <v>122</v>
      </c>
      <c r="G70" s="3452">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53">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53">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54">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8" thickBot="1">
      <c r="A74" s="2126" t="s">
        <v>832</v>
      </c>
      <c r="B74" s="2150">
        <v>138</v>
      </c>
      <c r="C74" s="2150">
        <v>131</v>
      </c>
      <c r="D74" s="2150">
        <f t="shared" si="238"/>
        <v>131</v>
      </c>
      <c r="E74" s="2150">
        <v>155</v>
      </c>
      <c r="F74" s="2151">
        <v>114</v>
      </c>
      <c r="G74" s="3452">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53">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53">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54">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8" thickBot="1">
      <c r="A78" s="2126" t="s">
        <v>836</v>
      </c>
      <c r="B78" s="2169">
        <v>121</v>
      </c>
      <c r="C78" s="2169">
        <v>122</v>
      </c>
      <c r="D78" s="2169">
        <f t="shared" si="238"/>
        <v>122</v>
      </c>
      <c r="E78" s="2169">
        <v>124</v>
      </c>
      <c r="F78" s="2170">
        <v>107</v>
      </c>
      <c r="G78" s="3452">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53">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53">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8"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54">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8" thickBot="1">
      <c r="A82" s="2126" t="s">
        <v>840</v>
      </c>
      <c r="B82" s="2189">
        <v>111</v>
      </c>
      <c r="C82" s="2189">
        <v>114</v>
      </c>
      <c r="D82" s="2189">
        <f t="shared" si="238"/>
        <v>114</v>
      </c>
      <c r="E82" s="2189">
        <v>108</v>
      </c>
      <c r="F82" s="2190">
        <v>104</v>
      </c>
      <c r="G82" s="3452">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53">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53">
        <v>2003</v>
      </c>
      <c r="H84" s="2141">
        <v>2</v>
      </c>
      <c r="I84" s="2191"/>
      <c r="J84" s="2191"/>
      <c r="K84" s="2191"/>
      <c r="L84" s="2191"/>
      <c r="X84" s="2183"/>
      <c r="Y84" s="2183"/>
      <c r="Z84" s="2183"/>
    </row>
    <row r="85" spans="1:26" ht="13.8" thickBot="1">
      <c r="A85" s="2126" t="s">
        <v>843</v>
      </c>
      <c r="B85" s="2193">
        <f t="shared" si="274"/>
        <v>107.25</v>
      </c>
      <c r="C85" s="2193">
        <f t="shared" si="274"/>
        <v>108.75</v>
      </c>
      <c r="D85" s="2193">
        <f t="shared" si="238"/>
        <v>108.75</v>
      </c>
      <c r="E85" s="2193">
        <f t="shared" si="275"/>
        <v>105.75</v>
      </c>
      <c r="F85" s="2193">
        <f t="shared" si="275"/>
        <v>102.5</v>
      </c>
      <c r="G85" s="3454">
        <v>2003</v>
      </c>
      <c r="H85" s="2194">
        <v>1</v>
      </c>
      <c r="I85" s="2191"/>
      <c r="J85" s="2191"/>
      <c r="K85" s="2191"/>
      <c r="L85" s="2191"/>
      <c r="S85" s="2130"/>
      <c r="T85" s="2123"/>
      <c r="U85" s="2123"/>
      <c r="X85" s="2183"/>
      <c r="Y85" s="2183"/>
      <c r="Z85" s="2183"/>
    </row>
    <row r="86" spans="1:26" ht="13.8" thickBot="1">
      <c r="A86" s="2126" t="s">
        <v>844</v>
      </c>
      <c r="B86" s="2195">
        <v>106</v>
      </c>
      <c r="C86" s="2195">
        <v>107</v>
      </c>
      <c r="D86" s="2195">
        <f t="shared" si="238"/>
        <v>107</v>
      </c>
      <c r="E86" s="2195">
        <v>105</v>
      </c>
      <c r="F86" s="2196">
        <v>102</v>
      </c>
      <c r="G86" s="3452">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53">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53">
        <v>2002</v>
      </c>
      <c r="H88" s="2141">
        <v>2</v>
      </c>
      <c r="I88" s="2191"/>
      <c r="J88" s="2191"/>
      <c r="K88" s="2191"/>
      <c r="L88" s="2191"/>
      <c r="X88" s="2183"/>
      <c r="Y88" s="2183"/>
      <c r="Z88" s="2183"/>
    </row>
    <row r="89" spans="1:26" s="2158" customFormat="1" ht="13.8" thickBot="1">
      <c r="A89" s="2154" t="s">
        <v>847</v>
      </c>
      <c r="B89" s="2161">
        <f t="shared" si="276"/>
        <v>103</v>
      </c>
      <c r="C89" s="2161">
        <f t="shared" si="276"/>
        <v>104</v>
      </c>
      <c r="D89" s="2161">
        <f t="shared" si="238"/>
        <v>104</v>
      </c>
      <c r="E89" s="2161">
        <f t="shared" si="277"/>
        <v>103.5</v>
      </c>
      <c r="F89" s="2161">
        <f t="shared" si="277"/>
        <v>100.5</v>
      </c>
      <c r="G89" s="3454">
        <v>2002</v>
      </c>
      <c r="H89" s="2197">
        <v>1</v>
      </c>
      <c r="I89" s="2198"/>
      <c r="J89" s="2198"/>
      <c r="K89" s="2198"/>
      <c r="L89" s="2198"/>
      <c r="N89" s="2199"/>
      <c r="S89" s="2199"/>
      <c r="X89" s="2200"/>
      <c r="Y89" s="2200"/>
      <c r="Z89" s="2200"/>
    </row>
    <row r="90" spans="1:26" ht="13.8"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8"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8"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44886</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8AF99-9C9F-4386-A0B6-0D69E82D2ACD}">
  <dimension ref="A1"/>
  <sheetViews>
    <sheetView workbookViewId="0"/>
  </sheetViews>
  <sheetFormatPr defaultRowHeight="14.4"/>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3.5" customHeight="1">
      <c r="A3" s="1223"/>
      <c r="B3" s="1223"/>
      <c r="C3" s="1223"/>
      <c r="D3" s="1223"/>
      <c r="E3" s="1223"/>
    </row>
    <row r="4" spans="1:5" ht="18" thickBot="1">
      <c r="A4" s="3062" t="str">
        <f>IF(项目基本情况!D5="房地产市场价值","估价结果一览表（市场价值不需本页表格)","估价结果一览表")</f>
        <v>估价结果一览表</v>
      </c>
      <c r="B4" s="3062"/>
      <c r="C4" s="3062"/>
      <c r="D4" s="3062"/>
      <c r="E4" s="3062"/>
    </row>
    <row r="5" spans="1:5" ht="14.25" customHeight="1" thickTop="1">
      <c r="B5" s="1224" t="s">
        <v>562</v>
      </c>
      <c r="C5" s="3063" t="s">
        <v>593</v>
      </c>
      <c r="D5" s="3064"/>
    </row>
    <row r="6" spans="1:5" ht="15.6">
      <c r="B6" s="1225" t="str">
        <f>项目基本情况!I1</f>
        <v>北京市房地产</v>
      </c>
      <c r="C6" s="3065">
        <f>项目基本情况!C12</f>
        <v>2562.92</v>
      </c>
      <c r="D6" s="3065"/>
    </row>
    <row r="7" spans="1:5" ht="15.6">
      <c r="B7" s="3059" t="s">
        <v>594</v>
      </c>
      <c r="C7" s="1226" t="str">
        <f>IF('数据-取费表'!B3="万元","总价（万元）","总价（元）")</f>
        <v>总价（万元）</v>
      </c>
      <c r="D7" s="1227">
        <f>IF('数据-取费表'!E3="否",结果表!I102,'结果表 (1修多)'!I104)</f>
        <v>0</v>
      </c>
    </row>
    <row r="8" spans="1:5" ht="15.6">
      <c r="B8" s="3059"/>
      <c r="C8" s="1228" t="s">
        <v>924</v>
      </c>
      <c r="D8" s="1229" t="str">
        <f>IF('数据-取费表'!B3="万元",NUMBERSTRING(INT(D7*10000),2)&amp;"元整",NUMBERSTRING(INT(D7),2)&amp;"元整")</f>
        <v>零元整</v>
      </c>
    </row>
    <row r="9" spans="1:5" ht="15.6">
      <c r="B9" s="3059"/>
      <c r="C9" s="1230" t="s">
        <v>1020</v>
      </c>
      <c r="D9" s="1227" t="e">
        <f>IF('数据-取费表'!E3="否",结果表!I103,'结果表 (1修多)'!I105)</f>
        <v>#DIV/0!</v>
      </c>
    </row>
    <row r="10" spans="1:5" ht="15.6">
      <c r="B10" s="3066"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66"/>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66" t="str">
        <f>IF('数据-取费表'!E3="否",结果表!F110,'结果表 (1修多)'!F112)</f>
        <v>3.房地产抵押价值</v>
      </c>
      <c r="C15" s="1221" t="str">
        <f>C7</f>
        <v>总价（万元）</v>
      </c>
      <c r="D15" s="1227">
        <f>IF('数据-取费表'!E3="否",结果表!I110,'结果表 (1修多)'!I112)</f>
        <v>0</v>
      </c>
    </row>
    <row r="16" spans="1:5" ht="15.6">
      <c r="B16" s="3066"/>
      <c r="C16" s="1228" t="s">
        <v>924</v>
      </c>
      <c r="D16" s="1227" t="str">
        <f>IF('数据-取费表'!B3="万元",NUMBERSTRING(INT(D15*10000),2)&amp;"元整",NUMBERSTRING(INT(D15),2)&amp;"元整")</f>
        <v>零元整</v>
      </c>
    </row>
    <row r="17" spans="2:4" ht="15.6">
      <c r="B17" s="3066"/>
      <c r="C17" s="1230" t="s">
        <v>1020</v>
      </c>
      <c r="D17" s="1227" t="e">
        <f>IF('数据-取费表'!E3="否",结果表!I111,'结果表 (1修多)'!I113)</f>
        <v>#DIV/0!</v>
      </c>
    </row>
    <row r="18" spans="2:4" ht="15.6">
      <c r="B18" s="3066" t="str">
        <f>IF('数据-取费表'!E3="否",结果表!F112,'结果表 (1修多)'!F114)</f>
        <v>——</v>
      </c>
      <c r="C18" s="1221" t="str">
        <f>C7</f>
        <v>总价（万元）</v>
      </c>
      <c r="D18" s="1227" t="str">
        <f>IF('数据-取费表'!E3="否",结果表!I112,'结果表 (1修多)'!I114)</f>
        <v>——</v>
      </c>
    </row>
    <row r="19" spans="2:4" ht="15.6">
      <c r="B19" s="3066"/>
      <c r="C19" s="1228" t="s">
        <v>924</v>
      </c>
      <c r="D19" s="1227" t="e">
        <f>IF('数据-取费表'!B3="万元",NUMBERSTRING(INT(D18*10000),2)&amp;"元整",NUMBERSTRING(INT(D18),2)&amp;"元整")</f>
        <v>#VALUE!</v>
      </c>
    </row>
    <row r="20" spans="2:4" ht="15.6">
      <c r="B20" s="3066"/>
      <c r="C20" s="1230" t="s">
        <v>1020</v>
      </c>
      <c r="D20" s="1227" t="str">
        <f>IF('数据-取费表'!E3="否",结果表!I113,'结果表 (1修多)'!I115)</f>
        <v>——</v>
      </c>
    </row>
    <row r="21" spans="2:4" ht="15.6">
      <c r="B21" s="3059" t="str">
        <f>IF('数据-取费表'!E3="否",结果表!F114,'结果表 (1修多)'!F116)</f>
        <v>——</v>
      </c>
      <c r="C21" s="1226" t="str">
        <f>C7</f>
        <v>总价（万元）</v>
      </c>
      <c r="D21" s="1227" t="str">
        <f>IF('数据-取费表'!E3="否",结果表!I114,'结果表 (1修多)'!I116)</f>
        <v>——</v>
      </c>
    </row>
    <row r="22" spans="2:4" ht="15.6">
      <c r="B22" s="3059"/>
      <c r="C22" s="1228" t="s">
        <v>924</v>
      </c>
      <c r="D22" s="1229" t="e">
        <f>IF('数据-取费表'!B3="万元",NUMBERSTRING(INT(D21*10000),2)&amp;"元整",NUMBERSTRING(INT(D21),2)&amp;"元整")</f>
        <v>#VALUE!</v>
      </c>
    </row>
    <row r="23" spans="2:4" ht="16.2" thickBot="1">
      <c r="B23" s="3060"/>
      <c r="C23" s="1235" t="s">
        <v>1020</v>
      </c>
      <c r="D23" s="1236" t="str">
        <f>IF('数据-取费表'!E3="否",结果表!I115,'结果表 (1修多)'!I117)</f>
        <v>——</v>
      </c>
    </row>
    <row r="24" spans="2:4" ht="15" thickTop="1"/>
    <row r="25" spans="2:4" ht="18.75" customHeight="1" thickBot="1">
      <c r="B25" s="3074" t="s">
        <v>1021</v>
      </c>
      <c r="C25" s="3074"/>
      <c r="D25" s="3074"/>
    </row>
    <row r="26" spans="2:4" ht="18.75" customHeight="1" thickTop="1">
      <c r="B26" s="3077" t="s">
        <v>923</v>
      </c>
      <c r="C26" s="3078"/>
      <c r="D26" s="3075" t="s">
        <v>922</v>
      </c>
    </row>
    <row r="27" spans="2:4" ht="18.75" customHeight="1">
      <c r="B27" s="3079"/>
      <c r="C27" s="3080"/>
      <c r="D27" s="3076"/>
    </row>
    <row r="28" spans="2:4" ht="15.6">
      <c r="B28" s="3067" t="s">
        <v>594</v>
      </c>
      <c r="C28" s="1237" t="s">
        <v>925</v>
      </c>
      <c r="D28" s="1238">
        <f>IF('数据-取费表'!E3="否",结果表!I102,'结果表 (1修多)'!I104)</f>
        <v>0</v>
      </c>
    </row>
    <row r="29" spans="2:4" ht="15.6">
      <c r="B29" s="3068"/>
      <c r="C29" s="1239" t="s">
        <v>924</v>
      </c>
      <c r="D29" s="1240" t="str">
        <f>IF('数据-取费表'!B3="万元",NUMBERSTRING(INT(D28*10000),2)&amp;"元整",NUMBERSTRING(INT(D28),2)&amp;"元整")</f>
        <v>零元整</v>
      </c>
    </row>
    <row r="30" spans="2:4" ht="15.6">
      <c r="B30" s="3069"/>
      <c r="C30" s="1230" t="s">
        <v>927</v>
      </c>
      <c r="D30" s="1241" t="e">
        <f>IF('数据-取费表'!E3="否",结果表!I103,'结果表 (1修多)'!I105)</f>
        <v>#DIV/0!</v>
      </c>
    </row>
    <row r="31" spans="2:4" ht="15.6">
      <c r="B31" s="3072" t="str">
        <f>B10</f>
        <v>2.估价师所知悉的法定优先受偿款</v>
      </c>
      <c r="C31" s="1242" t="s">
        <v>926</v>
      </c>
      <c r="D31" s="1243">
        <f>IF('数据-取费表'!E3="否",结果表!I105,'结果表 (1修多)'!I107)</f>
        <v>0</v>
      </c>
    </row>
    <row r="32" spans="2:4" ht="15.6">
      <c r="B32" s="3081"/>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70" t="str">
        <f>B15</f>
        <v>3.房地产抵押价值</v>
      </c>
      <c r="C36" s="1242" t="str">
        <f>C28</f>
        <v>总价</v>
      </c>
      <c r="D36" s="1243">
        <f>IF('数据-取费表'!E3="否",结果表!I110,'结果表 (1修多)'!I112)</f>
        <v>0</v>
      </c>
    </row>
    <row r="37" spans="2:4" ht="15.6">
      <c r="B37" s="3070"/>
      <c r="C37" s="1239" t="s">
        <v>924</v>
      </c>
      <c r="D37" s="1229" t="str">
        <f>IF('数据-取费表'!B3="万元",NUMBERSTRING(INT(D36*10000),2)&amp;"元整",NUMBERSTRING(INT(D36),2)&amp;"元整")</f>
        <v>零元整</v>
      </c>
    </row>
    <row r="38" spans="2:4" ht="15.6">
      <c r="B38" s="3070"/>
      <c r="C38" s="1230" t="s">
        <v>928</v>
      </c>
      <c r="D38" s="1241" t="e">
        <f>IF('数据-取费表'!E3="否",结果表!D113,'结果表 (1修多)'!D117)</f>
        <v>#DIV/0!</v>
      </c>
    </row>
    <row r="39" spans="2:4" ht="15.6">
      <c r="B39" s="3071" t="str">
        <f>B18</f>
        <v>——</v>
      </c>
      <c r="C39" s="1242" t="str">
        <f>C28</f>
        <v>总价</v>
      </c>
      <c r="D39" s="1243" t="str">
        <f>IF('数据-取费表'!E3="否",结果表!I112,'结果表 (1修多)'!I114)</f>
        <v>——</v>
      </c>
    </row>
    <row r="40" spans="2:4" ht="15.6">
      <c r="B40" s="3071"/>
      <c r="C40" s="1239" t="s">
        <v>924</v>
      </c>
      <c r="D40" s="1229" t="e">
        <f>IF('数据-取费表'!B3="万元",NUMBERSTRING(INT(D39*10000),2)&amp;"元整",NUMBERSTRING(INT(D39),2)&amp;"元整")</f>
        <v>#VALUE!</v>
      </c>
    </row>
    <row r="41" spans="2:4" ht="15.6">
      <c r="B41" s="3071"/>
      <c r="C41" s="1230" t="s">
        <v>928</v>
      </c>
      <c r="D41" s="1241" t="str">
        <f>IF('数据-取费表'!E3="否",结果表!D115,'结果表 (1修多)'!D119)</f>
        <v>——</v>
      </c>
    </row>
    <row r="42" spans="2:4" ht="15.6">
      <c r="B42" s="3070" t="str">
        <f>B21</f>
        <v>——</v>
      </c>
      <c r="C42" s="1242" t="str">
        <f>C28</f>
        <v>总价</v>
      </c>
      <c r="D42" s="1243" t="str">
        <f>IF('数据-取费表'!E3="否",结果表!I114,'结果表 (1修多)'!I116)</f>
        <v>——</v>
      </c>
    </row>
    <row r="43" spans="2:4" ht="15.6">
      <c r="B43" s="3072"/>
      <c r="C43" s="1239" t="s">
        <v>924</v>
      </c>
      <c r="D43" s="1244" t="e">
        <f>IF('数据-取费表'!B3="万元",NUMBERSTRING(INT(D42*10000),2)&amp;"元整",NUMBERSTRING(INT(D42),2)&amp;"元整")</f>
        <v>#VALUE!</v>
      </c>
    </row>
    <row r="44" spans="2:4" ht="16.2" thickBot="1">
      <c r="B44" s="3073"/>
      <c r="C44" s="1235" t="s">
        <v>928</v>
      </c>
      <c r="D44" s="1245" t="str">
        <f>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88" t="str">
        <f>IF(项目基本情况!D5="房地产市场价值","估价结果一览表","结果表-2")</f>
        <v>结果表-2</v>
      </c>
      <c r="B1" s="3088"/>
      <c r="C1" s="3088"/>
      <c r="D1" s="3088"/>
      <c r="E1" s="3088"/>
      <c r="F1" s="3088"/>
      <c r="G1" s="3088"/>
      <c r="H1" s="3088"/>
      <c r="I1" s="3088"/>
    </row>
    <row r="2" spans="1:9" ht="30" customHeight="1" thickTop="1">
      <c r="A2" s="3089" t="s">
        <v>1022</v>
      </c>
      <c r="B2" s="3089" t="s">
        <v>1023</v>
      </c>
      <c r="C2" s="3089" t="s">
        <v>1024</v>
      </c>
      <c r="D2" s="3089" t="str">
        <f>IF('数据-取费表'!E3="否",结果表!D119,'结果表 (1修多)'!D123)</f>
        <v>出让国有建设用地使用权价值</v>
      </c>
      <c r="E2" s="3089"/>
      <c r="F2" s="3089" t="s">
        <v>1025</v>
      </c>
      <c r="G2" s="3089"/>
      <c r="H2" s="3089" t="s">
        <v>1026</v>
      </c>
      <c r="I2" s="3089"/>
    </row>
    <row r="3" spans="1:9" ht="15.6">
      <c r="A3" s="3084"/>
      <c r="B3" s="3084"/>
      <c r="C3" s="3084"/>
      <c r="D3" s="741" t="s">
        <v>1027</v>
      </c>
      <c r="E3" s="741" t="s">
        <v>1028</v>
      </c>
      <c r="F3" s="741" t="s">
        <v>1027</v>
      </c>
      <c r="G3" s="741" t="s">
        <v>1029</v>
      </c>
      <c r="H3" s="741" t="s">
        <v>1027</v>
      </c>
      <c r="I3" s="741" t="s">
        <v>1029</v>
      </c>
    </row>
    <row r="4" spans="1:9" ht="46.5" customHeight="1">
      <c r="A4" s="741" t="str">
        <f>项目基本情况!I1</f>
        <v>北京市房地产</v>
      </c>
      <c r="B4" s="741">
        <f>结果表!B121</f>
        <v>2562.92</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4" t="s">
        <v>1030</v>
      </c>
      <c r="B5" s="3084"/>
      <c r="C5" s="3084"/>
      <c r="D5" s="3082" t="str">
        <f>IF('数据-取费表'!E3="否",结果表!D122,'结果表 (1修多)'!D126)</f>
        <v>零元整</v>
      </c>
      <c r="E5" s="3082"/>
      <c r="F5" s="3082" t="str">
        <f>IF('数据-取费表'!E3="否",结果表!F122,'结果表 (1修多)'!F126)</f>
        <v>零元整</v>
      </c>
      <c r="G5" s="3082"/>
      <c r="H5" s="3082" t="str">
        <f>IF('数据-取费表'!E3="否",结果表!H122,'结果表 (1修多)'!H126)</f>
        <v>零元整</v>
      </c>
      <c r="I5" s="3082"/>
    </row>
    <row r="6" spans="1:9" ht="15.6">
      <c r="A6" s="3083" t="str">
        <f>IF('数据-取费表'!E3="否",结果表!A123,'结果表 (1修多)'!A127)</f>
        <v>估价师所知悉的法定优先受偿款</v>
      </c>
      <c r="B6" s="3083"/>
      <c r="C6" s="3083"/>
      <c r="D6" s="3083">
        <f>IF('数据-取费表'!E3="否",结果表!D123,'结果表 (1修多)'!D127)</f>
        <v>0</v>
      </c>
      <c r="E6" s="3083"/>
      <c r="F6" s="3083"/>
      <c r="G6" s="3083"/>
      <c r="H6" s="3083"/>
      <c r="I6" s="3083"/>
    </row>
    <row r="7" spans="1:9" ht="15">
      <c r="A7" s="3084" t="s">
        <v>1030</v>
      </c>
      <c r="B7" s="3084"/>
      <c r="C7" s="3084"/>
      <c r="D7" s="3085">
        <f>IF('数据-取费表'!E3="否",结果表!D124,'结果表 (1修多)'!D128)</f>
        <v>0</v>
      </c>
      <c r="E7" s="3086"/>
      <c r="F7" s="3086"/>
      <c r="G7" s="3086"/>
      <c r="H7" s="3086"/>
      <c r="I7" s="3087"/>
    </row>
    <row r="8" spans="1:9" ht="15.6">
      <c r="A8" s="3083" t="str">
        <f>IF('数据-取费表'!E3="否",结果表!A125,'结果表 (1修多)'!A129)</f>
        <v>房地产抵押价值</v>
      </c>
      <c r="B8" s="3083"/>
      <c r="C8" s="3083"/>
      <c r="D8" s="3083">
        <f>IF('数据-取费表'!E3="否",结果表!D125,'结果表 (1修多)'!D129)</f>
        <v>0</v>
      </c>
      <c r="E8" s="3083"/>
      <c r="F8" s="3083"/>
      <c r="G8" s="3083"/>
      <c r="H8" s="3083"/>
      <c r="I8" s="3083"/>
    </row>
    <row r="9" spans="1:9" ht="15">
      <c r="A9" s="3084" t="s">
        <v>1030</v>
      </c>
      <c r="B9" s="3084"/>
      <c r="C9" s="3084"/>
      <c r="D9" s="3082" t="e">
        <f>IF('数据-取费表'!E3="否",结果表!D126,'结果表 (1修多)'!D130)</f>
        <v>#DIV/0!</v>
      </c>
      <c r="E9" s="3082"/>
      <c r="F9" s="3082"/>
      <c r="G9" s="3082"/>
      <c r="H9" s="3082"/>
      <c r="I9" s="3082"/>
    </row>
    <row r="10" spans="1:9" ht="15.6">
      <c r="A10" s="3083" t="str">
        <f>IF('数据-取费表'!E3="否",结果表!A127,'结果表 (1修多)'!A131)</f>
        <v/>
      </c>
      <c r="B10" s="3083"/>
      <c r="C10" s="3083"/>
      <c r="D10" s="3083" t="e">
        <f>IF('数据-取费表'!E3="否",结果表!D127,'结果表 (1修多)'!D130)</f>
        <v>#DIV/0!</v>
      </c>
      <c r="E10" s="3083"/>
      <c r="F10" s="3083"/>
      <c r="G10" s="3083"/>
      <c r="H10" s="3083"/>
      <c r="I10" s="3083"/>
    </row>
    <row r="11" spans="1:9" ht="15">
      <c r="A11" s="3084" t="s">
        <v>1030</v>
      </c>
      <c r="B11" s="3084"/>
      <c r="C11" s="3084"/>
      <c r="D11" s="3082" t="str">
        <f>IF('数据-取费表'!E3="否",结果表!D128,'结果表 (1修多)'!D132)</f>
        <v>——</v>
      </c>
      <c r="E11" s="3082"/>
      <c r="F11" s="3082"/>
      <c r="G11" s="3082"/>
      <c r="H11" s="3082"/>
      <c r="I11" s="3082"/>
    </row>
    <row r="12" spans="1:9" ht="15.6">
      <c r="A12" s="3083" t="str">
        <f>IF('数据-取费表'!E3="否",结果表!A129,'结果表 (1修多)'!A133)</f>
        <v/>
      </c>
      <c r="B12" s="3083"/>
      <c r="C12" s="3083"/>
      <c r="D12" s="3083" t="str">
        <f>IF('数据-取费表'!E3="否",结果表!D129,'结果表 (1修多)'!D133)</f>
        <v>——</v>
      </c>
      <c r="E12" s="3083"/>
      <c r="F12" s="3083"/>
      <c r="G12" s="3083"/>
      <c r="H12" s="3083"/>
      <c r="I12" s="3083"/>
    </row>
    <row r="13" spans="1:9" ht="15.6" thickBot="1">
      <c r="A13" s="3090" t="s">
        <v>1030</v>
      </c>
      <c r="B13" s="3090"/>
      <c r="C13" s="3090"/>
      <c r="D13" s="3091">
        <f>IF('数据-取费表'!E3="否",结果表!D130,'结果表 (1修多)'!D134)</f>
        <v>0</v>
      </c>
      <c r="E13" s="3091"/>
      <c r="F13" s="3091"/>
      <c r="G13" s="3091"/>
      <c r="H13" s="3091"/>
      <c r="I13" s="3091"/>
    </row>
    <row r="14" spans="1:9" ht="14.4" thickTop="1">
      <c r="A14" s="3092" t="str">
        <f>IF('数据-取费表'!E3="否",结果表!A131,'结果表 (1修多)'!A135)</f>
        <v>单位：平方米、万元、元/平方米（币种：人民币）</v>
      </c>
      <c r="B14" s="3092"/>
      <c r="C14" s="3092"/>
      <c r="D14" s="3092"/>
      <c r="E14" s="3092"/>
      <c r="F14" s="3092"/>
      <c r="G14" s="3092"/>
      <c r="H14" s="3092"/>
      <c r="I14" s="3092"/>
    </row>
    <row r="16" spans="1:9" ht="17.399999999999999">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097" t="s">
        <v>1043</v>
      </c>
      <c r="B1" s="3097"/>
      <c r="C1" s="3097"/>
      <c r="D1" s="3097"/>
    </row>
    <row r="2" spans="1:4" ht="17.399999999999999">
      <c r="A2" s="3096" t="s">
        <v>1032</v>
      </c>
      <c r="B2" s="3096"/>
      <c r="C2" s="3096"/>
      <c r="D2" s="3096"/>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6" t="s">
        <v>1037</v>
      </c>
      <c r="B7" s="3096"/>
      <c r="C7" s="3096"/>
      <c r="D7" s="3096"/>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093" t="s">
        <v>2496</v>
      </c>
      <c r="B12" s="3095"/>
      <c r="C12" s="3095"/>
      <c r="D12" s="3095"/>
    </row>
    <row r="13" spans="1:4" ht="15.6">
      <c r="A13" s="30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5"/>
      <c r="C13" s="3095"/>
      <c r="D13" s="3095"/>
    </row>
    <row r="14" spans="1:4" ht="30" customHeight="1">
      <c r="A14" s="30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5"/>
      <c r="C14" s="3095"/>
      <c r="D14" s="3095"/>
    </row>
    <row r="15" spans="1:4" ht="15.75" customHeight="1">
      <c r="A15" s="3093" t="str">
        <f>IF(项目基本情况!D4="抵押","4.本次评估估价师所知悉的法定优先受偿款情况说明如下：","——")</f>
        <v>4.本次评估估价师所知悉的法定优先受偿款情况说明如下：</v>
      </c>
      <c r="B15" s="3095"/>
      <c r="C15" s="3095"/>
      <c r="D15" s="3095"/>
    </row>
    <row r="16" spans="1:4" ht="75" customHeight="1">
      <c r="A16" s="30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3"/>
      <c r="C16" s="3093"/>
      <c r="D16" s="3093"/>
    </row>
    <row r="17" spans="1:4" ht="63.75" customHeight="1">
      <c r="A17" s="3094" t="s">
        <v>1045</v>
      </c>
      <c r="B17" s="3094"/>
      <c r="C17" s="3094"/>
      <c r="D17" s="3094"/>
    </row>
    <row r="18" spans="1:4" ht="15.75" customHeight="1">
      <c r="A18" s="3093" t="str">
        <f>IF(项目基本情况!D4="抵押",结果表!L106,"——")</f>
        <v>本次评估不存在估价师所知悉的法定优先受偿款。</v>
      </c>
      <c r="B18" s="3093"/>
      <c r="C18" s="3093"/>
      <c r="D18" s="3093"/>
    </row>
    <row r="19" spans="1:4" ht="46.5" customHeight="1">
      <c r="A19" s="30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15">
      <c r="A20" s="3094" t="s">
        <v>2497</v>
      </c>
      <c r="B20" s="3094"/>
      <c r="C20" s="3094"/>
      <c r="D20" s="3094"/>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3" t="s">
        <v>1124</v>
      </c>
      <c r="B15" s="3098" t="s">
        <v>1125</v>
      </c>
      <c r="C15" s="3099"/>
    </row>
    <row r="16" spans="1:7" ht="14.4">
      <c r="A16" s="3104"/>
      <c r="B16" s="3098" t="s">
        <v>1126</v>
      </c>
      <c r="C16" s="3099"/>
    </row>
    <row r="17" spans="1:3" ht="14.4">
      <c r="A17" s="3104"/>
      <c r="B17" s="3098" t="s">
        <v>1127</v>
      </c>
      <c r="C17" s="3099"/>
    </row>
    <row r="18" spans="1:3" ht="14.4">
      <c r="A18" s="3105"/>
      <c r="B18" s="3100" t="s">
        <v>1128</v>
      </c>
      <c r="C18" s="3099"/>
    </row>
    <row r="19" spans="1:3" ht="14.4">
      <c r="A19" s="1270" t="s">
        <v>1129</v>
      </c>
      <c r="B19" s="1271"/>
      <c r="C19" s="1272"/>
    </row>
    <row r="20" spans="1:3" ht="14.4">
      <c r="A20" s="3101" t="s">
        <v>1130</v>
      </c>
      <c r="B20" s="3100" t="s">
        <v>1131</v>
      </c>
      <c r="C20" s="3099"/>
    </row>
    <row r="21" spans="1:3" ht="14.4">
      <c r="A21" s="3101"/>
      <c r="B21" s="3100" t="s">
        <v>1132</v>
      </c>
      <c r="C21" s="3099"/>
    </row>
    <row r="22" spans="1:3" ht="14.4">
      <c r="A22" s="3101"/>
      <c r="B22" s="3100" t="s">
        <v>1133</v>
      </c>
      <c r="C22" s="3099"/>
    </row>
    <row r="23" spans="1:3" ht="14.4">
      <c r="A23" s="3101"/>
      <c r="B23" s="3102" t="s">
        <v>1134</v>
      </c>
      <c r="C23" s="1273" t="s">
        <v>1135</v>
      </c>
    </row>
    <row r="24" spans="1:3" ht="14.4">
      <c r="A24" s="3101"/>
      <c r="B24" s="3102"/>
      <c r="C24" s="1273" t="s">
        <v>1136</v>
      </c>
    </row>
    <row r="25" spans="1:3" ht="14.4">
      <c r="A25" s="3101"/>
      <c r="B25" s="3102"/>
      <c r="C25" s="1273" t="s">
        <v>1137</v>
      </c>
    </row>
    <row r="26" spans="1:3" ht="14.4">
      <c r="A26" s="3101"/>
      <c r="B26" s="3102"/>
      <c r="C26" s="1273" t="s">
        <v>1138</v>
      </c>
    </row>
    <row r="27" spans="1:3" ht="14.4">
      <c r="A27" s="3101"/>
      <c r="B27" s="3102"/>
      <c r="C27" s="1273" t="s">
        <v>1139</v>
      </c>
    </row>
    <row r="28" spans="1:3" ht="14.4">
      <c r="A28" s="3101"/>
      <c r="B28" s="3102"/>
      <c r="C28" s="1273" t="s">
        <v>1140</v>
      </c>
    </row>
    <row r="29" spans="1:3" ht="14.4">
      <c r="A29" s="3101"/>
      <c r="B29" s="3102"/>
      <c r="C29" s="1273" t="s">
        <v>1141</v>
      </c>
    </row>
    <row r="30" spans="1:3" ht="14.4">
      <c r="A30" s="3101"/>
      <c r="B30" s="3102"/>
      <c r="C30" s="1273" t="s">
        <v>1142</v>
      </c>
    </row>
    <row r="31" spans="1:3" ht="14.4">
      <c r="A31" s="3101"/>
      <c r="B31" s="310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4" customWidth="1"/>
    <col min="2" max="2" width="38.6640625" style="2744" customWidth="1"/>
    <col min="3" max="3" width="26" style="2744" customWidth="1"/>
    <col min="4" max="4" width="35" style="2744" hidden="1" customWidth="1"/>
    <col min="5" max="5" width="30.109375" style="2744" customWidth="1"/>
    <col min="6" max="6" width="35.44140625" style="2744" customWidth="1"/>
    <col min="7" max="7" width="31" style="2744" customWidth="1"/>
    <col min="8" max="8" width="37.44140625" style="2744" hidden="1" customWidth="1"/>
    <col min="9" max="16384" width="22.6640625" style="2744"/>
  </cols>
  <sheetData>
    <row r="1" spans="1:8" ht="24" customHeight="1">
      <c r="A1" s="2746"/>
      <c r="B1" s="2746"/>
      <c r="C1" s="2746"/>
      <c r="D1" s="2746"/>
      <c r="E1" s="2746"/>
      <c r="F1" s="2746"/>
      <c r="G1" s="2746"/>
      <c r="H1" s="2746"/>
    </row>
    <row r="2" spans="1:8" ht="24" customHeight="1">
      <c r="A2" s="2747" t="s">
        <v>566</v>
      </c>
      <c r="B2" s="2748">
        <f ca="1">TODAY()</f>
        <v>44886</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t="str">
        <f ca="1">IF(C4&lt;B2,"已过期",1119970066)</f>
        <v>已过期</v>
      </c>
      <c r="C4" s="2752">
        <v>44876</v>
      </c>
      <c r="D4" s="2762" t="str">
        <f ca="1">A4&amp;"（注册号："&amp;B4&amp;"）"</f>
        <v>梁津（注册号：已过期）</v>
      </c>
      <c r="E4" s="2764" t="s">
        <v>573</v>
      </c>
      <c r="F4" s="1172">
        <f ca="1">IF(G4&lt;B2,"已过期",96010014)</f>
        <v>96010014</v>
      </c>
      <c r="G4" s="2753">
        <v>47118</v>
      </c>
      <c r="H4" s="2754" t="str">
        <f ca="1">E4&amp;"（注册号："&amp;F4&amp;"）"</f>
        <v>梁津（注册号：96010014）</v>
      </c>
    </row>
    <row r="5" spans="1:8" ht="24" customHeight="1">
      <c r="A5" s="1172" t="s">
        <v>574</v>
      </c>
      <c r="B5" s="1172" t="str">
        <f ca="1">IF(C5&lt;B2,"已过期",1119970111)</f>
        <v>已过期</v>
      </c>
      <c r="C5" s="2752">
        <v>44876</v>
      </c>
      <c r="D5" s="2762" t="str">
        <f t="shared" ref="D5:D14" ca="1" si="0">A5&amp;"（注册号："&amp;B5&amp;"）"</f>
        <v>叶凌（注册号：已过期）</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t="str">
        <f ca="1">IF(C7&lt;B2,"已过期",1120000080)</f>
        <v>已过期</v>
      </c>
      <c r="C7" s="2752">
        <v>44876</v>
      </c>
      <c r="D7" s="2762" t="str">
        <f t="shared" ca="1" si="0"/>
        <v>欧红伟（注册号：已过期）</v>
      </c>
      <c r="E7" s="2764" t="s">
        <v>576</v>
      </c>
      <c r="F7" s="1172">
        <f ca="1">IF(G7&lt;B2,"已过期",2000110082)</f>
        <v>2000110082</v>
      </c>
      <c r="G7" s="2753">
        <v>46387</v>
      </c>
      <c r="H7" s="2754" t="str">
        <f t="shared" ca="1" si="1"/>
        <v>欧红伟（注册号：2000110082）</v>
      </c>
    </row>
    <row r="8" spans="1:8" ht="24" customHeight="1">
      <c r="A8" s="1172" t="s">
        <v>577</v>
      </c>
      <c r="B8" s="1172">
        <f ca="1">IF(C8&lt;B2,"已过期",1419970001)</f>
        <v>1419970001</v>
      </c>
      <c r="C8" s="2752">
        <v>44899</v>
      </c>
      <c r="D8" s="2762" t="str">
        <f t="shared" ca="1" si="0"/>
        <v>吴薇（注册号：1419970001）</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06" t="s">
        <v>582</v>
      </c>
      <c r="B17" s="3106"/>
      <c r="C17" s="3106"/>
      <c r="D17" s="3106"/>
      <c r="E17" s="3106"/>
      <c r="F17" s="3106"/>
      <c r="G17" s="3106"/>
      <c r="H17" s="3106"/>
    </row>
    <row r="18" spans="1:8" ht="24" customHeight="1">
      <c r="A18" s="3107" t="s">
        <v>583</v>
      </c>
      <c r="B18" s="3107"/>
      <c r="C18" s="3107"/>
      <c r="D18" s="2751"/>
      <c r="E18" s="3108" t="s">
        <v>584</v>
      </c>
      <c r="F18" s="3107"/>
      <c r="G18" s="3107"/>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0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row>
    <row r="54" spans="1:4" ht="14.4">
      <c r="A54" s="3109"/>
      <c r="B54" s="8" t="s">
        <v>1280</v>
      </c>
      <c r="C54" s="8" t="s">
        <v>1281</v>
      </c>
    </row>
    <row r="55" spans="1:4" ht="14.4">
      <c r="A55" s="3109"/>
      <c r="B55" s="8" t="s">
        <v>1282</v>
      </c>
      <c r="C55" s="8" t="s">
        <v>1283</v>
      </c>
    </row>
    <row r="56" spans="1:4" ht="14.4">
      <c r="A56" s="3109"/>
      <c r="B56" s="8" t="s">
        <v>1284</v>
      </c>
      <c r="C56" s="8" t="s">
        <v>1285</v>
      </c>
    </row>
    <row r="57" spans="1:4" ht="14.4">
      <c r="A57" s="310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2022-11-21T03:42:04Z</dcterms:modified>
</cp:coreProperties>
</file>