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大白楼\"/>
    </mc:Choice>
  </mc:AlternateContent>
  <xr:revisionPtr revIDLastSave="0" documentId="13_ncr:1_{76FC94BF-8242-4AE5-A7F0-E9CE55EC7376}" xr6:coauthVersionLast="47" xr6:coauthVersionMax="47" xr10:uidLastSave="{00000000-0000-0000-0000-000000000000}"/>
  <bookViews>
    <workbookView xWindow="1240" yWindow="70" windowWidth="12850" windowHeight="13250" tabRatio="899" firstSheet="15" activeTab="2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典型户型修正" sheetId="31" r:id="rId28"/>
    <sheet name="面积表" sheetId="80" r:id="rId29"/>
    <sheet name="商业租金案例" sheetId="81"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比较法-办公" sheetId="34"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4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4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V22" i="31" l="1"/>
  <c r="W22" i="31"/>
  <c r="W21" i="31"/>
  <c r="B25" i="80"/>
  <c r="G21" i="6"/>
  <c r="F20" i="6"/>
  <c r="K15" i="3"/>
  <c r="I14" i="3"/>
  <c r="I13" i="3"/>
  <c r="B24" i="80"/>
  <c r="B23" i="80"/>
  <c r="B22" i="80"/>
  <c r="D35" i="80"/>
  <c r="D34" i="80"/>
  <c r="D33" i="80"/>
  <c r="Q83" i="81"/>
  <c r="G47" i="33" s="1"/>
  <c r="Q82" i="81"/>
  <c r="Q81" i="81"/>
  <c r="I47" i="33"/>
  <c r="E104" i="33"/>
  <c r="F104" i="33" s="1"/>
  <c r="G104" i="33" s="1"/>
  <c r="H104" i="33" s="1"/>
  <c r="I104" i="33" s="1"/>
  <c r="J104" i="33" s="1"/>
  <c r="D104" i="33"/>
  <c r="N36" i="33"/>
  <c r="N35" i="33"/>
  <c r="N40" i="33"/>
  <c r="N39" i="33"/>
  <c r="N27" i="33"/>
  <c r="I13" i="33"/>
  <c r="I36" i="33"/>
  <c r="T326" i="81"/>
  <c r="T325" i="81"/>
  <c r="P322" i="81"/>
  <c r="I14" i="33"/>
  <c r="G36" i="33"/>
  <c r="G14" i="33"/>
  <c r="E14" i="33"/>
  <c r="E14" i="31"/>
  <c r="Q175" i="81"/>
  <c r="Q79" i="81"/>
  <c r="E92" i="33"/>
  <c r="D93" i="33"/>
  <c r="D92" i="33"/>
  <c r="T80" i="81"/>
  <c r="T79" i="81"/>
  <c r="N26" i="33"/>
  <c r="O50" i="81"/>
  <c r="O51" i="81" s="1"/>
  <c r="N48" i="81"/>
  <c r="R38" i="81"/>
  <c r="R39" i="81"/>
  <c r="E93" i="33" l="1"/>
  <c r="D63" i="34"/>
  <c r="D62" i="34"/>
  <c r="D104" i="34"/>
  <c r="E104" i="34"/>
  <c r="F104" i="34"/>
  <c r="G104" i="34"/>
  <c r="H104" i="34"/>
  <c r="D105" i="34"/>
  <c r="C105" i="34"/>
  <c r="C104" i="34"/>
  <c r="I7" i="34"/>
  <c r="G7" i="34"/>
  <c r="E7" i="34"/>
  <c r="D3" i="31"/>
  <c r="E3" i="31"/>
  <c r="F3" i="31"/>
  <c r="G3" i="31"/>
  <c r="H3" i="31"/>
  <c r="D4" i="31"/>
  <c r="C4" i="31"/>
  <c r="C3" i="31"/>
  <c r="C36" i="33"/>
  <c r="E89" i="33"/>
  <c r="F89" i="33"/>
  <c r="G89" i="33"/>
  <c r="D89" i="33"/>
  <c r="I7" i="33"/>
  <c r="G7" i="33"/>
  <c r="E7" i="33"/>
  <c r="N6" i="1"/>
  <c r="M19" i="1"/>
  <c r="B25" i="31"/>
  <c r="F19" i="6"/>
  <c r="B18" i="80"/>
  <c r="B17" i="80"/>
  <c r="B16" i="80"/>
  <c r="B15" i="80"/>
  <c r="E27" i="45"/>
  <c r="F105" i="34" l="1"/>
  <c r="H4" i="31"/>
  <c r="G105" i="34"/>
  <c r="G4" i="31"/>
  <c r="F4" i="31"/>
  <c r="E105" i="34"/>
  <c r="E4" i="31"/>
  <c r="H105" i="34"/>
  <c r="G14" i="73"/>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7" i="79"/>
  <c r="AR8" i="79" s="1"/>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4" i="79"/>
  <c r="AD35" i="79"/>
  <c r="AD38" i="79"/>
  <c r="AD37" i="79"/>
  <c r="AD36"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5" i="79"/>
  <c r="T34" i="79"/>
  <c r="T33"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39" i="79" l="1"/>
  <c r="AK39" i="79" s="1"/>
  <c r="W17" i="79"/>
  <c r="AK17" i="79" s="1"/>
  <c r="AH17" i="79"/>
  <c r="W10" i="79"/>
  <c r="AK10" i="79" s="1"/>
  <c r="AH10" i="79"/>
  <c r="W14" i="79"/>
  <c r="AK14" i="79" s="1"/>
  <c r="AH14" i="79"/>
  <c r="W42" i="79"/>
  <c r="AK42" i="79" s="1"/>
  <c r="W19" i="79"/>
  <c r="AK19" i="79" s="1"/>
  <c r="AH19" i="79"/>
  <c r="W16" i="79"/>
  <c r="AK16" i="79" s="1"/>
  <c r="AH16" i="79"/>
  <c r="W50" i="79"/>
  <c r="AK50" i="79" s="1"/>
  <c r="AH50" i="79"/>
  <c r="W51" i="79"/>
  <c r="AK51" i="79" s="1"/>
  <c r="AH51" i="79"/>
  <c r="W23" i="79"/>
  <c r="AK23" i="79" s="1"/>
  <c r="AH23" i="79"/>
  <c r="W12" i="79"/>
  <c r="AK12" i="79" s="1"/>
  <c r="AH12" i="79"/>
  <c r="W21" i="79"/>
  <c r="AK21" i="79" s="1"/>
  <c r="AH21" i="79"/>
  <c r="W47" i="79"/>
  <c r="AK47" i="79" s="1"/>
  <c r="AH47" i="79"/>
  <c r="W45" i="79"/>
  <c r="AK45" i="79" s="1"/>
  <c r="AH45" i="79"/>
  <c r="W11" i="79"/>
  <c r="AK11" i="79" s="1"/>
  <c r="AH11" i="79"/>
  <c r="W18" i="79"/>
  <c r="AK18" i="79" s="1"/>
  <c r="AH18" i="79"/>
  <c r="W20" i="79"/>
  <c r="AK20" i="79" s="1"/>
  <c r="AH20" i="79"/>
  <c r="AH33" i="79"/>
  <c r="W33" i="79"/>
  <c r="AK33" i="79" s="1"/>
  <c r="W41" i="79"/>
  <c r="AK41" i="79" s="1"/>
  <c r="AH41" i="79"/>
  <c r="W44" i="79"/>
  <c r="AK44" i="79" s="1"/>
  <c r="AH44" i="79"/>
  <c r="W46" i="79"/>
  <c r="AK46" i="79" s="1"/>
  <c r="AH46" i="79"/>
  <c r="AH34" i="79"/>
  <c r="W34" i="79"/>
  <c r="AK34" i="79" s="1"/>
  <c r="W40" i="79"/>
  <c r="AK40" i="79" s="1"/>
  <c r="AH40" i="79"/>
  <c r="C18" i="78"/>
  <c r="W15" i="79"/>
  <c r="AK15" i="79" s="1"/>
  <c r="AH15" i="79"/>
  <c r="W13" i="79"/>
  <c r="AK13" i="79" s="1"/>
  <c r="AH13" i="79"/>
  <c r="W48" i="79"/>
  <c r="AK48" i="79" s="1"/>
  <c r="AH48" i="79"/>
  <c r="W49" i="79"/>
  <c r="AK49" i="79" s="1"/>
  <c r="AH49" i="79"/>
  <c r="W43" i="79"/>
  <c r="AK43" i="79" s="1"/>
  <c r="AH43" i="79"/>
  <c r="W38" i="79"/>
  <c r="AK38" i="79" s="1"/>
  <c r="AH38" i="79"/>
  <c r="W35" i="79"/>
  <c r="AK35" i="79" s="1"/>
  <c r="AH3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N33" i="71"/>
  <c r="D33" i="71"/>
  <c r="Q32" i="71"/>
  <c r="P32" i="71"/>
  <c r="O32" i="71"/>
  <c r="N32" i="71"/>
  <c r="Q31" i="71"/>
  <c r="P31" i="71"/>
  <c r="O31" i="71"/>
  <c r="N31" i="71"/>
  <c r="Q30" i="71"/>
  <c r="P30" i="71"/>
  <c r="O30" i="71"/>
  <c r="N30" i="71"/>
  <c r="Q29" i="71"/>
  <c r="F30" i="71" s="1"/>
  <c r="P29" i="71"/>
  <c r="O29" i="71"/>
  <c r="N29" i="71"/>
  <c r="X26" i="71" s="1"/>
  <c r="D29" i="71"/>
  <c r="O28" i="71"/>
  <c r="N28" i="71"/>
  <c r="B28" i="71" s="1"/>
  <c r="B30" i="71"/>
  <c r="B31" i="71" s="1"/>
  <c r="B32" i="71" s="1"/>
  <c r="S32" i="71" s="1"/>
  <c r="E30" i="71"/>
  <c r="E31" i="71"/>
  <c r="E32" i="71" s="1"/>
  <c r="U32" i="71" s="1"/>
  <c r="B34" i="71"/>
  <c r="B35" i="71" s="1"/>
  <c r="B36" i="71" s="1"/>
  <c r="S36" i="71" s="1"/>
  <c r="B39" i="71"/>
  <c r="B40" i="71"/>
  <c r="S40" i="71" s="1"/>
  <c r="E38" i="71"/>
  <c r="N68" i="71"/>
  <c r="E34" i="71"/>
  <c r="C30" i="71"/>
  <c r="C31" i="71" s="1"/>
  <c r="D31" i="71" s="1"/>
  <c r="C38" i="71"/>
  <c r="D38" i="71" s="1"/>
  <c r="X38" i="71"/>
  <c r="C28" i="71"/>
  <c r="T28" i="71" s="1"/>
  <c r="C39" i="71"/>
  <c r="C40" i="71" s="1"/>
  <c r="C43" i="71"/>
  <c r="C44" i="71" s="1"/>
  <c r="D44" i="71" s="1"/>
  <c r="P28" i="71"/>
  <c r="E28" i="71" s="1"/>
  <c r="U56" i="71"/>
  <c r="E63" i="71"/>
  <c r="E64" i="71"/>
  <c r="U64" i="71" s="1"/>
  <c r="U68" i="71"/>
  <c r="E67" i="71"/>
  <c r="Q28" i="71"/>
  <c r="AB27" i="71" s="1"/>
  <c r="C59" i="71"/>
  <c r="D58" i="71"/>
  <c r="D62" i="71"/>
  <c r="B66" i="71"/>
  <c r="N65" i="71" s="1"/>
  <c r="Q68" i="71"/>
  <c r="C71" i="71"/>
  <c r="C70" i="71" s="1"/>
  <c r="D70" i="71" s="1"/>
  <c r="E71" i="71"/>
  <c r="E70" i="71" s="1"/>
  <c r="D72" i="71"/>
  <c r="E75" i="71"/>
  <c r="E74" i="71" s="1"/>
  <c r="C79" i="71"/>
  <c r="D79" i="71" s="1"/>
  <c r="E79" i="71"/>
  <c r="E78" i="71" s="1"/>
  <c r="D80" i="71"/>
  <c r="C83" i="71"/>
  <c r="D83" i="71" s="1"/>
  <c r="C87" i="71"/>
  <c r="F28" i="71"/>
  <c r="F27" i="71" s="1"/>
  <c r="F26" i="71" s="1"/>
  <c r="C82" i="71"/>
  <c r="D82" i="71"/>
  <c r="C78" i="71"/>
  <c r="D78" i="71" s="1"/>
  <c r="D71" i="71"/>
  <c r="C60" i="71"/>
  <c r="D60" i="71" s="1"/>
  <c r="D59" i="71"/>
  <c r="P67" i="71"/>
  <c r="E66"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AA21" i="33" s="1"/>
  <c r="E83" i="21"/>
  <c r="F83" i="21" s="1"/>
  <c r="H1" i="69"/>
  <c r="U29" i="39"/>
  <c r="W29" i="39"/>
  <c r="W18" i="36"/>
  <c r="S21" i="37"/>
  <c r="J21" i="37"/>
  <c r="W21" i="37" s="1"/>
  <c r="G84" i="34"/>
  <c r="J21" i="34"/>
  <c r="W21" i="34" s="1"/>
  <c r="J21" i="33"/>
  <c r="W21" i="33" s="1"/>
  <c r="H21" i="21"/>
  <c r="U21" i="21" s="1"/>
  <c r="F38" i="69"/>
  <c r="E37" i="69"/>
  <c r="F36" i="69"/>
  <c r="F35" i="69"/>
  <c r="F21" i="69"/>
  <c r="F20" i="69"/>
  <c r="F39" i="69" s="1"/>
  <c r="E10" i="69"/>
  <c r="E9" i="69"/>
  <c r="C7" i="69"/>
  <c r="G83" i="21"/>
  <c r="J21" i="21"/>
  <c r="AC21" i="21" s="1"/>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A437" i="3" s="1"/>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G428" i="3" s="1"/>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B26" i="31" s="1"/>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187" i="31"/>
  <c r="S1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S37" i="33" s="1"/>
  <c r="D111" i="33"/>
  <c r="E111" i="33"/>
  <c r="F111" i="33" s="1"/>
  <c r="G111" i="33" s="1"/>
  <c r="H111" i="33" s="1"/>
  <c r="I111" i="33" s="1"/>
  <c r="J111" i="33" s="1"/>
  <c r="K111" i="33" s="1"/>
  <c r="L111" i="33" s="1"/>
  <c r="M111" i="33" s="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Q30" i="37"/>
  <c r="Z30" i="37"/>
  <c r="J30" i="37"/>
  <c r="AC30" i="37" s="1"/>
  <c r="H30" i="37"/>
  <c r="F30" i="37"/>
  <c r="AA30" i="37" s="1"/>
  <c r="Q29" i="37"/>
  <c r="Z29" i="37"/>
  <c r="H29" i="37"/>
  <c r="AB29" i="37" s="1"/>
  <c r="Q28" i="37"/>
  <c r="Z28" i="37"/>
  <c r="Q27" i="37"/>
  <c r="Z27" i="37" s="1"/>
  <c r="Q26" i="37"/>
  <c r="Z26" i="37" s="1"/>
  <c r="Q25" i="37"/>
  <c r="Z25" i="37" s="1"/>
  <c r="J25" i="37"/>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c r="J16" i="36"/>
  <c r="W16" i="36" s="1"/>
  <c r="D62" i="36"/>
  <c r="E62" i="36"/>
  <c r="F62" i="36"/>
  <c r="G62" i="36" s="1"/>
  <c r="B59" i="36"/>
  <c r="B57" i="36"/>
  <c r="J12" i="36"/>
  <c r="B55" i="36"/>
  <c r="F11" i="36" s="1"/>
  <c r="AA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c r="AB36" i="35" s="1"/>
  <c r="B99" i="35"/>
  <c r="B97" i="35"/>
  <c r="B77" i="35"/>
  <c r="B75" i="35"/>
  <c r="J24" i="35" s="1"/>
  <c r="AC24" i="35"/>
  <c r="B73" i="35"/>
  <c r="B57" i="35"/>
  <c r="B61" i="35"/>
  <c r="B59" i="35"/>
  <c r="B131" i="34"/>
  <c r="B129" i="34"/>
  <c r="B127" i="34"/>
  <c r="B99" i="34"/>
  <c r="B97" i="34"/>
  <c r="B95" i="34"/>
  <c r="B93" i="34"/>
  <c r="B75" i="34"/>
  <c r="B73" i="34"/>
  <c r="B71" i="34"/>
  <c r="B130" i="33"/>
  <c r="B128" i="33"/>
  <c r="B126" i="33"/>
  <c r="H44" i="33" s="1"/>
  <c r="B98" i="33"/>
  <c r="B96" i="33"/>
  <c r="B94" i="33"/>
  <c r="B74" i="33"/>
  <c r="B72" i="33"/>
  <c r="B70" i="33"/>
  <c r="J12" i="33"/>
  <c r="W12" i="33" s="1"/>
  <c r="D96" i="35"/>
  <c r="E96" i="35"/>
  <c r="F96" i="35"/>
  <c r="G96" i="35"/>
  <c r="D94" i="35"/>
  <c r="E94" i="35"/>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Q11" i="34"/>
  <c r="Z11" i="34" s="1"/>
  <c r="Q10" i="34"/>
  <c r="Z10" i="34"/>
  <c r="F10" i="34"/>
  <c r="AA10" i="34" s="1"/>
  <c r="Q9" i="34"/>
  <c r="Z9" i="34" s="1"/>
  <c r="J8" i="34"/>
  <c r="AC8" i="34" s="1"/>
  <c r="H8" i="34"/>
  <c r="U8" i="34" s="1"/>
  <c r="F8" i="34"/>
  <c r="AA8" i="34" s="1"/>
  <c r="D121" i="33"/>
  <c r="E121" i="33"/>
  <c r="F109" i="33"/>
  <c r="E109" i="33"/>
  <c r="D109" i="33"/>
  <c r="C109" i="33"/>
  <c r="D91" i="33"/>
  <c r="E91" i="33" s="1"/>
  <c r="F91" i="33" s="1"/>
  <c r="G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P49" i="33"/>
  <c r="P48" i="33"/>
  <c r="V47" i="33"/>
  <c r="T47" i="33"/>
  <c r="R47" i="33"/>
  <c r="P47" i="33"/>
  <c r="Q46" i="33"/>
  <c r="Z46" i="33"/>
  <c r="Q45" i="33"/>
  <c r="Z45" i="33" s="1"/>
  <c r="Q44" i="33"/>
  <c r="Z44" i="33" s="1"/>
  <c r="Q43" i="33"/>
  <c r="Z43" i="33" s="1"/>
  <c r="Q42" i="33"/>
  <c r="Z42" i="33" s="1"/>
  <c r="J42" i="33"/>
  <c r="AC42" i="33" s="1"/>
  <c r="W41" i="33"/>
  <c r="Q41" i="33"/>
  <c r="Z41" i="33" s="1"/>
  <c r="Q40" i="33"/>
  <c r="Z40" i="33"/>
  <c r="J40" i="33"/>
  <c r="AC40" i="33" s="1"/>
  <c r="H40" i="33"/>
  <c r="AB40" i="33" s="1"/>
  <c r="AA40" i="33"/>
  <c r="Q39" i="33"/>
  <c r="Z39" i="33"/>
  <c r="J39" i="33"/>
  <c r="AC39" i="33" s="1"/>
  <c r="Q38" i="33"/>
  <c r="Z38" i="33"/>
  <c r="Q37" i="33"/>
  <c r="Z37" i="33"/>
  <c r="Q36" i="33"/>
  <c r="Z36" i="33"/>
  <c r="Q35" i="33"/>
  <c r="Z35" i="33"/>
  <c r="H35" i="33"/>
  <c r="AB35" i="33"/>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Q14" i="33"/>
  <c r="Z14" i="33" s="1"/>
  <c r="Q13" i="33"/>
  <c r="Z13" i="33" s="1"/>
  <c r="Q12" i="33"/>
  <c r="Z12" i="33"/>
  <c r="H12" i="33"/>
  <c r="U12" i="33" s="1"/>
  <c r="Q11" i="33"/>
  <c r="Z11" i="33"/>
  <c r="Q10" i="33"/>
  <c r="Z10" i="33" s="1"/>
  <c r="Q9" i="33"/>
  <c r="Z9" i="33"/>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s="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J30" i="21" s="1"/>
  <c r="B94" i="21"/>
  <c r="J29" i="21" s="1"/>
  <c r="AC29" i="21" s="1"/>
  <c r="B92" i="21"/>
  <c r="B90" i="21"/>
  <c r="J27" i="21" s="1"/>
  <c r="W27" i="21" s="1"/>
  <c r="B74" i="21"/>
  <c r="J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s="1"/>
  <c r="F26" i="21"/>
  <c r="S26" i="21"/>
  <c r="AB41" i="21"/>
  <c r="F45" i="39"/>
  <c r="S45" i="39"/>
  <c r="J45" i="39"/>
  <c r="W45" i="39" s="1"/>
  <c r="J44" i="39"/>
  <c r="AC44" i="39"/>
  <c r="F36" i="39"/>
  <c r="S36" i="39" s="1"/>
  <c r="H36" i="39"/>
  <c r="AB36" i="39" s="1"/>
  <c r="J35" i="39"/>
  <c r="AC35" i="39" s="1"/>
  <c r="F35" i="39"/>
  <c r="AA35" i="39" s="1"/>
  <c r="J36" i="39"/>
  <c r="AC36" i="39" s="1"/>
  <c r="U9" i="39"/>
  <c r="W40" i="39"/>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S36" i="34" s="1"/>
  <c r="J35" i="34"/>
  <c r="AC35" i="34" s="1"/>
  <c r="H39" i="33"/>
  <c r="AB39" i="33" s="1"/>
  <c r="F26" i="33"/>
  <c r="AA26" i="33" s="1"/>
  <c r="U35" i="33"/>
  <c r="S40" i="33"/>
  <c r="H39" i="37"/>
  <c r="AB39" i="37" s="1"/>
  <c r="F11" i="40"/>
  <c r="AA11" i="40" s="1"/>
  <c r="H11" i="40"/>
  <c r="AB11" i="40"/>
  <c r="W8" i="40"/>
  <c r="AA9" i="40"/>
  <c r="U9" i="40"/>
  <c r="S34" i="40"/>
  <c r="W31" i="40"/>
  <c r="U34" i="40"/>
  <c r="F42" i="39"/>
  <c r="AA42" i="39" s="1"/>
  <c r="F41" i="39"/>
  <c r="S41" i="39" s="1"/>
  <c r="H40" i="39"/>
  <c r="AB40" i="39" s="1"/>
  <c r="H39" i="39"/>
  <c r="S38" i="39"/>
  <c r="S34" i="39"/>
  <c r="H34" i="39"/>
  <c r="U34" i="39" s="1"/>
  <c r="E108" i="39"/>
  <c r="F108" i="39" s="1"/>
  <c r="G108" i="39" s="1"/>
  <c r="H108" i="39" s="1"/>
  <c r="I108" i="39" s="1"/>
  <c r="J108" i="39" s="1"/>
  <c r="K108" i="39" s="1"/>
  <c r="L108" i="39" s="1"/>
  <c r="M108" i="39" s="1"/>
  <c r="F31" i="39"/>
  <c r="AA31" i="39" s="1"/>
  <c r="E100" i="39"/>
  <c r="H19" i="39"/>
  <c r="AB19" i="39" s="1"/>
  <c r="F19" i="39"/>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c r="H36" i="40"/>
  <c r="AB36" i="40" s="1"/>
  <c r="F35" i="40"/>
  <c r="AA35" i="40"/>
  <c r="H23" i="40"/>
  <c r="AB23" i="40" s="1"/>
  <c r="H17" i="40"/>
  <c r="U17" i="40" s="1"/>
  <c r="J15" i="40"/>
  <c r="W15" i="40" s="1"/>
  <c r="J11" i="40"/>
  <c r="W11" i="40"/>
  <c r="AB8" i="39"/>
  <c r="AB12" i="36"/>
  <c r="W32" i="40"/>
  <c r="S44" i="39"/>
  <c r="F37" i="39"/>
  <c r="AA37" i="39" s="1"/>
  <c r="J34" i="36"/>
  <c r="W34" i="36" s="1"/>
  <c r="U30" i="36"/>
  <c r="J30" i="35"/>
  <c r="W30" i="35" s="1"/>
  <c r="H30" i="35"/>
  <c r="AB30" i="35" s="1"/>
  <c r="F22" i="35"/>
  <c r="AA22" i="35" s="1"/>
  <c r="H10" i="35"/>
  <c r="U10" i="35" s="1"/>
  <c r="F33" i="36"/>
  <c r="AA33"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W23" i="34" s="1"/>
  <c r="F19" i="34"/>
  <c r="AA19" i="34" s="1"/>
  <c r="H17" i="34"/>
  <c r="U17" i="34" s="1"/>
  <c r="F15" i="34"/>
  <c r="AA15" i="34" s="1"/>
  <c r="J15" i="34"/>
  <c r="W15" i="34" s="1"/>
  <c r="H15" i="34"/>
  <c r="AB15" i="34" s="1"/>
  <c r="J28" i="34"/>
  <c r="F41" i="33"/>
  <c r="AA41" i="33"/>
  <c r="F32" i="33"/>
  <c r="AA32" i="33" s="1"/>
  <c r="J19" i="33"/>
  <c r="AC19" i="33" s="1"/>
  <c r="F11" i="33"/>
  <c r="AA11" i="33" s="1"/>
  <c r="U40" i="33"/>
  <c r="W40" i="33"/>
  <c r="F37" i="40"/>
  <c r="AA37" i="40" s="1"/>
  <c r="F36" i="40"/>
  <c r="AA36" i="40"/>
  <c r="H28" i="40"/>
  <c r="U28" i="40" s="1"/>
  <c r="F23" i="40"/>
  <c r="AA23" i="40"/>
  <c r="F17" i="40"/>
  <c r="AA17" i="40" s="1"/>
  <c r="J17" i="40"/>
  <c r="W17" i="40"/>
  <c r="F15" i="40"/>
  <c r="S15" i="40" s="1"/>
  <c r="H15" i="40"/>
  <c r="AB15" i="40" s="1"/>
  <c r="AC11" i="40"/>
  <c r="AB30" i="36"/>
  <c r="F29" i="35"/>
  <c r="H29" i="35"/>
  <c r="AB29" i="35" s="1"/>
  <c r="H33" i="37"/>
  <c r="F33" i="37"/>
  <c r="AA33" i="37" s="1"/>
  <c r="U34" i="37"/>
  <c r="S34" i="37"/>
  <c r="AA34" i="37"/>
  <c r="J43" i="34"/>
  <c r="AC43" i="34" s="1"/>
  <c r="AB42" i="34"/>
  <c r="J40" i="34"/>
  <c r="W40" i="34" s="1"/>
  <c r="H38" i="34"/>
  <c r="AB38" i="34" s="1"/>
  <c r="J36" i="34"/>
  <c r="H37" i="34"/>
  <c r="U37" i="34" s="1"/>
  <c r="H25" i="34"/>
  <c r="AB25" i="34" s="1"/>
  <c r="J25" i="34"/>
  <c r="AC25" i="34" s="1"/>
  <c r="F23" i="34"/>
  <c r="AA23" i="34" s="1"/>
  <c r="J19" i="34"/>
  <c r="AC19" i="34" s="1"/>
  <c r="F17" i="34"/>
  <c r="AA17" i="34" s="1"/>
  <c r="J17" i="34"/>
  <c r="W17" i="34" s="1"/>
  <c r="S41" i="33"/>
  <c r="G113" i="33"/>
  <c r="H113" i="33"/>
  <c r="I113" i="33" s="1"/>
  <c r="J113" i="33" s="1"/>
  <c r="K113" i="33" s="1"/>
  <c r="L113" i="33" s="1"/>
  <c r="M113" i="33" s="1"/>
  <c r="H37" i="33"/>
  <c r="AB37" i="33" s="1"/>
  <c r="H11" i="33"/>
  <c r="F28" i="40"/>
  <c r="AA28" i="40"/>
  <c r="AA42" i="34"/>
  <c r="S42" i="34"/>
  <c r="AC38" i="34"/>
  <c r="AA38" i="34"/>
  <c r="J37" i="34"/>
  <c r="AC37" i="34" s="1"/>
  <c r="J11" i="33"/>
  <c r="W11" i="33" s="1"/>
  <c r="I123" i="21"/>
  <c r="J123" i="21" s="1"/>
  <c r="K123" i="21" s="1"/>
  <c r="L123" i="21" s="1"/>
  <c r="M123" i="21"/>
  <c r="J42" i="21"/>
  <c r="AC42" i="21"/>
  <c r="H42" i="21"/>
  <c r="U42" i="21"/>
  <c r="J44" i="34"/>
  <c r="F44" i="34"/>
  <c r="S44" i="34" s="1"/>
  <c r="AA44" i="34"/>
  <c r="J10" i="35"/>
  <c r="AC10" i="35" s="1"/>
  <c r="W14" i="21"/>
  <c r="F14" i="21"/>
  <c r="S14" i="21" s="1"/>
  <c r="H14" i="21"/>
  <c r="U14" i="21" s="1"/>
  <c r="H28" i="21"/>
  <c r="AB28" i="21" s="1"/>
  <c r="H30" i="21"/>
  <c r="U30" i="21"/>
  <c r="F30" i="21"/>
  <c r="S30" i="21" s="1"/>
  <c r="AC30" i="21"/>
  <c r="J44" i="21"/>
  <c r="AC44" i="21" s="1"/>
  <c r="H44" i="21"/>
  <c r="U44" i="21" s="1"/>
  <c r="F44" i="21"/>
  <c r="AA44" i="21" s="1"/>
  <c r="H46" i="21"/>
  <c r="U46" i="21"/>
  <c r="J46" i="21"/>
  <c r="F46" i="21"/>
  <c r="AA46" i="21"/>
  <c r="H26" i="33"/>
  <c r="AB26" i="33" s="1"/>
  <c r="H28" i="33"/>
  <c r="AB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H27" i="21"/>
  <c r="AB27" i="21"/>
  <c r="H29" i="21"/>
  <c r="U29" i="21"/>
  <c r="J31" i="21"/>
  <c r="AC31" i="21" s="1"/>
  <c r="F31" i="21"/>
  <c r="S31" i="21"/>
  <c r="F45" i="21"/>
  <c r="J13" i="33"/>
  <c r="W13" i="33" s="1"/>
  <c r="H13" i="33"/>
  <c r="U13" i="33" s="1"/>
  <c r="F13" i="33"/>
  <c r="S13" i="33" s="1"/>
  <c r="J31" i="33"/>
  <c r="H31" i="33"/>
  <c r="F31" i="33"/>
  <c r="H45" i="33"/>
  <c r="J14" i="34"/>
  <c r="W14" i="34" s="1"/>
  <c r="H30" i="34"/>
  <c r="F30" i="34"/>
  <c r="S30" i="34" s="1"/>
  <c r="J30" i="34"/>
  <c r="H46" i="34"/>
  <c r="F46" i="34"/>
  <c r="J46" i="34"/>
  <c r="H11" i="35"/>
  <c r="AB11" i="35" s="1"/>
  <c r="J11" i="35"/>
  <c r="W11" i="35" s="1"/>
  <c r="AC11" i="35"/>
  <c r="F11" i="35"/>
  <c r="S11" i="35" s="1"/>
  <c r="J26" i="36"/>
  <c r="H28" i="36"/>
  <c r="U28" i="36" s="1"/>
  <c r="H32" i="36"/>
  <c r="AB32" i="36" s="1"/>
  <c r="J32" i="36"/>
  <c r="W32" i="36" s="1"/>
  <c r="H13" i="36"/>
  <c r="AB13" i="36"/>
  <c r="J13" i="36"/>
  <c r="F13" i="36"/>
  <c r="S13" i="36"/>
  <c r="E89" i="37"/>
  <c r="F89" i="37" s="1"/>
  <c r="G89" i="37" s="1"/>
  <c r="H89" i="37" s="1"/>
  <c r="I89" i="37" s="1"/>
  <c r="J89" i="37" s="1"/>
  <c r="K89" i="37" s="1"/>
  <c r="L89" i="37" s="1"/>
  <c r="M89" i="37" s="1"/>
  <c r="J29" i="37"/>
  <c r="W29" i="37" s="1"/>
  <c r="F29" i="37"/>
  <c r="S29" i="37"/>
  <c r="F105" i="37"/>
  <c r="G105" i="37" s="1"/>
  <c r="H36" i="37"/>
  <c r="AB36" i="37"/>
  <c r="F107" i="37"/>
  <c r="G107" i="37" s="1"/>
  <c r="H107" i="37" s="1"/>
  <c r="I107" i="37" s="1"/>
  <c r="J107" i="37" s="1"/>
  <c r="K107" i="37" s="1"/>
  <c r="L107" i="37" s="1"/>
  <c r="M107" i="37" s="1"/>
  <c r="J37" i="37"/>
  <c r="AC37" i="37" s="1"/>
  <c r="H37" i="37"/>
  <c r="U37" i="37"/>
  <c r="H40" i="37"/>
  <c r="J40" i="37"/>
  <c r="AC40" i="37"/>
  <c r="F40" i="37"/>
  <c r="AA40" i="37" s="1"/>
  <c r="AC12" i="40"/>
  <c r="W12" i="40"/>
  <c r="H14" i="33"/>
  <c r="U14" i="33" s="1"/>
  <c r="F14" i="33"/>
  <c r="AA14" i="33" s="1"/>
  <c r="J14" i="33"/>
  <c r="H30" i="33"/>
  <c r="AB30" i="33"/>
  <c r="F30" i="33"/>
  <c r="S30" i="33" s="1"/>
  <c r="J30" i="33"/>
  <c r="F44" i="33"/>
  <c r="S44" i="33" s="1"/>
  <c r="J46" i="33"/>
  <c r="AC46" i="33" s="1"/>
  <c r="F46" i="33"/>
  <c r="AA46" i="33" s="1"/>
  <c r="H46" i="33"/>
  <c r="AB46" i="33" s="1"/>
  <c r="H13" i="34"/>
  <c r="U13" i="34" s="1"/>
  <c r="J13" i="34"/>
  <c r="W13" i="34" s="1"/>
  <c r="F13" i="34"/>
  <c r="AA13" i="34" s="1"/>
  <c r="J29" i="34"/>
  <c r="F29" i="34"/>
  <c r="S29" i="34" s="1"/>
  <c r="H29" i="34"/>
  <c r="AB29" i="34" s="1"/>
  <c r="J31" i="34"/>
  <c r="AC31" i="34"/>
  <c r="H31" i="34"/>
  <c r="F31" i="34"/>
  <c r="H45" i="34"/>
  <c r="U45" i="34" s="1"/>
  <c r="J45" i="34"/>
  <c r="W45" i="34"/>
  <c r="F45" i="34"/>
  <c r="S45" i="34" s="1"/>
  <c r="H47" i="34"/>
  <c r="U47" i="34" s="1"/>
  <c r="F47" i="34"/>
  <c r="S47" i="34" s="1"/>
  <c r="J47" i="34"/>
  <c r="F13" i="35"/>
  <c r="J13" i="35"/>
  <c r="AC13" i="35"/>
  <c r="H13" i="35"/>
  <c r="U13" i="35" s="1"/>
  <c r="J25" i="35"/>
  <c r="W25" i="35"/>
  <c r="F25" i="35"/>
  <c r="H25" i="35"/>
  <c r="AB25" i="35" s="1"/>
  <c r="J25" i="36"/>
  <c r="W25" i="36"/>
  <c r="F25" i="36"/>
  <c r="S25" i="36" s="1"/>
  <c r="H25" i="36"/>
  <c r="AB25" i="36"/>
  <c r="H13" i="37"/>
  <c r="AB13" i="37" s="1"/>
  <c r="F13" i="37"/>
  <c r="S13" i="37" s="1"/>
  <c r="J13" i="37"/>
  <c r="F28" i="37"/>
  <c r="AA28" i="37" s="1"/>
  <c r="J28" i="37"/>
  <c r="AC28" i="37" s="1"/>
  <c r="H28" i="37"/>
  <c r="H38" i="37"/>
  <c r="AB38" i="37" s="1"/>
  <c r="J38" i="37"/>
  <c r="AC38" i="37" s="1"/>
  <c r="F38" i="37"/>
  <c r="S38" i="37"/>
  <c r="F43" i="39"/>
  <c r="AA43" i="39" s="1"/>
  <c r="H43" i="39"/>
  <c r="J14" i="39"/>
  <c r="AC14" i="39" s="1"/>
  <c r="F14" i="39"/>
  <c r="H14" i="39"/>
  <c r="AB14" i="39" s="1"/>
  <c r="F12" i="40"/>
  <c r="S12" i="40"/>
  <c r="H12" i="40"/>
  <c r="H30" i="40"/>
  <c r="AB30" i="40"/>
  <c r="F33" i="40"/>
  <c r="AA33" i="40" s="1"/>
  <c r="H33" i="40"/>
  <c r="U33" i="40" s="1"/>
  <c r="J35" i="40"/>
  <c r="AC35" i="40" s="1"/>
  <c r="J37" i="40"/>
  <c r="AC37" i="40"/>
  <c r="H13" i="40"/>
  <c r="U13" i="40" s="1"/>
  <c r="J13" i="40"/>
  <c r="W13" i="40"/>
  <c r="F13" i="40"/>
  <c r="AA13" i="40" s="1"/>
  <c r="F14" i="37"/>
  <c r="AA14" i="37" s="1"/>
  <c r="S14" i="37"/>
  <c r="F27" i="37"/>
  <c r="AA27" i="37" s="1"/>
  <c r="F13" i="39"/>
  <c r="AA13" i="39" s="1"/>
  <c r="J13" i="39"/>
  <c r="W13" i="39" s="1"/>
  <c r="H13" i="39"/>
  <c r="H14" i="40"/>
  <c r="AB14" i="40"/>
  <c r="J14" i="40"/>
  <c r="W14" i="40" s="1"/>
  <c r="F14" i="40"/>
  <c r="J14" i="37"/>
  <c r="J27" i="37"/>
  <c r="AC27" i="37" s="1"/>
  <c r="J36" i="37"/>
  <c r="AC36" i="37" s="1"/>
  <c r="J10" i="36"/>
  <c r="AC10" i="36" s="1"/>
  <c r="AB30" i="21"/>
  <c r="W31" i="34"/>
  <c r="BA586" i="3"/>
  <c r="BA585"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38" i="3"/>
  <c r="BL534" i="3"/>
  <c r="BL530" i="3"/>
  <c r="BL522" i="3"/>
  <c r="BL516" i="3"/>
  <c r="BL512" i="3"/>
  <c r="BL502" i="3"/>
  <c r="AZ502" i="3" s="1"/>
  <c r="BL498" i="3"/>
  <c r="BL494" i="3"/>
  <c r="BL582" i="3"/>
  <c r="BL578" i="3"/>
  <c r="BL574" i="3"/>
  <c r="BL570" i="3"/>
  <c r="BL566" i="3"/>
  <c r="BL562" i="3"/>
  <c r="BL556" i="3"/>
  <c r="BL552" i="3"/>
  <c r="BL540" i="3"/>
  <c r="BL536" i="3"/>
  <c r="G533" i="3"/>
  <c r="G529" i="3"/>
  <c r="BL528" i="3"/>
  <c r="G525" i="3"/>
  <c r="BL518" i="3"/>
  <c r="BL514" i="3"/>
  <c r="BL510" i="3"/>
  <c r="BL500" i="3"/>
  <c r="BL496" i="3"/>
  <c r="G493" i="3"/>
  <c r="BA584" i="3"/>
  <c r="BA582" i="3"/>
  <c r="AZ582" i="3" s="1"/>
  <c r="BA580" i="3"/>
  <c r="AZ580" i="3" s="1"/>
  <c r="BA578" i="3"/>
  <c r="BA576" i="3"/>
  <c r="BA574" i="3"/>
  <c r="BA572" i="3"/>
  <c r="AZ572" i="3" s="1"/>
  <c r="BA570" i="3"/>
  <c r="AZ570" i="3" s="1"/>
  <c r="BA568" i="3"/>
  <c r="BA566" i="3"/>
  <c r="AZ566" i="3" s="1"/>
  <c r="BA564" i="3"/>
  <c r="AZ564" i="3" s="1"/>
  <c r="BA562" i="3"/>
  <c r="BA560" i="3"/>
  <c r="BA558" i="3"/>
  <c r="AZ558" i="3"/>
  <c r="BA556" i="3"/>
  <c r="BA554" i="3"/>
  <c r="AZ554" i="3"/>
  <c r="BA552" i="3"/>
  <c r="AZ552" i="3" s="1"/>
  <c r="BA548" i="3"/>
  <c r="BA546" i="3"/>
  <c r="BA544" i="3"/>
  <c r="BA542" i="3"/>
  <c r="BA540" i="3"/>
  <c r="BA536" i="3"/>
  <c r="AZ536" i="3" s="1"/>
  <c r="BA532" i="3"/>
  <c r="BA528" i="3"/>
  <c r="BA526" i="3"/>
  <c r="BA524" i="3"/>
  <c r="BA520" i="3"/>
  <c r="BA518" i="3"/>
  <c r="BA516" i="3"/>
  <c r="AZ516" i="3" s="1"/>
  <c r="BA512" i="3"/>
  <c r="AZ512" i="3"/>
  <c r="BA510" i="3"/>
  <c r="BA508" i="3"/>
  <c r="BA506" i="3"/>
  <c r="BA504" i="3"/>
  <c r="BA502" i="3"/>
  <c r="BA500" i="3"/>
  <c r="BA498" i="3"/>
  <c r="BA496" i="3"/>
  <c r="AZ496" i="3" s="1"/>
  <c r="BA494" i="3"/>
  <c r="BA587" i="3"/>
  <c r="BA583" i="3"/>
  <c r="BA581" i="3"/>
  <c r="BA579" i="3"/>
  <c r="BA577" i="3"/>
  <c r="BA575" i="3"/>
  <c r="BA573" i="3"/>
  <c r="BA571" i="3"/>
  <c r="BA569" i="3"/>
  <c r="BA567" i="3"/>
  <c r="BA565" i="3"/>
  <c r="BA563" i="3"/>
  <c r="BA561" i="3"/>
  <c r="BA559" i="3"/>
  <c r="BA555" i="3"/>
  <c r="BA553" i="3"/>
  <c r="BA547" i="3"/>
  <c r="BA545" i="3"/>
  <c r="BA543" i="3"/>
  <c r="BA539" i="3"/>
  <c r="BA537" i="3"/>
  <c r="BA535" i="3"/>
  <c r="BA531" i="3"/>
  <c r="BA529" i="3"/>
  <c r="BA527" i="3"/>
  <c r="BA523" i="3"/>
  <c r="BA519" i="3"/>
  <c r="BA517" i="3"/>
  <c r="BA513" i="3"/>
  <c r="BA511" i="3"/>
  <c r="BA507" i="3"/>
  <c r="BA503" i="3"/>
  <c r="BA501" i="3"/>
  <c r="BA499"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s="1"/>
  <c r="BQ573" i="3"/>
  <c r="BL573" i="3" s="1"/>
  <c r="BQ571" i="3"/>
  <c r="BL571" i="3"/>
  <c r="BQ569" i="3"/>
  <c r="BL569" i="3" s="1"/>
  <c r="AZ569" i="3" s="1"/>
  <c r="BQ567" i="3"/>
  <c r="BL567" i="3"/>
  <c r="BQ565" i="3"/>
  <c r="BL565" i="3" s="1"/>
  <c r="BQ563" i="3"/>
  <c r="BL563" i="3"/>
  <c r="BQ561" i="3"/>
  <c r="BL561" i="3" s="1"/>
  <c r="AZ561" i="3" s="1"/>
  <c r="BQ559" i="3"/>
  <c r="BL559" i="3" s="1"/>
  <c r="AZ559" i="3"/>
  <c r="G559" i="3"/>
  <c r="G555" i="3"/>
  <c r="G553" i="3"/>
  <c r="G549" i="3"/>
  <c r="G547" i="3"/>
  <c r="G545" i="3"/>
  <c r="G543" i="3"/>
  <c r="G541" i="3"/>
  <c r="G539" i="3"/>
  <c r="G537" i="3"/>
  <c r="BQ555" i="3"/>
  <c r="BL555" i="3"/>
  <c r="BQ553" i="3"/>
  <c r="BL553" i="3" s="1"/>
  <c r="AZ553" i="3" s="1"/>
  <c r="BQ551" i="3"/>
  <c r="BL551" i="3"/>
  <c r="BQ549" i="3"/>
  <c r="BQ547" i="3"/>
  <c r="BL547" i="3" s="1"/>
  <c r="BQ545" i="3"/>
  <c r="BL545" i="3"/>
  <c r="BQ543" i="3"/>
  <c r="BL543" i="3" s="1"/>
  <c r="BQ541" i="3"/>
  <c r="BL541" i="3"/>
  <c r="BQ539" i="3"/>
  <c r="BL539" i="3" s="1"/>
  <c r="AZ539" i="3" s="1"/>
  <c r="BQ537" i="3"/>
  <c r="BQ535" i="3"/>
  <c r="BL535" i="3" s="1"/>
  <c r="BQ533" i="3"/>
  <c r="BL533" i="3"/>
  <c r="BQ531" i="3"/>
  <c r="BQ529" i="3"/>
  <c r="BL529" i="3"/>
  <c r="BQ527" i="3"/>
  <c r="BL527" i="3" s="1"/>
  <c r="BQ525" i="3"/>
  <c r="BL525" i="3"/>
  <c r="BQ523" i="3"/>
  <c r="BL523" i="3" s="1"/>
  <c r="AZ523" i="3" s="1"/>
  <c r="AC521" i="3"/>
  <c r="G521" i="3" s="1"/>
  <c r="BQ521" i="3"/>
  <c r="BL520" i="3"/>
  <c r="AZ520" i="3"/>
  <c r="G519" i="3"/>
  <c r="G515" i="3"/>
  <c r="G513" i="3"/>
  <c r="G511" i="3"/>
  <c r="BQ519" i="3"/>
  <c r="BQ517" i="3"/>
  <c r="BL517" i="3"/>
  <c r="BQ515" i="3"/>
  <c r="BL515" i="3" s="1"/>
  <c r="BQ513" i="3"/>
  <c r="BL513" i="3"/>
  <c r="BQ511" i="3"/>
  <c r="BL511" i="3" s="1"/>
  <c r="AZ511" i="3" s="1"/>
  <c r="BA509" i="3"/>
  <c r="AC509" i="3"/>
  <c r="BQ509" i="3"/>
  <c r="BL509" i="3"/>
  <c r="BL508" i="3"/>
  <c r="G507" i="3"/>
  <c r="G505" i="3"/>
  <c r="G503" i="3"/>
  <c r="G501" i="3"/>
  <c r="G499" i="3"/>
  <c r="G497" i="3"/>
  <c r="G495" i="3"/>
  <c r="BQ507" i="3"/>
  <c r="BQ505" i="3"/>
  <c r="BL505" i="3"/>
  <c r="BQ503" i="3"/>
  <c r="BL503" i="3" s="1"/>
  <c r="BQ501" i="3"/>
  <c r="BL501" i="3" s="1"/>
  <c r="BQ499" i="3"/>
  <c r="BQ497" i="3"/>
  <c r="BL497" i="3"/>
  <c r="BQ495" i="3"/>
  <c r="BQ493" i="3"/>
  <c r="BL493" i="3" s="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c r="H31" i="40"/>
  <c r="U31" i="40" s="1"/>
  <c r="F32" i="40"/>
  <c r="H32" i="40"/>
  <c r="AB32" i="40" s="1"/>
  <c r="J36" i="40"/>
  <c r="W36" i="40"/>
  <c r="H19" i="37"/>
  <c r="AB19" i="37" s="1"/>
  <c r="H42" i="33"/>
  <c r="AB42" i="33" s="1"/>
  <c r="J43" i="33"/>
  <c r="AC43" i="33" s="1"/>
  <c r="U14" i="40"/>
  <c r="U39" i="37"/>
  <c r="U26" i="37"/>
  <c r="U19" i="21"/>
  <c r="AB38" i="21"/>
  <c r="F43" i="33"/>
  <c r="S43" i="33" s="1"/>
  <c r="AA43" i="33"/>
  <c r="W16" i="35"/>
  <c r="W40" i="37"/>
  <c r="H37" i="21"/>
  <c r="U37" i="21" s="1"/>
  <c r="S42" i="21"/>
  <c r="H19" i="34"/>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H15" i="39"/>
  <c r="U15" i="39" s="1"/>
  <c r="J15" i="39"/>
  <c r="W15" i="39" s="1"/>
  <c r="H41" i="39"/>
  <c r="AB41" i="39" s="1"/>
  <c r="W27" i="39"/>
  <c r="AB34" i="39"/>
  <c r="U40" i="39"/>
  <c r="S42" i="39"/>
  <c r="AA41" i="39"/>
  <c r="W9" i="39"/>
  <c r="W8" i="39"/>
  <c r="J19" i="40"/>
  <c r="AC19" i="40" s="1"/>
  <c r="J50" i="40"/>
  <c r="H103" i="9"/>
  <c r="D8" i="53" s="1"/>
  <c r="B16" i="53"/>
  <c r="B33" i="72" s="1"/>
  <c r="C7" i="34"/>
  <c r="A118" i="9"/>
  <c r="A4" i="52"/>
  <c r="B41" i="72" s="1"/>
  <c r="J11" i="39"/>
  <c r="F11" i="39"/>
  <c r="S11" i="39" s="1"/>
  <c r="AA11" i="39"/>
  <c r="G4" i="4"/>
  <c r="I4" i="4"/>
  <c r="A2" i="9"/>
  <c r="F61" i="43"/>
  <c r="H64" i="43" s="1"/>
  <c r="BL549" i="3"/>
  <c r="AZ494" i="3"/>
  <c r="G546" i="3"/>
  <c r="G524" i="3"/>
  <c r="G303" i="3"/>
  <c r="BL304" i="3"/>
  <c r="G305" i="3"/>
  <c r="BL306" i="3"/>
  <c r="BA308" i="3"/>
  <c r="AZ308" i="3" s="1"/>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BL180" i="3"/>
  <c r="G181" i="3"/>
  <c r="BA183" i="3"/>
  <c r="BL184" i="3"/>
  <c r="G185" i="3"/>
  <c r="BA187" i="3"/>
  <c r="BL188" i="3"/>
  <c r="AZ188" i="3" s="1"/>
  <c r="G189" i="3"/>
  <c r="BA191" i="3"/>
  <c r="BL192" i="3"/>
  <c r="G193" i="3"/>
  <c r="BA195" i="3"/>
  <c r="AZ195" i="3"/>
  <c r="BL196" i="3"/>
  <c r="G197" i="3"/>
  <c r="BA199" i="3"/>
  <c r="BL200" i="3"/>
  <c r="G201" i="3"/>
  <c r="BA203" i="3"/>
  <c r="BL204" i="3"/>
  <c r="AZ79"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BA390" i="3"/>
  <c r="BL390" i="3"/>
  <c r="AZ390" i="3" s="1"/>
  <c r="G391" i="3"/>
  <c r="G394" i="3"/>
  <c r="AZ154" i="3"/>
  <c r="AZ162" i="3"/>
  <c r="AZ194" i="3"/>
  <c r="AZ198"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22" i="3"/>
  <c r="G342" i="3"/>
  <c r="BL345" i="3"/>
  <c r="AZ345" i="3" s="1"/>
  <c r="G346" i="3"/>
  <c r="BL349" i="3"/>
  <c r="AZ349" i="3" s="1"/>
  <c r="BL352" i="3"/>
  <c r="G353" i="3"/>
  <c r="BA357" i="3"/>
  <c r="AZ357" i="3" s="1"/>
  <c r="BL358" i="3"/>
  <c r="G359" i="3"/>
  <c r="BA361" i="3"/>
  <c r="BL362" i="3"/>
  <c r="AZ362" i="3" s="1"/>
  <c r="G363" i="3"/>
  <c r="BA365" i="3"/>
  <c r="BL366" i="3"/>
  <c r="G367" i="3"/>
  <c r="BA369" i="3"/>
  <c r="AZ369" i="3" s="1"/>
  <c r="BL370" i="3"/>
  <c r="AZ370" i="3" s="1"/>
  <c r="G371" i="3"/>
  <c r="BA373" i="3"/>
  <c r="AZ373" i="3" s="1"/>
  <c r="BL374" i="3"/>
  <c r="G375" i="3"/>
  <c r="BA377" i="3"/>
  <c r="BA379" i="3"/>
  <c r="AZ379" i="3" s="1"/>
  <c r="BL380" i="3"/>
  <c r="G381" i="3"/>
  <c r="BA383" i="3"/>
  <c r="AZ383" i="3" s="1"/>
  <c r="BL384" i="3"/>
  <c r="G385" i="3"/>
  <c r="BA387" i="3"/>
  <c r="BL388" i="3"/>
  <c r="G389" i="3"/>
  <c r="BA391" i="3"/>
  <c r="BL392" i="3"/>
  <c r="AZ392" i="3" s="1"/>
  <c r="G393" i="3"/>
  <c r="AZ291" i="3"/>
  <c r="BO5" i="3"/>
  <c r="BM5" i="3"/>
  <c r="BJ5" i="3"/>
  <c r="BH5" i="3"/>
  <c r="BF5" i="3"/>
  <c r="BD5" i="3"/>
  <c r="AZ341" i="3"/>
  <c r="AC5" i="3"/>
  <c r="G548" i="3"/>
  <c r="G538" i="3"/>
  <c r="G520" i="3"/>
  <c r="G502" i="3"/>
  <c r="BS5" i="3"/>
  <c r="BP5" i="3"/>
  <c r="G29" i="6" s="1"/>
  <c r="BN5" i="3"/>
  <c r="BK5" i="3"/>
  <c r="BI5" i="3"/>
  <c r="BG5" i="3"/>
  <c r="BE5" i="3"/>
  <c r="BC5" i="3"/>
  <c r="G17" i="3"/>
  <c r="BA17" i="3"/>
  <c r="BT5" i="3"/>
  <c r="BR5" i="3"/>
  <c r="AZ380" i="3"/>
  <c r="AZ509" i="3"/>
  <c r="G509" i="3"/>
  <c r="AZ493" i="3"/>
  <c r="U36" i="40"/>
  <c r="F83" i="43"/>
  <c r="H85" i="43" s="1"/>
  <c r="F50" i="43"/>
  <c r="H54" i="43" s="1"/>
  <c r="F72" i="43"/>
  <c r="H75" i="43" s="1"/>
  <c r="U17" i="39"/>
  <c r="S14" i="35"/>
  <c r="U43" i="21"/>
  <c r="U35" i="21"/>
  <c r="AC35" i="21"/>
  <c r="AZ563" i="3"/>
  <c r="AZ501" i="3"/>
  <c r="W37" i="37"/>
  <c r="W44" i="34"/>
  <c r="AC44" i="34"/>
  <c r="S15" i="37"/>
  <c r="U13" i="37"/>
  <c r="AA12" i="40"/>
  <c r="J37" i="33"/>
  <c r="AC37" i="33" s="1"/>
  <c r="J34" i="33"/>
  <c r="F33" i="34"/>
  <c r="S33" i="34" s="1"/>
  <c r="W12" i="36"/>
  <c r="AC12" i="36"/>
  <c r="H20" i="36"/>
  <c r="U20" i="36" s="1"/>
  <c r="J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J27" i="40"/>
  <c r="AC27" i="40"/>
  <c r="F27" i="40"/>
  <c r="J30" i="40"/>
  <c r="AC30" i="40"/>
  <c r="F30" i="40"/>
  <c r="AA30" i="40" s="1"/>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AA43" i="34" s="1"/>
  <c r="H44" i="34"/>
  <c r="U44" i="34" s="1"/>
  <c r="AC38" i="39"/>
  <c r="F39" i="39"/>
  <c r="J39" i="39"/>
  <c r="AC39" i="39" s="1"/>
  <c r="E96" i="39"/>
  <c r="F96" i="39" s="1"/>
  <c r="G96" i="39" s="1"/>
  <c r="AZ386" i="3"/>
  <c r="C40" i="11"/>
  <c r="AZ256" i="3"/>
  <c r="AZ130" i="3"/>
  <c r="AZ77" i="3"/>
  <c r="F23" i="39"/>
  <c r="AA23" i="39"/>
  <c r="H27" i="36"/>
  <c r="U27" i="36" s="1"/>
  <c r="F27" i="36"/>
  <c r="AA27" i="36" s="1"/>
  <c r="H33" i="34"/>
  <c r="U33" i="34"/>
  <c r="F32" i="37"/>
  <c r="S32" i="37" s="1"/>
  <c r="AA32" i="37"/>
  <c r="F20" i="36"/>
  <c r="J33" i="34"/>
  <c r="AC33" i="34" s="1"/>
  <c r="H23" i="39"/>
  <c r="U23" i="39" s="1"/>
  <c r="D48" i="9"/>
  <c r="M52" i="9" s="1"/>
  <c r="K9" i="1"/>
  <c r="M9" i="1" s="1"/>
  <c r="D93" i="9"/>
  <c r="K6" i="1"/>
  <c r="AP6" i="1" s="1"/>
  <c r="AB34" i="36"/>
  <c r="U34" i="36"/>
  <c r="AB33" i="36"/>
  <c r="U33" i="36"/>
  <c r="AC12" i="39"/>
  <c r="W12" i="39"/>
  <c r="AC12" i="33"/>
  <c r="AA32" i="36"/>
  <c r="S32" i="36"/>
  <c r="BL14" i="3"/>
  <c r="U30" i="33"/>
  <c r="AC13" i="34"/>
  <c r="AA47" i="34"/>
  <c r="W28" i="37"/>
  <c r="F12" i="33"/>
  <c r="AA12" i="33" s="1"/>
  <c r="H12" i="39"/>
  <c r="F39" i="40"/>
  <c r="S39" i="40" s="1"/>
  <c r="BA14" i="3"/>
  <c r="AZ14" i="3" s="1"/>
  <c r="AZ367" i="3"/>
  <c r="AZ254" i="3"/>
  <c r="AZ297" i="3"/>
  <c r="AZ149" i="3"/>
  <c r="AZ173" i="3"/>
  <c r="B12" i="1"/>
  <c r="E12" i="1" s="1"/>
  <c r="B10" i="1"/>
  <c r="E10" i="1" s="1"/>
  <c r="K12" i="1"/>
  <c r="M12" i="1" s="1"/>
  <c r="S13" i="1"/>
  <c r="AR13" i="1" s="1"/>
  <c r="R13" i="1"/>
  <c r="J51" i="67"/>
  <c r="B41" i="1"/>
  <c r="AB37" i="40"/>
  <c r="S35" i="40"/>
  <c r="U35" i="40"/>
  <c r="AC36"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AA12" i="39"/>
  <c r="S9" i="39"/>
  <c r="U14" i="39"/>
  <c r="AC13" i="39"/>
  <c r="U13" i="36"/>
  <c r="U26" i="36"/>
  <c r="S33" i="36"/>
  <c r="AA26" i="36"/>
  <c r="AA34" i="36"/>
  <c r="W14" i="36"/>
  <c r="AB14" i="36"/>
  <c r="U22" i="36"/>
  <c r="S16" i="36"/>
  <c r="AA25" i="36"/>
  <c r="S24" i="36"/>
  <c r="U24" i="36"/>
  <c r="AB20" i="36"/>
  <c r="U16" i="36"/>
  <c r="S14" i="36"/>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5"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A13" i="37"/>
  <c r="H10" i="37"/>
  <c r="AB10" i="37" s="1"/>
  <c r="F63" i="37"/>
  <c r="F11" i="37"/>
  <c r="S11" i="37" s="1"/>
  <c r="AA33" i="34"/>
  <c r="U43" i="34"/>
  <c r="AC42" i="34"/>
  <c r="S43" i="34"/>
  <c r="AA45" i="34"/>
  <c r="U28" i="34"/>
  <c r="S17" i="34"/>
  <c r="AA29" i="34"/>
  <c r="S23" i="34"/>
  <c r="S13" i="34"/>
  <c r="H10" i="34"/>
  <c r="AB10" i="34" s="1"/>
  <c r="F11" i="34"/>
  <c r="S11" i="34" s="1"/>
  <c r="F70" i="34"/>
  <c r="G70" i="34" s="1"/>
  <c r="H41" i="33"/>
  <c r="U41" i="33" s="1"/>
  <c r="F121" i="33"/>
  <c r="G121" i="33" s="1"/>
  <c r="H121" i="33" s="1"/>
  <c r="I121" i="33" s="1"/>
  <c r="J121" i="33" s="1"/>
  <c r="K121" i="33" s="1"/>
  <c r="L121" i="33" s="1"/>
  <c r="M121" i="33" s="1"/>
  <c r="F36" i="33"/>
  <c r="AA36" i="33" s="1"/>
  <c r="G108" i="33"/>
  <c r="H108" i="33" s="1"/>
  <c r="I108" i="33" s="1"/>
  <c r="J108" i="33" s="1"/>
  <c r="K108" i="33" s="1"/>
  <c r="L108" i="33" s="1"/>
  <c r="M108" i="33" s="1"/>
  <c r="J35" i="33"/>
  <c r="F101" i="33"/>
  <c r="G101" i="33" s="1"/>
  <c r="H101" i="33" s="1"/>
  <c r="I101" i="33" s="1"/>
  <c r="J101" i="33" s="1"/>
  <c r="K101" i="33" s="1"/>
  <c r="L101" i="33" s="1"/>
  <c r="M101" i="33" s="1"/>
  <c r="J32" i="33"/>
  <c r="W32" i="33" s="1"/>
  <c r="S46" i="33"/>
  <c r="F87" i="33"/>
  <c r="G87" i="33" s="1"/>
  <c r="H25" i="33"/>
  <c r="U25" i="33" s="1"/>
  <c r="F25" i="33"/>
  <c r="S25" i="33" s="1"/>
  <c r="J23" i="33"/>
  <c r="AC23" i="33" s="1"/>
  <c r="H23" i="33"/>
  <c r="AB23" i="33" s="1"/>
  <c r="F81" i="33"/>
  <c r="G81" i="33" s="1"/>
  <c r="F19" i="33"/>
  <c r="J17" i="33"/>
  <c r="AC17" i="33" s="1"/>
  <c r="J10" i="33"/>
  <c r="W10" i="33" s="1"/>
  <c r="H10" i="33"/>
  <c r="U10" i="33" s="1"/>
  <c r="AC11" i="33"/>
  <c r="AB14" i="33"/>
  <c r="W43" i="21"/>
  <c r="W36" i="21"/>
  <c r="W41" i="21"/>
  <c r="AB39" i="21"/>
  <c r="AA43" i="21"/>
  <c r="S39" i="21"/>
  <c r="AA38" i="21"/>
  <c r="AA36" i="21"/>
  <c r="AC40" i="21"/>
  <c r="J15" i="21"/>
  <c r="AC15" i="21" s="1"/>
  <c r="F77" i="21"/>
  <c r="G77" i="21" s="1"/>
  <c r="F23" i="21"/>
  <c r="AA23" i="21" s="1"/>
  <c r="S23" i="21"/>
  <c r="E85" i="21"/>
  <c r="AA14" i="21"/>
  <c r="D120" i="9"/>
  <c r="D121" i="9" s="1"/>
  <c r="D7" i="52" s="1"/>
  <c r="C18" i="9"/>
  <c r="D18" i="9" s="1"/>
  <c r="F34" i="67"/>
  <c r="F62" i="67" s="1"/>
  <c r="M20" i="67"/>
  <c r="F34" i="15"/>
  <c r="F62" i="15" s="1"/>
  <c r="BL17" i="3"/>
  <c r="AZ17" i="3"/>
  <c r="BL13" i="3"/>
  <c r="J56" i="9"/>
  <c r="J57" i="9" s="1"/>
  <c r="J59" i="9" s="1"/>
  <c r="J61" i="9" s="1"/>
  <c r="A24" i="51"/>
  <c r="B18" i="72"/>
  <c r="U29" i="34"/>
  <c r="E5" i="6"/>
  <c r="E32" i="6"/>
  <c r="E19" i="69"/>
  <c r="E19" i="68"/>
  <c r="E19" i="11"/>
  <c r="E1" i="73"/>
  <c r="G22" i="69"/>
  <c r="G22" i="68"/>
  <c r="G26" i="12"/>
  <c r="G22" i="11"/>
  <c r="C6" i="43"/>
  <c r="C7" i="39"/>
  <c r="C67" i="39" s="1"/>
  <c r="C7" i="40"/>
  <c r="C63" i="40" s="1"/>
  <c r="A4" i="51"/>
  <c r="B6" i="72" s="1"/>
  <c r="L20" i="6"/>
  <c r="B6" i="1"/>
  <c r="E6" i="1" s="1"/>
  <c r="K11" i="1"/>
  <c r="M11" i="1" s="1"/>
  <c r="O11" i="1" s="1"/>
  <c r="B9" i="1"/>
  <c r="E9" i="1" s="1"/>
  <c r="G1" i="15"/>
  <c r="W23" i="40"/>
  <c r="U32"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S13" i="39"/>
  <c r="S14" i="39"/>
  <c r="AA14" i="39"/>
  <c r="U43" i="39"/>
  <c r="AB43" i="39"/>
  <c r="AB11" i="39"/>
  <c r="U11" i="39"/>
  <c r="AA27" i="39"/>
  <c r="S27" i="39"/>
  <c r="W17" i="39"/>
  <c r="AC17" i="39"/>
  <c r="W31" i="39"/>
  <c r="AC31" i="39"/>
  <c r="S23" i="39"/>
  <c r="AA45" i="39"/>
  <c r="W34" i="39"/>
  <c r="U38" i="39"/>
  <c r="S8" i="39"/>
  <c r="AC25" i="36"/>
  <c r="U32" i="36"/>
  <c r="W29" i="36"/>
  <c r="U25" i="36"/>
  <c r="AB28" i="36"/>
  <c r="AA13" i="36"/>
  <c r="W22" i="36"/>
  <c r="AB20" i="35"/>
  <c r="AC25" i="35"/>
  <c r="U25" i="35"/>
  <c r="S24" i="35"/>
  <c r="U24" i="35"/>
  <c r="AA16" i="35"/>
  <c r="AA35" i="37"/>
  <c r="W36" i="37"/>
  <c r="S27" i="37"/>
  <c r="S28" i="37"/>
  <c r="W32" i="37"/>
  <c r="U36" i="37"/>
  <c r="S40" i="37"/>
  <c r="U38" i="37"/>
  <c r="AB37" i="37"/>
  <c r="AC34" i="37"/>
  <c r="AB35" i="37"/>
  <c r="AA31" i="37"/>
  <c r="U19" i="37"/>
  <c r="AA29" i="37"/>
  <c r="U8" i="37"/>
  <c r="AA40" i="34"/>
  <c r="AB33" i="34"/>
  <c r="AC45" i="34"/>
  <c r="AA30" i="34"/>
  <c r="AB45" i="34"/>
  <c r="AB47" i="34"/>
  <c r="W33" i="34"/>
  <c r="AC14" i="34"/>
  <c r="AC29" i="34"/>
  <c r="W29" i="34"/>
  <c r="W46" i="34"/>
  <c r="AC46" i="34"/>
  <c r="U30" i="34"/>
  <c r="AB30" i="34"/>
  <c r="S37" i="34"/>
  <c r="U38" i="34"/>
  <c r="AA36" i="34"/>
  <c r="S46" i="34"/>
  <c r="AA46" i="34"/>
  <c r="U12" i="34"/>
  <c r="AB12" i="34"/>
  <c r="AA30" i="33"/>
  <c r="AC14" i="33"/>
  <c r="W14" i="33"/>
  <c r="AC30" i="33"/>
  <c r="W30" i="33"/>
  <c r="S31" i="33"/>
  <c r="AA31" i="33"/>
  <c r="AC13" i="33"/>
  <c r="S11"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AA30" i="21"/>
  <c r="W42" i="21"/>
  <c r="AC45" i="21"/>
  <c r="F10" i="21"/>
  <c r="AA10" i="21" s="1"/>
  <c r="K145" i="21"/>
  <c r="W25" i="21"/>
  <c r="W31" i="21"/>
  <c r="S17" i="21"/>
  <c r="AA15" i="21"/>
  <c r="AC27" i="21"/>
  <c r="AC26" i="21"/>
  <c r="AB29" i="21"/>
  <c r="AC34" i="21"/>
  <c r="AB36" i="21"/>
  <c r="W30" i="40"/>
  <c r="C19" i="39"/>
  <c r="C15" i="40"/>
  <c r="C17" i="40"/>
  <c r="C23" i="40"/>
  <c r="C21" i="40"/>
  <c r="U30" i="40"/>
  <c r="B54" i="43"/>
  <c r="B58" i="43"/>
  <c r="B65" i="43"/>
  <c r="B69" i="43"/>
  <c r="D23" i="15"/>
  <c r="D22" i="15"/>
  <c r="E4" i="4"/>
  <c r="B5" i="62" s="1"/>
  <c r="B73" i="72" s="1"/>
  <c r="C4" i="4"/>
  <c r="F30" i="11"/>
  <c r="C48" i="11" s="1"/>
  <c r="F28" i="67"/>
  <c r="F31" i="12"/>
  <c r="M18" i="67"/>
  <c r="F32" i="67"/>
  <c r="F60" i="67" s="1"/>
  <c r="F30" i="69"/>
  <c r="F48" i="69" s="1"/>
  <c r="M18" i="15"/>
  <c r="F28" i="15"/>
  <c r="AA39" i="40"/>
  <c r="S12" i="33"/>
  <c r="D68" i="9"/>
  <c r="J32" i="39"/>
  <c r="W32" i="39" s="1"/>
  <c r="H32" i="39"/>
  <c r="AB32" i="39" s="1"/>
  <c r="AA32" i="39"/>
  <c r="S32" i="39"/>
  <c r="AB21" i="39"/>
  <c r="U21" i="39"/>
  <c r="AA21" i="39"/>
  <c r="AC17" i="37"/>
  <c r="S17" i="37"/>
  <c r="J19" i="37"/>
  <c r="W19" i="37" s="1"/>
  <c r="AA19" i="37"/>
  <c r="AA23" i="37"/>
  <c r="J23" i="37"/>
  <c r="G79" i="37"/>
  <c r="J10" i="37"/>
  <c r="W10" i="37" s="1"/>
  <c r="G63" i="37"/>
  <c r="H63" i="37" s="1"/>
  <c r="I63" i="37" s="1"/>
  <c r="H11" i="37"/>
  <c r="AB11" i="37" s="1"/>
  <c r="H11" i="34"/>
  <c r="U11" i="34" s="1"/>
  <c r="J10" i="34"/>
  <c r="AC10" i="34" s="1"/>
  <c r="AB41" i="33"/>
  <c r="W35" i="33"/>
  <c r="AC35" i="33"/>
  <c r="J36" i="33"/>
  <c r="W36" i="33" s="1"/>
  <c r="H36" i="33"/>
  <c r="H87" i="33"/>
  <c r="I87" i="33" s="1"/>
  <c r="J87" i="33" s="1"/>
  <c r="K87" i="33" s="1"/>
  <c r="L87" i="33" s="1"/>
  <c r="M87" i="33" s="1"/>
  <c r="J25" i="33"/>
  <c r="AC25" i="33" s="1"/>
  <c r="F23" i="33"/>
  <c r="H19" i="33"/>
  <c r="AB19" i="33" s="1"/>
  <c r="H17" i="33"/>
  <c r="U17" i="33" s="1"/>
  <c r="F17" i="33"/>
  <c r="S17" i="33" s="1"/>
  <c r="S37" i="21"/>
  <c r="AB15" i="21"/>
  <c r="J23" i="21"/>
  <c r="AC23" i="21" s="1"/>
  <c r="F85" i="21"/>
  <c r="G85" i="21" s="1"/>
  <c r="H23" i="21"/>
  <c r="S13" i="21"/>
  <c r="D6" i="52"/>
  <c r="AP7" i="1"/>
  <c r="AB9" i="21"/>
  <c r="U9" i="21"/>
  <c r="AA32" i="21"/>
  <c r="W9" i="21"/>
  <c r="AC9" i="21"/>
  <c r="AB32" i="21"/>
  <c r="U32" i="39"/>
  <c r="AC32" i="39"/>
  <c r="W23" i="37"/>
  <c r="AC23" i="37"/>
  <c r="J63" i="37"/>
  <c r="K63" i="37" s="1"/>
  <c r="L63" i="37" s="1"/>
  <c r="M63" i="37" s="1"/>
  <c r="J11" i="37"/>
  <c r="AC11" i="37" s="1"/>
  <c r="H70" i="34"/>
  <c r="I70" i="34" s="1"/>
  <c r="J70" i="34" s="1"/>
  <c r="K70" i="34" s="1"/>
  <c r="L70" i="34" s="1"/>
  <c r="M70" i="34" s="1"/>
  <c r="J11" i="34"/>
  <c r="W11" i="34" s="1"/>
  <c r="U23" i="21"/>
  <c r="AB23" i="21"/>
  <c r="W23" i="2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E11" i="76"/>
  <c r="E12" i="76"/>
  <c r="D35" i="9"/>
  <c r="C20" i="9"/>
  <c r="M28" i="15"/>
  <c r="F13" i="15"/>
  <c r="M6" i="15"/>
  <c r="J15" i="15"/>
  <c r="F9" i="15"/>
  <c r="M26" i="15"/>
  <c r="D20" i="9"/>
  <c r="B8" i="76"/>
  <c r="B9" i="76"/>
  <c r="F7" i="73"/>
  <c r="M29" i="15"/>
  <c r="F37" i="15"/>
  <c r="B13" i="76"/>
  <c r="B12" i="76"/>
  <c r="C19" i="9"/>
  <c r="F38" i="15"/>
  <c r="E2" i="69"/>
  <c r="D6" i="73"/>
  <c r="E10" i="76"/>
  <c r="D34" i="9"/>
  <c r="F3" i="73"/>
  <c r="B11" i="76"/>
  <c r="F6" i="73"/>
  <c r="E2" i="68"/>
  <c r="F43" i="15"/>
  <c r="F4" i="73"/>
  <c r="F20" i="31"/>
  <c r="M24" i="15"/>
  <c r="D19" i="9"/>
  <c r="M9" i="15"/>
  <c r="L47" i="15"/>
  <c r="E8" i="76"/>
  <c r="F36" i="15"/>
  <c r="F8" i="15"/>
  <c r="E7" i="76"/>
  <c r="M23" i="15"/>
  <c r="B10" i="76"/>
  <c r="B7" i="76"/>
  <c r="E13" i="76"/>
  <c r="E9" i="76"/>
  <c r="F7" i="15"/>
  <c r="F26" i="15"/>
  <c r="F16" i="15"/>
  <c r="M8" i="15"/>
  <c r="F40" i="15"/>
  <c r="F5" i="73"/>
  <c r="H5" i="3" l="1"/>
  <c r="B24" i="31"/>
  <c r="C33" i="33"/>
  <c r="B67" i="43"/>
  <c r="B56" i="43"/>
  <c r="B79" i="43"/>
  <c r="U34" i="34"/>
  <c r="U44" i="33"/>
  <c r="AB44" i="33"/>
  <c r="J44" i="33"/>
  <c r="W44" i="33" s="1"/>
  <c r="AA44" i="33"/>
  <c r="K7" i="1"/>
  <c r="M7" i="1" s="1"/>
  <c r="O7" i="1" s="1"/>
  <c r="P7" i="1" s="1"/>
  <c r="G1" i="68"/>
  <c r="G1" i="69"/>
  <c r="AA13" i="33"/>
  <c r="S14" i="33"/>
  <c r="W8" i="33"/>
  <c r="S8" i="34"/>
  <c r="H91" i="33"/>
  <c r="I91" i="33" s="1"/>
  <c r="J91" i="33" s="1"/>
  <c r="K91" i="33" s="1"/>
  <c r="L91" i="33" s="1"/>
  <c r="M91" i="33" s="1"/>
  <c r="J27" i="33"/>
  <c r="W27" i="33" s="1"/>
  <c r="F27" i="33"/>
  <c r="AA27" i="33" s="1"/>
  <c r="H27" i="33"/>
  <c r="U27" i="33" s="1"/>
  <c r="W39" i="33"/>
  <c r="J38" i="33"/>
  <c r="AC38" i="33" s="1"/>
  <c r="F38" i="33"/>
  <c r="S38" i="33" s="1"/>
  <c r="H38" i="33"/>
  <c r="AB38" i="33" s="1"/>
  <c r="H15" i="33"/>
  <c r="AB15" i="33" s="1"/>
  <c r="J15" i="33"/>
  <c r="AC15" i="33" s="1"/>
  <c r="F15" i="33"/>
  <c r="AA15" i="33" s="1"/>
  <c r="U23" i="33"/>
  <c r="U19" i="33"/>
  <c r="B51" i="43"/>
  <c r="B62" i="43"/>
  <c r="U46" i="33"/>
  <c r="W46" i="33"/>
  <c r="W38" i="33"/>
  <c r="S28" i="33"/>
  <c r="AA35" i="33"/>
  <c r="W17" i="33"/>
  <c r="C29" i="39"/>
  <c r="AC23" i="34"/>
  <c r="AB23" i="34"/>
  <c r="S21" i="34"/>
  <c r="S19" i="34"/>
  <c r="W19" i="34"/>
  <c r="AB17" i="34"/>
  <c r="U15" i="34"/>
  <c r="AC15" i="34"/>
  <c r="AB8" i="34"/>
  <c r="W43" i="34"/>
  <c r="AB41" i="34"/>
  <c r="W41" i="34"/>
  <c r="AC40" i="34"/>
  <c r="AB40" i="34"/>
  <c r="AB39" i="34"/>
  <c r="AB36" i="34"/>
  <c r="W35" i="34"/>
  <c r="AB35" i="34"/>
  <c r="W27" i="34"/>
  <c r="U27" i="34"/>
  <c r="U25" i="34"/>
  <c r="AA25" i="34"/>
  <c r="W25" i="34"/>
  <c r="W8" i="34"/>
  <c r="AC28" i="33"/>
  <c r="U28" i="33"/>
  <c r="S36" i="33"/>
  <c r="U42" i="33"/>
  <c r="S39" i="33"/>
  <c r="AA37" i="33"/>
  <c r="U37" i="33"/>
  <c r="AB34" i="33"/>
  <c r="AC32" i="33"/>
  <c r="W26" i="33"/>
  <c r="S26" i="33"/>
  <c r="U26" i="33"/>
  <c r="AA25" i="33"/>
  <c r="W43" i="33"/>
  <c r="W42" i="33"/>
  <c r="S42" i="33"/>
  <c r="U39" i="33"/>
  <c r="U32" i="33"/>
  <c r="S32" i="33"/>
  <c r="W25" i="33"/>
  <c r="AB25" i="33"/>
  <c r="S21" i="33"/>
  <c r="AC21" i="33"/>
  <c r="W19" i="33"/>
  <c r="AA17" i="33"/>
  <c r="AB9" i="33"/>
  <c r="U9" i="33"/>
  <c r="W9" i="33"/>
  <c r="G1" i="67"/>
  <c r="K1" i="12"/>
  <c r="F3" i="35"/>
  <c r="BA15" i="3"/>
  <c r="BA13" i="3"/>
  <c r="H112" i="9"/>
  <c r="D21" i="53" s="1"/>
  <c r="B39" i="72" s="1"/>
  <c r="B19" i="53"/>
  <c r="B37" i="72" s="1"/>
  <c r="H109" i="9"/>
  <c r="C7" i="37"/>
  <c r="C52" i="37" s="1"/>
  <c r="D52" i="37" s="1"/>
  <c r="C7" i="21"/>
  <c r="G23" i="43"/>
  <c r="C23" i="43" s="1"/>
  <c r="C7" i="33"/>
  <c r="M47" i="9"/>
  <c r="C7" i="35"/>
  <c r="C48" i="35" s="1"/>
  <c r="D48" i="35" s="1"/>
  <c r="C42" i="1"/>
  <c r="C24" i="12" s="1"/>
  <c r="F48" i="9"/>
  <c r="O52" i="9" s="1"/>
  <c r="F30" i="68"/>
  <c r="F48" i="68" s="1"/>
  <c r="F52" i="9"/>
  <c r="F32" i="15"/>
  <c r="F60" i="15" s="1"/>
  <c r="F54" i="9"/>
  <c r="AB12" i="39"/>
  <c r="U12" i="39"/>
  <c r="S27" i="40"/>
  <c r="AA27" i="40"/>
  <c r="W34" i="33"/>
  <c r="AC34" i="33"/>
  <c r="AZ377" i="3"/>
  <c r="AZ361" i="3"/>
  <c r="W11" i="39"/>
  <c r="AC11" i="39"/>
  <c r="AA15" i="39"/>
  <c r="S15" i="39"/>
  <c r="AZ515" i="3"/>
  <c r="S25" i="35"/>
  <c r="AA25" i="35"/>
  <c r="AC36" i="34"/>
  <c r="W36" i="34"/>
  <c r="W28" i="34"/>
  <c r="AC28" i="34"/>
  <c r="AA28" i="34"/>
  <c r="S28" i="34"/>
  <c r="S19" i="33"/>
  <c r="AA19" i="33"/>
  <c r="U36" i="33"/>
  <c r="AB36" i="33"/>
  <c r="U45" i="21"/>
  <c r="AB45" i="21"/>
  <c r="AZ389" i="3"/>
  <c r="AZ342" i="3"/>
  <c r="AZ337" i="3"/>
  <c r="AZ543" i="3"/>
  <c r="AZ565" i="3"/>
  <c r="U46" i="34"/>
  <c r="AB46" i="34"/>
  <c r="W31" i="33"/>
  <c r="AC31" i="33"/>
  <c r="F29" i="33"/>
  <c r="J29" i="33"/>
  <c r="W29" i="33" s="1"/>
  <c r="H29" i="33"/>
  <c r="F45" i="33"/>
  <c r="J45" i="33"/>
  <c r="F14" i="34"/>
  <c r="H14" i="34"/>
  <c r="J32" i="34"/>
  <c r="H32" i="34"/>
  <c r="F32" i="34"/>
  <c r="F12" i="35"/>
  <c r="H12" i="35"/>
  <c r="J12" i="35"/>
  <c r="H35" i="35"/>
  <c r="J35" i="35"/>
  <c r="F35" i="35"/>
  <c r="AA27" i="35"/>
  <c r="S27" i="35"/>
  <c r="W15" i="21"/>
  <c r="AC39" i="34"/>
  <c r="AA20" i="36"/>
  <c r="S20" i="36"/>
  <c r="S39" i="39"/>
  <c r="AA39" i="39"/>
  <c r="W37" i="33"/>
  <c r="AZ324" i="3"/>
  <c r="AB19" i="34"/>
  <c r="U19" i="34"/>
  <c r="S22" i="36"/>
  <c r="AA22" i="36"/>
  <c r="W13" i="37"/>
  <c r="AC13" i="37"/>
  <c r="S31" i="34"/>
  <c r="AA31" i="34"/>
  <c r="U40" i="37"/>
  <c r="AB40" i="37"/>
  <c r="W26" i="36"/>
  <c r="AC26" i="36"/>
  <c r="U45" i="33"/>
  <c r="AB45" i="33"/>
  <c r="AA45" i="21"/>
  <c r="S45" i="21"/>
  <c r="AC13" i="21"/>
  <c r="W13" i="21"/>
  <c r="AB11" i="33"/>
  <c r="U11" i="33"/>
  <c r="J28" i="21"/>
  <c r="F28" i="21"/>
  <c r="W17" i="21"/>
  <c r="S34" i="33"/>
  <c r="AA34" i="33"/>
  <c r="U27" i="40"/>
  <c r="AB27" i="40"/>
  <c r="W20" i="36"/>
  <c r="AC20" i="36"/>
  <c r="AZ388" i="3"/>
  <c r="S32" i="40"/>
  <c r="AA32" i="40"/>
  <c r="AB12" i="40"/>
  <c r="U12" i="40"/>
  <c r="AC47" i="34"/>
  <c r="W47" i="34"/>
  <c r="S29" i="35"/>
  <c r="AA29" i="35"/>
  <c r="AA19" i="39"/>
  <c r="S19" i="39"/>
  <c r="U39" i="39"/>
  <c r="AB39" i="39"/>
  <c r="F38" i="40"/>
  <c r="H38" i="40"/>
  <c r="J38" i="40"/>
  <c r="S41" i="21"/>
  <c r="AA41" i="21"/>
  <c r="S25" i="21"/>
  <c r="AA25" i="21"/>
  <c r="AZ575" i="3"/>
  <c r="AZ498" i="3"/>
  <c r="AZ574" i="3"/>
  <c r="B97" i="43"/>
  <c r="B75" i="43"/>
  <c r="AC9" i="34"/>
  <c r="W9" i="34"/>
  <c r="AC25" i="37"/>
  <c r="W25" i="37"/>
  <c r="BA551" i="3"/>
  <c r="AZ551" i="3" s="1"/>
  <c r="BA550" i="3"/>
  <c r="AZ550" i="3" s="1"/>
  <c r="BA549" i="3"/>
  <c r="AZ549" i="3" s="1"/>
  <c r="BL548" i="3"/>
  <c r="BL544" i="3"/>
  <c r="AZ544" i="3" s="1"/>
  <c r="BL542" i="3"/>
  <c r="AZ542" i="3" s="1"/>
  <c r="BA541" i="3"/>
  <c r="AZ541" i="3" s="1"/>
  <c r="BA538" i="3"/>
  <c r="AZ538" i="3" s="1"/>
  <c r="BL537" i="3"/>
  <c r="BA534" i="3"/>
  <c r="AZ534" i="3" s="1"/>
  <c r="BA533" i="3"/>
  <c r="AZ533" i="3" s="1"/>
  <c r="BL532" i="3"/>
  <c r="AZ532" i="3" s="1"/>
  <c r="BA530" i="3"/>
  <c r="AZ530" i="3" s="1"/>
  <c r="BL526" i="3"/>
  <c r="AZ526" i="3" s="1"/>
  <c r="BA525" i="3"/>
  <c r="BL524" i="3"/>
  <c r="AZ524" i="3" s="1"/>
  <c r="BA522" i="3"/>
  <c r="AZ522" i="3" s="1"/>
  <c r="BL521" i="3"/>
  <c r="AZ521" i="3" s="1"/>
  <c r="BA521" i="3"/>
  <c r="BA515" i="3"/>
  <c r="BA514" i="3"/>
  <c r="AZ514" i="3" s="1"/>
  <c r="BL506" i="3"/>
  <c r="AZ506" i="3" s="1"/>
  <c r="BA505" i="3"/>
  <c r="BL504" i="3"/>
  <c r="AZ504" i="3" s="1"/>
  <c r="BL499" i="3"/>
  <c r="AZ499" i="3" s="1"/>
  <c r="BA497" i="3"/>
  <c r="AZ497" i="3" s="1"/>
  <c r="BL495" i="3"/>
  <c r="AZ387" i="3"/>
  <c r="AZ366" i="3"/>
  <c r="AZ338" i="3"/>
  <c r="AZ371" i="3"/>
  <c r="AZ305" i="3"/>
  <c r="AZ360" i="3"/>
  <c r="AZ505" i="3"/>
  <c r="AZ525" i="3"/>
  <c r="AZ535" i="3"/>
  <c r="AZ513" i="3"/>
  <c r="AZ527" i="3"/>
  <c r="AZ537" i="3"/>
  <c r="AZ508" i="3"/>
  <c r="AZ546" i="3"/>
  <c r="AZ540" i="3"/>
  <c r="S11" i="36"/>
  <c r="AA14" i="40"/>
  <c r="S14" i="40"/>
  <c r="H11" i="36"/>
  <c r="U11" i="36" s="1"/>
  <c r="AA12" i="36"/>
  <c r="AB31" i="40"/>
  <c r="AC17" i="34"/>
  <c r="F29" i="6"/>
  <c r="AZ391" i="3"/>
  <c r="AZ318" i="3"/>
  <c r="AZ364" i="3"/>
  <c r="AZ329" i="3"/>
  <c r="AZ304" i="3"/>
  <c r="AZ306" i="3"/>
  <c r="W35" i="40"/>
  <c r="W44" i="21"/>
  <c r="AZ547" i="3"/>
  <c r="AZ503" i="3"/>
  <c r="AZ529" i="3"/>
  <c r="AZ571" i="3"/>
  <c r="AZ579" i="3"/>
  <c r="AZ510" i="3"/>
  <c r="AZ518" i="3"/>
  <c r="AZ528" i="3"/>
  <c r="AZ548" i="3"/>
  <c r="AZ556" i="3"/>
  <c r="J11" i="36"/>
  <c r="AC11" i="36" s="1"/>
  <c r="H23" i="36"/>
  <c r="J23" i="36"/>
  <c r="F23" i="36"/>
  <c r="AB30" i="37"/>
  <c r="U30" i="37"/>
  <c r="AC31" i="37"/>
  <c r="W31" i="37"/>
  <c r="U34" i="35"/>
  <c r="G585" i="3"/>
  <c r="BL587" i="3"/>
  <c r="AZ587" i="3" s="1"/>
  <c r="BL586" i="3"/>
  <c r="AZ586" i="3" s="1"/>
  <c r="J39" i="40"/>
  <c r="H39" i="40"/>
  <c r="G556" i="3"/>
  <c r="AZ458" i="3"/>
  <c r="AZ462" i="3"/>
  <c r="BL519" i="3"/>
  <c r="AZ519" i="3" s="1"/>
  <c r="BL531" i="3"/>
  <c r="AZ531" i="3" s="1"/>
  <c r="AZ573" i="3"/>
  <c r="AZ583" i="3"/>
  <c r="AZ568" i="3"/>
  <c r="AZ576" i="3"/>
  <c r="U36" i="39"/>
  <c r="F27" i="21"/>
  <c r="W30" i="36"/>
  <c r="C15" i="39"/>
  <c r="G587" i="3"/>
  <c r="J12" i="34"/>
  <c r="F12" i="34"/>
  <c r="S12" i="34" s="1"/>
  <c r="J9" i="36"/>
  <c r="AZ448" i="3"/>
  <c r="BL585" i="3"/>
  <c r="AZ585" i="3" s="1"/>
  <c r="F9" i="34"/>
  <c r="AA9" i="34" s="1"/>
  <c r="H9" i="34"/>
  <c r="J23" i="35"/>
  <c r="H23" i="35"/>
  <c r="G558" i="3"/>
  <c r="AZ400" i="3"/>
  <c r="AZ402" i="3"/>
  <c r="AZ406" i="3"/>
  <c r="AZ432" i="3"/>
  <c r="AZ443" i="3"/>
  <c r="AZ453" i="3"/>
  <c r="AZ487" i="3"/>
  <c r="BA353" i="3"/>
  <c r="BL353" i="3"/>
  <c r="BA358" i="3"/>
  <c r="AZ358" i="3" s="1"/>
  <c r="BL365" i="3"/>
  <c r="AZ365" i="3" s="1"/>
  <c r="BA368" i="3"/>
  <c r="BL368" i="3"/>
  <c r="BA374" i="3"/>
  <c r="AZ374" i="3" s="1"/>
  <c r="BA388" i="3"/>
  <c r="BA395" i="3"/>
  <c r="AZ395" i="3" s="1"/>
  <c r="BA209" i="3"/>
  <c r="BA211" i="3"/>
  <c r="AZ211" i="3" s="1"/>
  <c r="BL216" i="3"/>
  <c r="BA221" i="3"/>
  <c r="BA224" i="3"/>
  <c r="AZ224" i="3" s="1"/>
  <c r="BL227" i="3"/>
  <c r="BL230" i="3"/>
  <c r="G551" i="3"/>
  <c r="BL550" i="3"/>
  <c r="G542" i="3"/>
  <c r="BL15"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G450" i="3"/>
  <c r="G451" i="3"/>
  <c r="BA454" i="3"/>
  <c r="BA457" i="3"/>
  <c r="AZ457" i="3" s="1"/>
  <c r="BA459" i="3"/>
  <c r="AZ459" i="3" s="1"/>
  <c r="BA460" i="3"/>
  <c r="AZ460" i="3" s="1"/>
  <c r="BA461" i="3"/>
  <c r="AZ461" i="3" s="1"/>
  <c r="BL464" i="3"/>
  <c r="BL466" i="3"/>
  <c r="AZ466" i="3" s="1"/>
  <c r="G468" i="3"/>
  <c r="G469" i="3"/>
  <c r="BL476" i="3"/>
  <c r="AZ476" i="3" s="1"/>
  <c r="BL477" i="3"/>
  <c r="BL478" i="3"/>
  <c r="AZ478" i="3" s="1"/>
  <c r="G479" i="3"/>
  <c r="G480" i="3"/>
  <c r="BL480" i="3"/>
  <c r="AZ480" i="3" s="1"/>
  <c r="G482" i="3"/>
  <c r="BA483" i="3"/>
  <c r="BL483" i="3"/>
  <c r="AZ483" i="3" s="1"/>
  <c r="BA486" i="3"/>
  <c r="BL489" i="3"/>
  <c r="BL491" i="3"/>
  <c r="BL492" i="3"/>
  <c r="G307" i="3"/>
  <c r="BA315" i="3"/>
  <c r="AZ315" i="3" s="1"/>
  <c r="BA333" i="3"/>
  <c r="BL346" i="3"/>
  <c r="AZ346" i="3" s="1"/>
  <c r="G349" i="3"/>
  <c r="G374" i="3"/>
  <c r="BA384" i="3"/>
  <c r="AZ384" i="3" s="1"/>
  <c r="G396" i="3"/>
  <c r="BA397" i="3"/>
  <c r="BL397" i="3"/>
  <c r="G212" i="3"/>
  <c r="BL212" i="3"/>
  <c r="G214" i="3"/>
  <c r="BL214" i="3"/>
  <c r="AZ214" i="3" s="1"/>
  <c r="G216" i="3"/>
  <c r="BL217" i="3"/>
  <c r="BA219" i="3"/>
  <c r="AZ219" i="3" s="1"/>
  <c r="G225" i="3"/>
  <c r="BL225" i="3"/>
  <c r="BL226" i="3"/>
  <c r="G227" i="3"/>
  <c r="BA237" i="3"/>
  <c r="AZ237" i="3" s="1"/>
  <c r="BA240" i="3"/>
  <c r="AZ240" i="3" s="1"/>
  <c r="BA241" i="3"/>
  <c r="BL241" i="3"/>
  <c r="AZ302" i="3"/>
  <c r="BA401" i="3"/>
  <c r="BA403" i="3"/>
  <c r="AZ403" i="3" s="1"/>
  <c r="BA404" i="3"/>
  <c r="AZ404" i="3" s="1"/>
  <c r="BA405" i="3"/>
  <c r="AZ405" i="3" s="1"/>
  <c r="BL410" i="3"/>
  <c r="G412" i="3"/>
  <c r="BA422" i="3"/>
  <c r="AZ422" i="3" s="1"/>
  <c r="BL431" i="3"/>
  <c r="BL434" i="3"/>
  <c r="BL438" i="3"/>
  <c r="BL439" i="3"/>
  <c r="BA441" i="3"/>
  <c r="AZ441" i="3" s="1"/>
  <c r="BL445" i="3"/>
  <c r="BL446" i="3"/>
  <c r="BL449" i="3"/>
  <c r="BL450" i="3"/>
  <c r="AZ450" i="3" s="1"/>
  <c r="BL452" i="3"/>
  <c r="BL456" i="3"/>
  <c r="BA464" i="3"/>
  <c r="AZ464" i="3" s="1"/>
  <c r="BL467" i="3"/>
  <c r="AZ467" i="3" s="1"/>
  <c r="BL468" i="3"/>
  <c r="BL470" i="3"/>
  <c r="BL473" i="3"/>
  <c r="AZ473" i="3" s="1"/>
  <c r="BL474" i="3"/>
  <c r="BA482" i="3"/>
  <c r="BA484" i="3"/>
  <c r="AZ484" i="3" s="1"/>
  <c r="BA303" i="3"/>
  <c r="AZ303" i="3" s="1"/>
  <c r="BA307" i="3"/>
  <c r="AZ307" i="3" s="1"/>
  <c r="BL314" i="3"/>
  <c r="AZ314" i="3" s="1"/>
  <c r="BA332" i="3"/>
  <c r="BL332" i="3"/>
  <c r="AZ217" i="3"/>
  <c r="G398" i="3"/>
  <c r="BL400" i="3"/>
  <c r="BL408" i="3"/>
  <c r="AZ408" i="3" s="1"/>
  <c r="BL411" i="3"/>
  <c r="AZ411" i="3" s="1"/>
  <c r="BL413" i="3"/>
  <c r="AZ413" i="3" s="1"/>
  <c r="G415" i="3"/>
  <c r="G416" i="3"/>
  <c r="BL417" i="3"/>
  <c r="AZ417" i="3" s="1"/>
  <c r="BL418" i="3"/>
  <c r="BL420" i="3"/>
  <c r="G422" i="3"/>
  <c r="G423" i="3"/>
  <c r="BL424" i="3"/>
  <c r="AZ424" i="3" s="1"/>
  <c r="G426" i="3"/>
  <c r="G427" i="3"/>
  <c r="BL428" i="3"/>
  <c r="AZ428" i="3" s="1"/>
  <c r="BL429" i="3"/>
  <c r="AZ429" i="3" s="1"/>
  <c r="BL432" i="3"/>
  <c r="BL435" i="3"/>
  <c r="BL436" i="3"/>
  <c r="BA439" i="3"/>
  <c r="AZ439" i="3" s="1"/>
  <c r="BA440" i="3"/>
  <c r="AZ440" i="3" s="1"/>
  <c r="BA442" i="3"/>
  <c r="BA445" i="3"/>
  <c r="BA447" i="3"/>
  <c r="AZ447" i="3" s="1"/>
  <c r="BA449" i="3"/>
  <c r="BL453" i="3"/>
  <c r="BL454" i="3"/>
  <c r="G458" i="3"/>
  <c r="BL459" i="3"/>
  <c r="G461" i="3"/>
  <c r="G462" i="3"/>
  <c r="BA465" i="3"/>
  <c r="AZ465" i="3" s="1"/>
  <c r="BA467" i="3"/>
  <c r="BA468" i="3"/>
  <c r="BL471" i="3"/>
  <c r="AZ471" i="3" s="1"/>
  <c r="BL475" i="3"/>
  <c r="BA477" i="3"/>
  <c r="BA478" i="3"/>
  <c r="BA481" i="3"/>
  <c r="G484" i="3"/>
  <c r="BA488" i="3"/>
  <c r="AZ488" i="3" s="1"/>
  <c r="BA491" i="3"/>
  <c r="AZ491" i="3" s="1"/>
  <c r="BL324" i="3"/>
  <c r="BL328" i="3"/>
  <c r="AZ328" i="3" s="1"/>
  <c r="G329" i="3"/>
  <c r="BA335" i="3"/>
  <c r="AZ335" i="3" s="1"/>
  <c r="BA339" i="3"/>
  <c r="AZ339" i="3" s="1"/>
  <c r="BA348" i="3"/>
  <c r="BA350" i="3"/>
  <c r="AZ350" i="3" s="1"/>
  <c r="BA354" i="3"/>
  <c r="BA366" i="3"/>
  <c r="BL375" i="3"/>
  <c r="AZ375" i="3" s="1"/>
  <c r="BL385" i="3"/>
  <c r="BA210" i="3"/>
  <c r="BL210" i="3"/>
  <c r="BL213" i="3"/>
  <c r="BL215" i="3"/>
  <c r="BA223" i="3"/>
  <c r="BA226" i="3"/>
  <c r="BA244" i="3"/>
  <c r="AZ244" i="3" s="1"/>
  <c r="BL244" i="3"/>
  <c r="BL177" i="3"/>
  <c r="BL228" i="3"/>
  <c r="AZ228" i="3" s="1"/>
  <c r="BA230" i="3"/>
  <c r="AZ230" i="3" s="1"/>
  <c r="BL232" i="3"/>
  <c r="BL234" i="3"/>
  <c r="BA236" i="3"/>
  <c r="BA238" i="3"/>
  <c r="BA243" i="3"/>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BL286" i="3"/>
  <c r="AZ286" i="3" s="1"/>
  <c r="G291" i="3"/>
  <c r="BA296" i="3"/>
  <c r="BA116" i="3"/>
  <c r="AZ116" i="3" s="1"/>
  <c r="BA121" i="3"/>
  <c r="BL121" i="3"/>
  <c r="BA124" i="3"/>
  <c r="AZ124" i="3" s="1"/>
  <c r="BA126" i="3"/>
  <c r="AZ126" i="3" s="1"/>
  <c r="BA129" i="3"/>
  <c r="BL133" i="3"/>
  <c r="AZ133" i="3" s="1"/>
  <c r="BL139" i="3"/>
  <c r="AZ139" i="3" s="1"/>
  <c r="G140" i="3"/>
  <c r="BL141" i="3"/>
  <c r="BL143" i="3"/>
  <c r="AZ143" i="3" s="1"/>
  <c r="G154" i="3"/>
  <c r="G156" i="3"/>
  <c r="BL157" i="3"/>
  <c r="AZ157" i="3" s="1"/>
  <c r="BL159" i="3"/>
  <c r="AZ159" i="3" s="1"/>
  <c r="BL181" i="3"/>
  <c r="G182" i="3"/>
  <c r="BA184" i="3"/>
  <c r="AZ184" i="3" s="1"/>
  <c r="BL187" i="3"/>
  <c r="AZ187" i="3" s="1"/>
  <c r="G188" i="3"/>
  <c r="BL189" i="3"/>
  <c r="AZ189" i="3" s="1"/>
  <c r="BL190" i="3"/>
  <c r="G191" i="3"/>
  <c r="BA192" i="3"/>
  <c r="AZ192" i="3" s="1"/>
  <c r="BL201" i="3"/>
  <c r="BL203" i="3"/>
  <c r="AZ203" i="3" s="1"/>
  <c r="BA204" i="3"/>
  <c r="AZ204" i="3" s="1"/>
  <c r="G18" i="3"/>
  <c r="BA19" i="3"/>
  <c r="G22" i="3"/>
  <c r="BA37" i="3"/>
  <c r="BL39" i="3"/>
  <c r="BL245" i="3"/>
  <c r="AZ245" i="3" s="1"/>
  <c r="BL255" i="3"/>
  <c r="BL257" i="3"/>
  <c r="AZ257" i="3" s="1"/>
  <c r="BL258" i="3"/>
  <c r="AZ258" i="3" s="1"/>
  <c r="BA262" i="3"/>
  <c r="AZ262" i="3" s="1"/>
  <c r="BL265" i="3"/>
  <c r="AZ265" i="3" s="1"/>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BL167" i="3"/>
  <c r="AZ167" i="3" s="1"/>
  <c r="BA177" i="3"/>
  <c r="BL205" i="3"/>
  <c r="AZ62" i="3"/>
  <c r="G397" i="3"/>
  <c r="G210" i="3"/>
  <c r="BA216" i="3"/>
  <c r="AZ216" i="3" s="1"/>
  <c r="BA218" i="3"/>
  <c r="AZ218" i="3" s="1"/>
  <c r="BL218" i="3"/>
  <c r="BL220" i="3"/>
  <c r="BL221" i="3"/>
  <c r="AZ221" i="3" s="1"/>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L179" i="3"/>
  <c r="AZ179" i="3" s="1"/>
  <c r="G180" i="3"/>
  <c r="BA181" i="3"/>
  <c r="BL183" i="3"/>
  <c r="AZ183" i="3" s="1"/>
  <c r="BA186" i="3"/>
  <c r="AZ186" i="3" s="1"/>
  <c r="BA190" i="3"/>
  <c r="AZ190" i="3" s="1"/>
  <c r="BA197" i="3"/>
  <c r="AZ197" i="3" s="1"/>
  <c r="BA201" i="3"/>
  <c r="BL24" i="3"/>
  <c r="G25" i="3"/>
  <c r="BL29" i="3"/>
  <c r="G33" i="3"/>
  <c r="G34" i="3"/>
  <c r="G48" i="3"/>
  <c r="AZ65" i="3"/>
  <c r="BL60" i="3"/>
  <c r="BA61" i="3"/>
  <c r="AZ61" i="3" s="1"/>
  <c r="BA68" i="3"/>
  <c r="BA73" i="3"/>
  <c r="BA80" i="3"/>
  <c r="G84" i="3"/>
  <c r="BL84" i="3"/>
  <c r="AZ84" i="3" s="1"/>
  <c r="AB21" i="37"/>
  <c r="U21" i="37"/>
  <c r="C86" i="71"/>
  <c r="D86" i="71" s="1"/>
  <c r="D87" i="71"/>
  <c r="T40" i="71"/>
  <c r="D40" i="71"/>
  <c r="B27" i="71"/>
  <c r="B26" i="71" s="1"/>
  <c r="S28" i="71"/>
  <c r="AA38" i="71"/>
  <c r="AA37" i="71"/>
  <c r="AA27" i="71"/>
  <c r="C47" i="71"/>
  <c r="D47" i="71" s="1"/>
  <c r="D46" i="71"/>
  <c r="C67" i="71"/>
  <c r="T68" i="71"/>
  <c r="O68" i="71"/>
  <c r="T76" i="71"/>
  <c r="D76" i="71"/>
  <c r="C75" i="71"/>
  <c r="Y27" i="71"/>
  <c r="Z27" i="71" s="1"/>
  <c r="Y26" i="71"/>
  <c r="Z26" i="71" s="1"/>
  <c r="AA3" i="71"/>
  <c r="G43" i="3"/>
  <c r="G44" i="3"/>
  <c r="BA45" i="3"/>
  <c r="AZ45" i="3" s="1"/>
  <c r="BA46" i="3"/>
  <c r="AZ46" i="3" s="1"/>
  <c r="BL49" i="3"/>
  <c r="AZ49" i="3" s="1"/>
  <c r="BL50" i="3"/>
  <c r="AZ50" i="3" s="1"/>
  <c r="BL51" i="3"/>
  <c r="AZ51" i="3" s="1"/>
  <c r="BL53" i="3"/>
  <c r="BA56" i="3"/>
  <c r="BA57" i="3"/>
  <c r="BL58" i="3"/>
  <c r="AZ58" i="3" s="1"/>
  <c r="G60" i="3"/>
  <c r="G101" i="3"/>
  <c r="BA101" i="3"/>
  <c r="BL106" i="3"/>
  <c r="BA108" i="3"/>
  <c r="AZ108" i="3" s="1"/>
  <c r="BA110" i="3"/>
  <c r="AZ110" i="3" s="1"/>
  <c r="B13" i="1"/>
  <c r="E13" i="1" s="1"/>
  <c r="K13" i="1"/>
  <c r="M13" i="1" s="1"/>
  <c r="O13" i="1" s="1"/>
  <c r="P13" i="1" s="1"/>
  <c r="F40" i="69"/>
  <c r="C40" i="69"/>
  <c r="AC25" i="40"/>
  <c r="U21" i="33"/>
  <c r="AB21" i="33"/>
  <c r="T32" i="71"/>
  <c r="D32" i="71"/>
  <c r="N66" i="71"/>
  <c r="AA28" i="71"/>
  <c r="Y29" i="71"/>
  <c r="Z29" i="71" s="1"/>
  <c r="E39" i="71"/>
  <c r="E40" i="71" s="1"/>
  <c r="U40" i="71" s="1"/>
  <c r="X33" i="71"/>
  <c r="X31" i="71"/>
  <c r="X34" i="71"/>
  <c r="X36" i="71"/>
  <c r="X35" i="71"/>
  <c r="AB37" i="71"/>
  <c r="AB35" i="71"/>
  <c r="F38" i="71"/>
  <c r="F39" i="71" s="1"/>
  <c r="F40" i="71" s="1"/>
  <c r="V40" i="71" s="1"/>
  <c r="C55" i="71"/>
  <c r="D54" i="71"/>
  <c r="E59" i="71"/>
  <c r="E60" i="71" s="1"/>
  <c r="U60" i="71" s="1"/>
  <c r="C64" i="71"/>
  <c r="D63" i="71"/>
  <c r="C23" i="71"/>
  <c r="B22" i="71"/>
  <c r="B21" i="71" s="1"/>
  <c r="B20" i="71" s="1"/>
  <c r="G176" i="3"/>
  <c r="BL178" i="3"/>
  <c r="AZ178" i="3" s="1"/>
  <c r="BA180" i="3"/>
  <c r="AZ180" i="3" s="1"/>
  <c r="BL182" i="3"/>
  <c r="AZ182" i="3" s="1"/>
  <c r="G183" i="3"/>
  <c r="BA185" i="3"/>
  <c r="BL191" i="3"/>
  <c r="AZ191" i="3" s="1"/>
  <c r="G192" i="3"/>
  <c r="BA193" i="3"/>
  <c r="BA196" i="3"/>
  <c r="AZ196" i="3" s="1"/>
  <c r="G203" i="3"/>
  <c r="BA205" i="3"/>
  <c r="G20" i="3"/>
  <c r="BL20" i="3"/>
  <c r="BA21" i="3"/>
  <c r="AZ21" i="3" s="1"/>
  <c r="BA25" i="3"/>
  <c r="AZ25" i="3" s="1"/>
  <c r="BA26" i="3"/>
  <c r="G28" i="3"/>
  <c r="BL28" i="3"/>
  <c r="BA29" i="3"/>
  <c r="AZ29" i="3" s="1"/>
  <c r="BA36" i="3"/>
  <c r="BL38" i="3"/>
  <c r="BA39" i="3"/>
  <c r="AZ39" i="3" s="1"/>
  <c r="BL47" i="3"/>
  <c r="AZ47" i="3" s="1"/>
  <c r="G49" i="3"/>
  <c r="G50" i="3"/>
  <c r="G52" i="3"/>
  <c r="BA52" i="3"/>
  <c r="AZ52" i="3" s="1"/>
  <c r="BA53" i="3"/>
  <c r="BA54" i="3"/>
  <c r="BL57" i="3"/>
  <c r="G59" i="3"/>
  <c r="G62" i="3"/>
  <c r="BL62" i="3"/>
  <c r="BL63" i="3"/>
  <c r="AZ63" i="3" s="1"/>
  <c r="G65" i="3"/>
  <c r="BL65" i="3"/>
  <c r="BL66" i="3"/>
  <c r="AZ66" i="3" s="1"/>
  <c r="BL67" i="3"/>
  <c r="AZ67" i="3" s="1"/>
  <c r="G69" i="3"/>
  <c r="G70" i="3"/>
  <c r="BL70" i="3"/>
  <c r="AZ70" i="3" s="1"/>
  <c r="BL71" i="3"/>
  <c r="AZ71" i="3" s="1"/>
  <c r="BL72" i="3"/>
  <c r="AZ72" i="3" s="1"/>
  <c r="G74" i="3"/>
  <c r="G75" i="3"/>
  <c r="BL75" i="3"/>
  <c r="G79" i="3"/>
  <c r="BL81" i="3"/>
  <c r="BA82" i="3"/>
  <c r="AZ82" i="3" s="1"/>
  <c r="BL83" i="3"/>
  <c r="BA88" i="3"/>
  <c r="AZ88" i="3" s="1"/>
  <c r="BA91" i="3"/>
  <c r="AZ91" i="3" s="1"/>
  <c r="BL103" i="3"/>
  <c r="AZ103" i="3" s="1"/>
  <c r="G104" i="3"/>
  <c r="BA106" i="3"/>
  <c r="BL108" i="3"/>
  <c r="G110" i="3"/>
  <c r="BL111" i="3"/>
  <c r="D43" i="71"/>
  <c r="D68" i="71"/>
  <c r="C51" i="71"/>
  <c r="AB32" i="71"/>
  <c r="Y30" i="71"/>
  <c r="Z30" i="71" s="1"/>
  <c r="C34" i="71"/>
  <c r="Y28" i="71"/>
  <c r="Z28" i="71" s="1"/>
  <c r="Y35" i="71"/>
  <c r="Z35" i="71" s="1"/>
  <c r="S80" i="71"/>
  <c r="B79" i="71"/>
  <c r="B78" i="71" s="1"/>
  <c r="BL199" i="3"/>
  <c r="AZ199" i="3" s="1"/>
  <c r="BA200" i="3"/>
  <c r="AZ200" i="3" s="1"/>
  <c r="BA202" i="3"/>
  <c r="BL207" i="3"/>
  <c r="BL18" i="3"/>
  <c r="G19" i="3"/>
  <c r="BL19" i="3"/>
  <c r="BA20" i="3"/>
  <c r="BL25" i="3"/>
  <c r="BL27" i="3"/>
  <c r="AZ27" i="3" s="1"/>
  <c r="BA28" i="3"/>
  <c r="BA31" i="3"/>
  <c r="AZ31" i="3" s="1"/>
  <c r="BA32" i="3"/>
  <c r="BA38" i="3"/>
  <c r="BA41" i="3"/>
  <c r="AZ41" i="3" s="1"/>
  <c r="BA42" i="3"/>
  <c r="G46" i="3"/>
  <c r="BL48" i="3"/>
  <c r="AZ48" i="3" s="1"/>
  <c r="BL54" i="3"/>
  <c r="BL55" i="3"/>
  <c r="AZ55" i="3" s="1"/>
  <c r="G57" i="3"/>
  <c r="BA59" i="3"/>
  <c r="AZ59" i="3" s="1"/>
  <c r="BL61" i="3"/>
  <c r="BA64" i="3"/>
  <c r="AZ64" i="3" s="1"/>
  <c r="BL68" i="3"/>
  <c r="BA69" i="3"/>
  <c r="AZ69" i="3" s="1"/>
  <c r="BL73" i="3"/>
  <c r="BA74" i="3"/>
  <c r="AZ74" i="3" s="1"/>
  <c r="BA75" i="3"/>
  <c r="G85" i="3"/>
  <c r="BL85" i="3"/>
  <c r="BA86" i="3"/>
  <c r="AZ86" i="3" s="1"/>
  <c r="BA87" i="3"/>
  <c r="BA89" i="3"/>
  <c r="BL92" i="3"/>
  <c r="BL96" i="3"/>
  <c r="BL97" i="3"/>
  <c r="AZ97" i="3" s="1"/>
  <c r="BL101" i="3"/>
  <c r="BL102" i="3"/>
  <c r="BA104" i="3"/>
  <c r="P65" i="71"/>
  <c r="P66" i="71"/>
  <c r="AB25" i="71"/>
  <c r="AB28" i="71"/>
  <c r="AB26" i="71"/>
  <c r="Y25" i="71"/>
  <c r="Z25" i="71" s="1"/>
  <c r="AA35" i="71"/>
  <c r="F66" i="71"/>
  <c r="Q67" i="71"/>
  <c r="X25" i="71"/>
  <c r="V24" i="71"/>
  <c r="E23" i="71"/>
  <c r="E22" i="71" s="1"/>
  <c r="E21" i="71" s="1"/>
  <c r="E20" i="71" s="1"/>
  <c r="X28" i="71"/>
  <c r="X32" i="71"/>
  <c r="AB38" i="71"/>
  <c r="F75" i="71"/>
  <c r="F74" i="71" s="1"/>
  <c r="BL112" i="3"/>
  <c r="W18" i="35"/>
  <c r="U25" i="40"/>
  <c r="B68" i="43"/>
  <c r="B88" i="43"/>
  <c r="D39" i="71"/>
  <c r="C27" i="71"/>
  <c r="D30" i="71"/>
  <c r="F35" i="71"/>
  <c r="F36" i="71" s="1"/>
  <c r="V36" i="71" s="1"/>
  <c r="AA34" i="71"/>
  <c r="G86" i="3"/>
  <c r="G87" i="3"/>
  <c r="G88" i="3"/>
  <c r="BA90" i="3"/>
  <c r="BL94" i="3"/>
  <c r="AZ94" i="3" s="1"/>
  <c r="BA100" i="3"/>
  <c r="AZ100" i="3" s="1"/>
  <c r="BA102" i="3"/>
  <c r="BL105" i="3"/>
  <c r="AZ105" i="3" s="1"/>
  <c r="G107" i="3"/>
  <c r="BL107" i="3"/>
  <c r="BA111" i="3"/>
  <c r="AC21" i="37"/>
  <c r="U21" i="34"/>
  <c r="B57" i="43"/>
  <c r="D28" i="71"/>
  <c r="U28" i="7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8" i="3"/>
  <c r="AZ470" i="3"/>
  <c r="W35" i="39"/>
  <c r="F27" i="34"/>
  <c r="C21" i="39"/>
  <c r="U9" i="36"/>
  <c r="U14" i="37"/>
  <c r="H12" i="21"/>
  <c r="G526" i="3"/>
  <c r="AZ420" i="3"/>
  <c r="AZ434" i="3"/>
  <c r="AZ436" i="3"/>
  <c r="AZ438" i="3"/>
  <c r="AZ446"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AZ215" i="3" s="1"/>
  <c r="G219" i="3"/>
  <c r="AZ225" i="3"/>
  <c r="G230" i="3"/>
  <c r="BA232" i="3"/>
  <c r="BA234" i="3"/>
  <c r="AZ234" i="3" s="1"/>
  <c r="AZ236" i="3"/>
  <c r="G248" i="3"/>
  <c r="AZ260" i="3"/>
  <c r="BL268" i="3"/>
  <c r="AZ268" i="3" s="1"/>
  <c r="G278" i="3"/>
  <c r="BA474" i="3"/>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AZ246" i="3" s="1"/>
  <c r="BL253" i="3"/>
  <c r="BA261" i="3"/>
  <c r="AZ261" i="3" s="1"/>
  <c r="BA264" i="3"/>
  <c r="AZ264" i="3" s="1"/>
  <c r="BA266" i="3"/>
  <c r="AZ266" i="3" s="1"/>
  <c r="G272" i="3"/>
  <c r="G275" i="3"/>
  <c r="BL276" i="3"/>
  <c r="AZ276" i="3" s="1"/>
  <c r="BL279" i="3"/>
  <c r="AZ279" i="3" s="1"/>
  <c r="BL281" i="3"/>
  <c r="AZ281" i="3" s="1"/>
  <c r="BA285" i="3"/>
  <c r="AZ285" i="3" s="1"/>
  <c r="BA287" i="3"/>
  <c r="AZ290" i="3"/>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D74" i="43"/>
  <c r="E50" i="43"/>
  <c r="B48" i="43" s="1"/>
  <c r="H78" i="43"/>
  <c r="AC32" i="36"/>
  <c r="W31" i="36"/>
  <c r="W33" i="36"/>
  <c r="AC34" i="36"/>
  <c r="AA31" i="36"/>
  <c r="S28" i="36"/>
  <c r="S30" i="36"/>
  <c r="S29" i="36"/>
  <c r="W8" i="36"/>
  <c r="AB8"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F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H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M7" i="15"/>
  <c r="J6" i="15" s="1"/>
  <c r="F50" i="15"/>
  <c r="F51" i="15"/>
  <c r="F71" i="15"/>
  <c r="L59" i="15"/>
  <c r="N59" i="15"/>
  <c r="M59" i="15"/>
  <c r="F66" i="15"/>
  <c r="F64" i="15"/>
  <c r="D103" i="9"/>
  <c r="C27" i="15"/>
  <c r="F65" i="15"/>
  <c r="G20" i="9"/>
  <c r="C103" i="9"/>
  <c r="B13" i="70"/>
  <c r="F68" i="15"/>
  <c r="C36" i="68"/>
  <c r="D9" i="69"/>
  <c r="C36" i="69"/>
  <c r="D9" i="68"/>
  <c r="F43" i="67"/>
  <c r="D4" i="73"/>
  <c r="M9" i="67"/>
  <c r="M23" i="67"/>
  <c r="C76" i="67"/>
  <c r="F9" i="67"/>
  <c r="C76" i="15"/>
  <c r="M28" i="67"/>
  <c r="M26" i="67"/>
  <c r="F16" i="67"/>
  <c r="D7" i="73"/>
  <c r="C16" i="15"/>
  <c r="F6" i="67"/>
  <c r="F37" i="67"/>
  <c r="M24" i="67"/>
  <c r="M22" i="67"/>
  <c r="F38" i="67"/>
  <c r="F7" i="67"/>
  <c r="F6" i="15"/>
  <c r="F42" i="67"/>
  <c r="F8" i="67"/>
  <c r="D5" i="73"/>
  <c r="L48" i="67"/>
  <c r="F40" i="67"/>
  <c r="J15" i="67"/>
  <c r="F42" i="15"/>
  <c r="F26" i="67"/>
  <c r="D3" i="73"/>
  <c r="F13" i="67"/>
  <c r="F36" i="67"/>
  <c r="L48" i="15"/>
  <c r="M29" i="67"/>
  <c r="M6" i="67"/>
  <c r="L47" i="67"/>
  <c r="M8" i="67"/>
  <c r="M22" i="15"/>
  <c r="AZ15" i="3" l="1"/>
  <c r="J33" i="33"/>
  <c r="F33" i="33"/>
  <c r="H33" i="33"/>
  <c r="C26" i="31"/>
  <c r="B22" i="31"/>
  <c r="B14" i="74" s="1"/>
  <c r="C25" i="31"/>
  <c r="AC44" i="33"/>
  <c r="U15" i="33"/>
  <c r="W15" i="33"/>
  <c r="S15" i="33"/>
  <c r="AC27" i="33"/>
  <c r="S27" i="33"/>
  <c r="AB27" i="33"/>
  <c r="AA38" i="33"/>
  <c r="U38" i="33"/>
  <c r="L58" i="67"/>
  <c r="Q60" i="67" s="1"/>
  <c r="N59" i="67"/>
  <c r="L59" i="67"/>
  <c r="Q61" i="67" s="1"/>
  <c r="M59" i="67"/>
  <c r="F65" i="67"/>
  <c r="J53" i="67"/>
  <c r="F1" i="67" s="1"/>
  <c r="L56" i="67"/>
  <c r="J57" i="67"/>
  <c r="J55" i="67" s="1"/>
  <c r="J58" i="67" s="1"/>
  <c r="Q50" i="67" s="1"/>
  <c r="I54" i="67"/>
  <c r="F51" i="67"/>
  <c r="F68" i="67"/>
  <c r="C27" i="67"/>
  <c r="C6" i="67"/>
  <c r="C32" i="67" s="1"/>
  <c r="F64" i="67"/>
  <c r="F50" i="67"/>
  <c r="M7" i="67"/>
  <c r="J6" i="67" s="1"/>
  <c r="J18" i="67" s="1"/>
  <c r="F71" i="67"/>
  <c r="Q71" i="67"/>
  <c r="F66" i="67"/>
  <c r="Q16" i="1"/>
  <c r="F27" i="69" s="1"/>
  <c r="C47" i="69" s="1"/>
  <c r="D45" i="69" s="1"/>
  <c r="H16" i="1"/>
  <c r="N370" i="46"/>
  <c r="N94" i="46"/>
  <c r="E59" i="40"/>
  <c r="E26" i="43"/>
  <c r="G26" i="43"/>
  <c r="J26" i="43"/>
  <c r="J7" i="36"/>
  <c r="Q71" i="15"/>
  <c r="F31" i="15"/>
  <c r="C6" i="15"/>
  <c r="C32" i="15" s="1"/>
  <c r="J57" i="15"/>
  <c r="J55" i="15" s="1"/>
  <c r="J58" i="15" s="1"/>
  <c r="Q50" i="15" s="1"/>
  <c r="I54" i="15"/>
  <c r="J53" i="15"/>
  <c r="L56" i="15" s="1"/>
  <c r="L58" i="15"/>
  <c r="Q60" i="15" s="1"/>
  <c r="D23" i="71"/>
  <c r="C22" i="71"/>
  <c r="AZ243" i="3"/>
  <c r="AC23" i="35"/>
  <c r="W23" i="35"/>
  <c r="AA23" i="36"/>
  <c r="S23" i="36"/>
  <c r="AA38" i="40"/>
  <c r="S38" i="40"/>
  <c r="AB32" i="34"/>
  <c r="U32" i="34"/>
  <c r="W45" i="33"/>
  <c r="AC45" i="33"/>
  <c r="C48" i="68"/>
  <c r="E28" i="6"/>
  <c r="K14" i="1" s="1"/>
  <c r="K16" i="1" s="1"/>
  <c r="W11" i="36"/>
  <c r="AZ83" i="3"/>
  <c r="AZ296" i="3"/>
  <c r="AZ287" i="3"/>
  <c r="AZ209" i="3"/>
  <c r="AZ475" i="3"/>
  <c r="AZ111" i="3"/>
  <c r="AZ102" i="3"/>
  <c r="AZ75" i="3"/>
  <c r="C52" i="71"/>
  <c r="D51" i="71"/>
  <c r="AZ38" i="3"/>
  <c r="C56" i="71"/>
  <c r="D55" i="71"/>
  <c r="AZ118" i="3"/>
  <c r="AZ177" i="3"/>
  <c r="AZ271" i="3"/>
  <c r="AZ238" i="3"/>
  <c r="AZ397" i="3"/>
  <c r="AZ368" i="3"/>
  <c r="AZ353" i="3"/>
  <c r="U9" i="34"/>
  <c r="AB9" i="34"/>
  <c r="AC9" i="36"/>
  <c r="W9" i="36"/>
  <c r="AC39" i="40"/>
  <c r="W39" i="40"/>
  <c r="AC23" i="36"/>
  <c r="W23" i="36"/>
  <c r="W28" i="21"/>
  <c r="AC28" i="21"/>
  <c r="S35" i="35"/>
  <c r="AA35" i="35"/>
  <c r="U12" i="35"/>
  <c r="AB12" i="35"/>
  <c r="W32" i="34"/>
  <c r="AC32" i="34"/>
  <c r="AA45" i="33"/>
  <c r="S45" i="33"/>
  <c r="D67" i="71"/>
  <c r="C66" i="71"/>
  <c r="O67" i="71"/>
  <c r="U39" i="40"/>
  <c r="AB39" i="40"/>
  <c r="AA28" i="21"/>
  <c r="S28" i="21"/>
  <c r="W12" i="35"/>
  <c r="AC12" i="35"/>
  <c r="S29" i="33"/>
  <c r="AA29" i="33"/>
  <c r="D20" i="53"/>
  <c r="B40" i="72" s="1"/>
  <c r="AZ474" i="3"/>
  <c r="AZ232" i="3"/>
  <c r="AZ20" i="3"/>
  <c r="D34" i="71"/>
  <c r="C35" i="71"/>
  <c r="AZ53" i="3"/>
  <c r="AZ101" i="3"/>
  <c r="AZ57" i="3"/>
  <c r="AZ201" i="3"/>
  <c r="AZ251" i="3"/>
  <c r="AZ247" i="3"/>
  <c r="AZ121" i="3"/>
  <c r="AZ223" i="3"/>
  <c r="AZ210" i="3"/>
  <c r="AZ332" i="3"/>
  <c r="AZ241" i="3"/>
  <c r="AZ418" i="3"/>
  <c r="AB23" i="36"/>
  <c r="U23" i="36"/>
  <c r="AC38" i="40"/>
  <c r="W38" i="40"/>
  <c r="AC35" i="35"/>
  <c r="W35" i="35"/>
  <c r="U14" i="34"/>
  <c r="AB14" i="34"/>
  <c r="U29" i="33"/>
  <c r="AB29" i="33"/>
  <c r="G5" i="3"/>
  <c r="B3" i="3" s="1"/>
  <c r="E212" i="3" s="1"/>
  <c r="AZ253" i="3"/>
  <c r="AZ348" i="3"/>
  <c r="C26" i="71"/>
  <c r="D26" i="71" s="1"/>
  <c r="D27" i="71"/>
  <c r="AZ28" i="3"/>
  <c r="AZ205" i="3"/>
  <c r="B19" i="71"/>
  <c r="B18" i="71" s="1"/>
  <c r="B17" i="71" s="1"/>
  <c r="B16" i="71" s="1"/>
  <c r="S20" i="71"/>
  <c r="D75" i="71"/>
  <c r="C74" i="71"/>
  <c r="D74" i="71" s="1"/>
  <c r="AZ181" i="3"/>
  <c r="AZ19" i="3"/>
  <c r="AZ401" i="3"/>
  <c r="AZ454" i="3"/>
  <c r="AZ435" i="3"/>
  <c r="U23" i="35"/>
  <c r="AB23" i="35"/>
  <c r="W12" i="34"/>
  <c r="AC12" i="34"/>
  <c r="AA27" i="21"/>
  <c r="S27" i="21"/>
  <c r="AB38" i="40"/>
  <c r="U38" i="40"/>
  <c r="S32" i="34"/>
  <c r="AA32" i="34"/>
  <c r="S14" i="34"/>
  <c r="AA14" i="34"/>
  <c r="G16" i="1"/>
  <c r="F10" i="39" s="1"/>
  <c r="S10" i="39" s="1"/>
  <c r="J7" i="37"/>
  <c r="K1" i="73"/>
  <c r="E325" i="3"/>
  <c r="E566" i="3"/>
  <c r="E209" i="3"/>
  <c r="E167" i="3"/>
  <c r="E136" i="3"/>
  <c r="E474" i="3"/>
  <c r="E14" i="3"/>
  <c r="E397" i="3"/>
  <c r="E432" i="3"/>
  <c r="E29" i="3"/>
  <c r="E426" i="3"/>
  <c r="S6" i="3"/>
  <c r="E338" i="3"/>
  <c r="E565" i="3"/>
  <c r="E302" i="3"/>
  <c r="E402" i="3"/>
  <c r="E280" i="3"/>
  <c r="AA6" i="3"/>
  <c r="E262" i="3"/>
  <c r="E177" i="3"/>
  <c r="E481" i="3"/>
  <c r="E429" i="3"/>
  <c r="E55" i="3"/>
  <c r="E256" i="3"/>
  <c r="I6" i="3"/>
  <c r="E252" i="3"/>
  <c r="E164" i="3"/>
  <c r="E443" i="3"/>
  <c r="E444" i="3"/>
  <c r="E121" i="3"/>
  <c r="E334" i="3"/>
  <c r="E366" i="3"/>
  <c r="E553" i="3"/>
  <c r="E569" i="3"/>
  <c r="E229" i="3"/>
  <c r="E358" i="3"/>
  <c r="E294" i="3"/>
  <c r="E230" i="3"/>
  <c r="E395" i="3"/>
  <c r="E117" i="3"/>
  <c r="E382" i="3"/>
  <c r="E578" i="3"/>
  <c r="E253" i="3"/>
  <c r="E314" i="3"/>
  <c r="E511" i="3"/>
  <c r="E458" i="3"/>
  <c r="E527" i="3"/>
  <c r="E450" i="3"/>
  <c r="E150" i="3"/>
  <c r="E318" i="3"/>
  <c r="E567" i="3"/>
  <c r="E271" i="3"/>
  <c r="E515" i="3"/>
  <c r="E478" i="3"/>
  <c r="AS6" i="3"/>
  <c r="E476" i="3"/>
  <c r="E27" i="3"/>
  <c r="E331" i="3"/>
  <c r="E384" i="3"/>
  <c r="E175" i="3"/>
  <c r="E343" i="3"/>
  <c r="E388" i="3"/>
  <c r="E555" i="3"/>
  <c r="E337" i="3"/>
  <c r="E270" i="3"/>
  <c r="AR6" i="3"/>
  <c r="E561" i="3"/>
  <c r="E380" i="3"/>
  <c r="E231" i="3"/>
  <c r="E216" i="3"/>
  <c r="E528" i="3"/>
  <c r="E183" i="3"/>
  <c r="E503" i="3"/>
  <c r="E91" i="3"/>
  <c r="E301" i="3"/>
  <c r="E350" i="3"/>
  <c r="E124" i="3"/>
  <c r="E399" i="3"/>
  <c r="E347" i="3"/>
  <c r="E181" i="3"/>
  <c r="E545" i="3"/>
  <c r="E228" i="3"/>
  <c r="E133" i="3"/>
  <c r="E560" i="3"/>
  <c r="E472" i="3"/>
  <c r="E587" i="3"/>
  <c r="E577" i="3"/>
  <c r="E468" i="3"/>
  <c r="E146" i="3"/>
  <c r="E171" i="3"/>
  <c r="E315" i="3"/>
  <c r="E74" i="3"/>
  <c r="E368" i="3"/>
  <c r="E89" i="3"/>
  <c r="Z6" i="3"/>
  <c r="AO6" i="3"/>
  <c r="E485" i="3"/>
  <c r="E557" i="3"/>
  <c r="E531" i="3"/>
  <c r="E28" i="3"/>
  <c r="E182" i="3"/>
  <c r="E273" i="3"/>
  <c r="E377" i="3"/>
  <c r="E217" i="3"/>
  <c r="E526" i="3"/>
  <c r="E268" i="3"/>
  <c r="E509" i="3"/>
  <c r="E579" i="3"/>
  <c r="E247" i="3"/>
  <c r="E311" i="3"/>
  <c r="E570" i="3"/>
  <c r="M6" i="3"/>
  <c r="E335" i="3"/>
  <c r="E215" i="3"/>
  <c r="E189" i="3"/>
  <c r="E563" i="3"/>
  <c r="E172" i="3"/>
  <c r="E535" i="3"/>
  <c r="E135" i="3"/>
  <c r="E263" i="3"/>
  <c r="E423" i="3"/>
  <c r="E385" i="3"/>
  <c r="E246" i="3"/>
  <c r="X6" i="3"/>
  <c r="E200" i="3"/>
  <c r="E148" i="3"/>
  <c r="E119" i="3"/>
  <c r="E296" i="3"/>
  <c r="E275" i="3"/>
  <c r="E242"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P29" i="43"/>
  <c r="P27" i="43"/>
  <c r="B70" i="39" s="1"/>
  <c r="C49" i="15"/>
  <c r="J18" i="15"/>
  <c r="C32" i="9"/>
  <c r="M11" i="67"/>
  <c r="J10" i="67" s="1"/>
  <c r="F11" i="15"/>
  <c r="M11" i="15"/>
  <c r="J10" i="15" s="1"/>
  <c r="J5" i="15" s="1"/>
  <c r="J24" i="15" s="1"/>
  <c r="F11" i="67"/>
  <c r="Q74" i="15"/>
  <c r="Q61" i="15"/>
  <c r="AE11" i="1"/>
  <c r="AE6" i="1"/>
  <c r="AE9" i="1"/>
  <c r="AE7" i="1"/>
  <c r="AE8" i="1"/>
  <c r="AE12" i="1"/>
  <c r="AE10" i="1"/>
  <c r="F41" i="67"/>
  <c r="C16" i="67"/>
  <c r="G1" i="73"/>
  <c r="E530" i="3" l="1"/>
  <c r="E186" i="3"/>
  <c r="E414" i="3"/>
  <c r="E269" i="3"/>
  <c r="E433" i="3"/>
  <c r="E519" i="3"/>
  <c r="E336" i="3"/>
  <c r="E260" i="3"/>
  <c r="V6" i="3"/>
  <c r="E282" i="3"/>
  <c r="E295" i="3"/>
  <c r="P6" i="3"/>
  <c r="E274" i="3"/>
  <c r="E424" i="3"/>
  <c r="E128" i="3"/>
  <c r="E254" i="3"/>
  <c r="E523" i="3"/>
  <c r="E92" i="3"/>
  <c r="W6" i="3"/>
  <c r="E163" i="3"/>
  <c r="L6" i="3"/>
  <c r="E279" i="3"/>
  <c r="E571" i="3"/>
  <c r="E45" i="3"/>
  <c r="E583" i="3"/>
  <c r="E61" i="3"/>
  <c r="E130" i="3"/>
  <c r="E551" i="3"/>
  <c r="E516" i="3"/>
  <c r="E30" i="3"/>
  <c r="E404" i="3"/>
  <c r="E448" i="3"/>
  <c r="E580" i="3"/>
  <c r="E496" i="3"/>
  <c r="Q6" i="3"/>
  <c r="E156" i="3"/>
  <c r="E303" i="3"/>
  <c r="E304" i="3"/>
  <c r="E328" i="3"/>
  <c r="E547" i="3"/>
  <c r="E357" i="3"/>
  <c r="E187" i="3"/>
  <c r="E110" i="3"/>
  <c r="E16" i="3"/>
  <c r="E483" i="3"/>
  <c r="E132" i="3"/>
  <c r="E100" i="3"/>
  <c r="AI6" i="3"/>
  <c r="E161" i="3"/>
  <c r="E278" i="3"/>
  <c r="AB6" i="3"/>
  <c r="E201" i="3"/>
  <c r="AJ6" i="3"/>
  <c r="E572" i="3"/>
  <c r="E70" i="3"/>
  <c r="E345" i="3"/>
  <c r="E204" i="3"/>
  <c r="E362" i="3"/>
  <c r="E106" i="3"/>
  <c r="E406" i="3"/>
  <c r="E277" i="3"/>
  <c r="E568" i="3"/>
  <c r="E586" i="3"/>
  <c r="E180" i="3"/>
  <c r="E261" i="3"/>
  <c r="E538" i="3"/>
  <c r="E143" i="3"/>
  <c r="E508" i="3"/>
  <c r="E44" i="3"/>
  <c r="E162" i="3"/>
  <c r="E505" i="3"/>
  <c r="E107" i="3"/>
  <c r="E31" i="3"/>
  <c r="E111" i="3"/>
  <c r="E457" i="3"/>
  <c r="E193" i="3"/>
  <c r="E85" i="3"/>
  <c r="E518" i="3"/>
  <c r="E290" i="3"/>
  <c r="E415" i="3"/>
  <c r="E407" i="3"/>
  <c r="E151" i="3"/>
  <c r="E239" i="3"/>
  <c r="E480" i="3"/>
  <c r="E166" i="3"/>
  <c r="E581" i="3"/>
  <c r="E576" i="3"/>
  <c r="E32" i="3"/>
  <c r="E203" i="3"/>
  <c r="E344" i="3"/>
  <c r="E330" i="3"/>
  <c r="E434" i="3"/>
  <c r="AN6" i="3"/>
  <c r="E221" i="3"/>
  <c r="E298" i="3"/>
  <c r="E359" i="3"/>
  <c r="E317" i="3"/>
  <c r="U6" i="3"/>
  <c r="E475" i="3"/>
  <c r="E461" i="3"/>
  <c r="E341" i="3"/>
  <c r="E141" i="3"/>
  <c r="E225" i="3"/>
  <c r="D26" i="43"/>
  <c r="C25" i="43" s="1"/>
  <c r="C33" i="43" s="1"/>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213" i="3"/>
  <c r="E321" i="3"/>
  <c r="E97" i="3"/>
  <c r="E53" i="3"/>
  <c r="E71" i="3"/>
  <c r="E379" i="3"/>
  <c r="E54" i="3"/>
  <c r="E532" i="3"/>
  <c r="E122" i="3"/>
  <c r="E488" i="3"/>
  <c r="E47" i="3"/>
  <c r="E244" i="3"/>
  <c r="E50" i="3"/>
  <c r="E372" i="3"/>
  <c r="E497" i="3"/>
  <c r="E224" i="3"/>
  <c r="E98" i="3"/>
  <c r="E66" i="3"/>
  <c r="E297" i="3"/>
  <c r="E386" i="3"/>
  <c r="E52" i="3"/>
  <c r="E40" i="3"/>
  <c r="E17" i="3"/>
  <c r="E237" i="3"/>
  <c r="E506" i="3"/>
  <c r="E285" i="3"/>
  <c r="E153" i="3"/>
  <c r="E272" i="3"/>
  <c r="E367" i="3"/>
  <c r="E207" i="3"/>
  <c r="E168" i="3"/>
  <c r="E288" i="3"/>
  <c r="E157" i="3"/>
  <c r="E307" i="3"/>
  <c r="E87" i="3"/>
  <c r="E259" i="3"/>
  <c r="E323" i="3"/>
  <c r="E222" i="3"/>
  <c r="E62" i="3"/>
  <c r="E455" i="3"/>
  <c r="E498" i="3"/>
  <c r="E251" i="3"/>
  <c r="AB33" i="33"/>
  <c r="T48" i="33" s="1"/>
  <c r="U33" i="33"/>
  <c r="R48" i="33"/>
  <c r="R49" i="33" s="1"/>
  <c r="AA33" i="33"/>
  <c r="S33" i="33"/>
  <c r="AC33" i="33"/>
  <c r="V48" i="33" s="1"/>
  <c r="W33" i="33"/>
  <c r="F28" i="12"/>
  <c r="C29" i="12" s="1"/>
  <c r="D28" i="12" s="1"/>
  <c r="AA10" i="39"/>
  <c r="Q52" i="67"/>
  <c r="Q73" i="67"/>
  <c r="Q74" i="67"/>
  <c r="C49" i="67"/>
  <c r="F27" i="11"/>
  <c r="C29" i="11" s="1"/>
  <c r="D27" i="11" s="1"/>
  <c r="F27" i="68"/>
  <c r="F45" i="68" s="1"/>
  <c r="F45" i="69"/>
  <c r="J5" i="67"/>
  <c r="J24" i="67" s="1"/>
  <c r="C29" i="69"/>
  <c r="D27" i="69" s="1"/>
  <c r="F10" i="40"/>
  <c r="S10" i="40" s="1"/>
  <c r="H10" i="39"/>
  <c r="U10" i="39" s="1"/>
  <c r="E169" i="3"/>
  <c r="E418" i="3"/>
  <c r="E390" i="3"/>
  <c r="E574" i="3"/>
  <c r="E319" i="3"/>
  <c r="E291" i="3"/>
  <c r="E546" i="3"/>
  <c r="E411" i="3"/>
  <c r="E196" i="3"/>
  <c r="E257" i="3"/>
  <c r="E537" i="3"/>
  <c r="E529" i="3"/>
  <c r="E306" i="3"/>
  <c r="E127" i="3"/>
  <c r="E413" i="3"/>
  <c r="E459" i="3"/>
  <c r="E373" i="3"/>
  <c r="E149" i="3"/>
  <c r="E57" i="3"/>
  <c r="E348" i="3"/>
  <c r="E20" i="3"/>
  <c r="E194" i="3"/>
  <c r="E25" i="3"/>
  <c r="E370" i="3"/>
  <c r="E129" i="3"/>
  <c r="O6" i="3"/>
  <c r="H6" i="3" s="1"/>
  <c r="E501" i="3"/>
  <c r="AM6" i="3"/>
  <c r="E126" i="3"/>
  <c r="E403" i="3"/>
  <c r="E548" i="3"/>
  <c r="E145" i="3"/>
  <c r="E93" i="3"/>
  <c r="E208" i="3"/>
  <c r="E471" i="3"/>
  <c r="E438" i="3"/>
  <c r="E313" i="3"/>
  <c r="E352" i="3"/>
  <c r="E82" i="3"/>
  <c r="E504" i="3"/>
  <c r="E154" i="3"/>
  <c r="AD6" i="3"/>
  <c r="E374" i="3"/>
  <c r="E375" i="3"/>
  <c r="E48" i="3"/>
  <c r="E421" i="3"/>
  <c r="E65" i="3"/>
  <c r="E101" i="3"/>
  <c r="E112" i="3"/>
  <c r="E79" i="3"/>
  <c r="E276" i="3"/>
  <c r="E427" i="3"/>
  <c r="E26" i="3"/>
  <c r="E63" i="3"/>
  <c r="Y6" i="3"/>
  <c r="E39" i="3"/>
  <c r="E584" i="3"/>
  <c r="E582" i="3"/>
  <c r="E354" i="3"/>
  <c r="E500" i="3"/>
  <c r="E24" i="3"/>
  <c r="E155" i="3"/>
  <c r="E365" i="3"/>
  <c r="E147" i="3"/>
  <c r="E234" i="3"/>
  <c r="E473" i="3"/>
  <c r="E202" i="3"/>
  <c r="E490" i="3"/>
  <c r="E49" i="3"/>
  <c r="E140" i="3"/>
  <c r="E389" i="3"/>
  <c r="E267" i="3"/>
  <c r="E195" i="3"/>
  <c r="E179" i="3"/>
  <c r="E462" i="3"/>
  <c r="E542" i="3"/>
  <c r="E266" i="3"/>
  <c r="E436" i="3"/>
  <c r="E19" i="3"/>
  <c r="E446" i="3"/>
  <c r="E416" i="3"/>
  <c r="E51" i="3"/>
  <c r="E58" i="3"/>
  <c r="E398" i="3"/>
  <c r="E265" i="3"/>
  <c r="E289" i="3"/>
  <c r="E392" i="3"/>
  <c r="E137" i="3"/>
  <c r="E43" i="3"/>
  <c r="E226" i="3"/>
  <c r="E401" i="3"/>
  <c r="E393" i="3"/>
  <c r="E78" i="3"/>
  <c r="E405" i="3"/>
  <c r="E75" i="3"/>
  <c r="E554" i="3"/>
  <c r="E376" i="3"/>
  <c r="E543" i="3"/>
  <c r="E83" i="3"/>
  <c r="E220" i="3"/>
  <c r="E104" i="3"/>
  <c r="E360" i="3"/>
  <c r="E287" i="3"/>
  <c r="E18" i="3"/>
  <c r="E67" i="3"/>
  <c r="E417" i="3"/>
  <c r="E464" i="3"/>
  <c r="E284" i="3"/>
  <c r="E138" i="3"/>
  <c r="E520" i="3"/>
  <c r="E312" i="3"/>
  <c r="E250" i="3"/>
  <c r="E521" i="3"/>
  <c r="E460" i="3"/>
  <c r="E165" i="3"/>
  <c r="E218" i="3"/>
  <c r="E340" i="3"/>
  <c r="E36" i="3"/>
  <c r="E339" i="3"/>
  <c r="E38" i="3"/>
  <c r="E540" i="3"/>
  <c r="E333" i="3"/>
  <c r="E108" i="3"/>
  <c r="E419" i="3"/>
  <c r="E440" i="3"/>
  <c r="E223" i="3"/>
  <c r="E232" i="3"/>
  <c r="E428" i="3"/>
  <c r="E13" i="3"/>
  <c r="E534" i="3"/>
  <c r="E34" i="3"/>
  <c r="E309" i="3"/>
  <c r="E409" i="3"/>
  <c r="E449" i="3"/>
  <c r="E90" i="3"/>
  <c r="E552" i="3"/>
  <c r="E524" i="3"/>
  <c r="E176" i="3"/>
  <c r="E364" i="3"/>
  <c r="E123" i="3"/>
  <c r="AQ6" i="3"/>
  <c r="E299" i="3"/>
  <c r="E170" i="3"/>
  <c r="E15" i="3"/>
  <c r="E60" i="3"/>
  <c r="E346" i="3"/>
  <c r="E178" i="3"/>
  <c r="E463" i="3"/>
  <c r="J6" i="3"/>
  <c r="E486" i="3"/>
  <c r="E105" i="3"/>
  <c r="E326" i="3"/>
  <c r="E324" i="3"/>
  <c r="E243" i="3"/>
  <c r="E420" i="3"/>
  <c r="E469" i="3"/>
  <c r="E22" i="3"/>
  <c r="E522" i="3"/>
  <c r="E198" i="3"/>
  <c r="E310" i="3"/>
  <c r="E241" i="3"/>
  <c r="E575" i="3"/>
  <c r="AH6" i="3"/>
  <c r="E422" i="3"/>
  <c r="E493" i="3"/>
  <c r="E188" i="3"/>
  <c r="E158" i="3"/>
  <c r="E342" i="3"/>
  <c r="E412" i="3"/>
  <c r="E115" i="3"/>
  <c r="E452" i="3"/>
  <c r="E408" i="3"/>
  <c r="E173" i="3"/>
  <c r="E102" i="3"/>
  <c r="E235" i="3"/>
  <c r="AL6" i="3"/>
  <c r="E233" i="3"/>
  <c r="E64" i="3"/>
  <c r="E95" i="3"/>
  <c r="E442" i="3"/>
  <c r="E3" i="6"/>
  <c r="D14" i="12" s="1"/>
  <c r="E536" i="3"/>
  <c r="E451" i="3"/>
  <c r="E456" i="3"/>
  <c r="E525" i="3"/>
  <c r="E205" i="3"/>
  <c r="E113" i="3"/>
  <c r="E206" i="3"/>
  <c r="E383" i="3"/>
  <c r="E96" i="3"/>
  <c r="E42" i="3"/>
  <c r="E494" i="3"/>
  <c r="E68" i="3"/>
  <c r="E84" i="3"/>
  <c r="E160" i="3"/>
  <c r="E59" i="3"/>
  <c r="E258" i="3"/>
  <c r="E491" i="3"/>
  <c r="E430" i="3"/>
  <c r="E286" i="3"/>
  <c r="E507" i="3"/>
  <c r="E564" i="3"/>
  <c r="E116" i="3"/>
  <c r="E329" i="3"/>
  <c r="E80" i="3"/>
  <c r="E35" i="3"/>
  <c r="E190" i="3"/>
  <c r="E356" i="3"/>
  <c r="E41" i="3"/>
  <c r="E470" i="3"/>
  <c r="E556" i="3"/>
  <c r="E512" i="3"/>
  <c r="T6" i="3"/>
  <c r="E197" i="3"/>
  <c r="E308" i="3"/>
  <c r="AF6" i="3"/>
  <c r="E86" i="3"/>
  <c r="E174" i="3"/>
  <c r="E482" i="3"/>
  <c r="E391" i="3"/>
  <c r="E283" i="3"/>
  <c r="E184" i="3"/>
  <c r="E371" i="3"/>
  <c r="E467" i="3"/>
  <c r="E349" i="3"/>
  <c r="E37" i="3"/>
  <c r="AP6" i="3"/>
  <c r="E502" i="3"/>
  <c r="E539" i="3"/>
  <c r="M14" i="1"/>
  <c r="O14" i="1" s="1"/>
  <c r="O16" i="1" s="1"/>
  <c r="H10" i="40"/>
  <c r="AB10" i="40" s="1"/>
  <c r="J10" i="40"/>
  <c r="AC10" i="40" s="1"/>
  <c r="J10" i="39"/>
  <c r="W10" i="39" s="1"/>
  <c r="F1" i="15"/>
  <c r="Q73" i="15"/>
  <c r="Q52" i="15"/>
  <c r="R36" i="36"/>
  <c r="E332" i="3"/>
  <c r="E21" i="3"/>
  <c r="E264" i="3"/>
  <c r="E381" i="3"/>
  <c r="E144" i="3"/>
  <c r="E23" i="3"/>
  <c r="E300" i="3"/>
  <c r="E103" i="3"/>
  <c r="E425" i="3"/>
  <c r="E76" i="3"/>
  <c r="E363" i="3"/>
  <c r="E192" i="3"/>
  <c r="E56" i="3"/>
  <c r="E435" i="3"/>
  <c r="I3" i="6"/>
  <c r="E541" i="3"/>
  <c r="R6" i="3"/>
  <c r="E199" i="3"/>
  <c r="E510" i="3"/>
  <c r="T52" i="71"/>
  <c r="D52" i="71"/>
  <c r="E281" i="3"/>
  <c r="E513" i="3"/>
  <c r="E81" i="3"/>
  <c r="E355" i="3"/>
  <c r="E33" i="3"/>
  <c r="E492" i="3"/>
  <c r="E249" i="3"/>
  <c r="E46" i="3"/>
  <c r="E484" i="3"/>
  <c r="E544" i="3"/>
  <c r="E292" i="3"/>
  <c r="E152" i="3"/>
  <c r="E479" i="3"/>
  <c r="E517" i="3"/>
  <c r="E255" i="3"/>
  <c r="E466" i="3"/>
  <c r="E499" i="3"/>
  <c r="O65" i="71"/>
  <c r="D66" i="71"/>
  <c r="O66" i="71"/>
  <c r="D56" i="71"/>
  <c r="T56" i="71"/>
  <c r="C36" i="71"/>
  <c r="D35" i="7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19" i="11"/>
  <c r="C19" i="11" s="1"/>
  <c r="C39" i="43"/>
  <c r="C42" i="43"/>
  <c r="E42" i="43" s="1"/>
  <c r="C38" i="43"/>
  <c r="AB10" i="39"/>
  <c r="U10" i="40"/>
  <c r="W10" i="40"/>
  <c r="U7" i="37"/>
  <c r="G67" i="39"/>
  <c r="F69" i="39"/>
  <c r="F58" i="21"/>
  <c r="R37" i="36"/>
  <c r="E36" i="36"/>
  <c r="F63" i="40"/>
  <c r="E65" i="40"/>
  <c r="W7" i="33"/>
  <c r="AC7" i="33"/>
  <c r="I48" i="33" s="1"/>
  <c r="AA7" i="37"/>
  <c r="R42" i="37" s="1"/>
  <c r="S7" i="37"/>
  <c r="I40" i="36"/>
  <c r="J40" i="36" s="1"/>
  <c r="S7" i="33"/>
  <c r="AA7" i="33"/>
  <c r="G53" i="34"/>
  <c r="H53" i="34" s="1"/>
  <c r="G40" i="36"/>
  <c r="H40" i="36" s="1"/>
  <c r="G41" i="36"/>
  <c r="H41" i="36" s="1"/>
  <c r="G46" i="37"/>
  <c r="H46" i="37" s="1"/>
  <c r="G47" i="37"/>
  <c r="H47" i="37" s="1"/>
  <c r="I46" i="37"/>
  <c r="J46" i="37" s="1"/>
  <c r="G48" i="35"/>
  <c r="U7" i="33"/>
  <c r="AB7" i="33"/>
  <c r="C53" i="67"/>
  <c r="C10" i="67"/>
  <c r="C5" i="67" s="1"/>
  <c r="C38" i="67" s="1"/>
  <c r="C53" i="15"/>
  <c r="C48" i="15" s="1"/>
  <c r="C66" i="15" s="1"/>
  <c r="C10" i="15"/>
  <c r="C5" i="15" s="1"/>
  <c r="C38" i="15" s="1"/>
  <c r="C35" i="9"/>
  <c r="M27" i="67"/>
  <c r="M27" i="15"/>
  <c r="F41" i="15"/>
  <c r="D37" i="11" l="1"/>
  <c r="AC6" i="3"/>
  <c r="E6" i="3" s="1"/>
  <c r="C47" i="11"/>
  <c r="D45" i="11" s="1"/>
  <c r="G48" i="33"/>
  <c r="D3" i="37"/>
  <c r="AA10" i="40"/>
  <c r="C48" i="67"/>
  <c r="C66" i="67" s="1"/>
  <c r="C29" i="68"/>
  <c r="D27" i="68" s="1"/>
  <c r="C47" i="68"/>
  <c r="D45" i="68" s="1"/>
  <c r="D3" i="34"/>
  <c r="D3" i="33"/>
  <c r="E6" i="6"/>
  <c r="D10" i="11" s="1"/>
  <c r="C10" i="11" s="1"/>
  <c r="C17" i="4"/>
  <c r="B4" i="52" s="1"/>
  <c r="B43" i="72" s="1"/>
  <c r="M18" i="9"/>
  <c r="B118" i="9" s="1"/>
  <c r="B1" i="74" s="1"/>
  <c r="D3" i="21"/>
  <c r="L18" i="9"/>
  <c r="M16" i="1"/>
  <c r="L16" i="1" s="1"/>
  <c r="D116" i="43"/>
  <c r="AC10" i="39"/>
  <c r="F25" i="12"/>
  <c r="C26" i="12" s="1"/>
  <c r="D25" i="12" s="1"/>
  <c r="I53" i="34"/>
  <c r="J53" i="34" s="1"/>
  <c r="D21" i="71"/>
  <c r="C20" i="71"/>
  <c r="D36" i="71"/>
  <c r="T36" i="71"/>
  <c r="F22" i="68"/>
  <c r="C44" i="68" s="1"/>
  <c r="D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20" i="12"/>
  <c r="C20" i="12" s="1"/>
  <c r="C18" i="12" s="1"/>
  <c r="D25" i="6"/>
  <c r="D15" i="6"/>
  <c r="D22" i="6"/>
  <c r="D21" i="6"/>
  <c r="D24" i="6"/>
  <c r="D20" i="6"/>
  <c r="M19" i="9"/>
  <c r="C118" i="9" s="1"/>
  <c r="B2" i="74" s="1"/>
  <c r="D26" i="6"/>
  <c r="D8" i="6"/>
  <c r="D14" i="6"/>
  <c r="D9" i="6"/>
  <c r="D10" i="6"/>
  <c r="L19" i="9"/>
  <c r="D29" i="6"/>
  <c r="H21" i="6"/>
  <c r="D19" i="6"/>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D10" i="69"/>
  <c r="C34" i="69"/>
  <c r="D10" i="68"/>
  <c r="C17" i="67"/>
  <c r="C17" i="15"/>
  <c r="C14" i="67"/>
  <c r="D6" i="6" l="1"/>
  <c r="H24" i="6"/>
  <c r="E53" i="34"/>
  <c r="F53" i="34" s="1"/>
  <c r="C60" i="67"/>
  <c r="E54" i="34"/>
  <c r="F54" i="34" s="1"/>
  <c r="D30" i="6"/>
  <c r="H22" i="6"/>
  <c r="H25" i="6"/>
  <c r="R25" i="6" s="1"/>
  <c r="R12" i="1" s="1"/>
  <c r="N16" i="1"/>
  <c r="F50" i="11" s="1"/>
  <c r="F41" i="68"/>
  <c r="C26" i="68"/>
  <c r="D22" i="68" s="1"/>
  <c r="C23" i="68"/>
  <c r="C26" i="11"/>
  <c r="D22" i="11" s="1"/>
  <c r="C44" i="11"/>
  <c r="D41" i="11" s="1"/>
  <c r="T20" i="71"/>
  <c r="D20" i="71"/>
  <c r="U20" i="71" s="1"/>
  <c r="C19"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C4" i="52"/>
  <c r="B45" i="72" s="1"/>
  <c r="A10" i="51"/>
  <c r="B9" i="72" s="1"/>
  <c r="A7" i="51"/>
  <c r="B7" i="72" s="1"/>
  <c r="C21" i="9"/>
  <c r="D21" i="9"/>
  <c r="G21" i="9"/>
  <c r="C10" i="68"/>
  <c r="D19" i="68"/>
  <c r="H69" i="39"/>
  <c r="I67" i="39"/>
  <c r="G65" i="40"/>
  <c r="H63" i="40"/>
  <c r="C43" i="37"/>
  <c r="C42" i="37"/>
  <c r="I48" i="35"/>
  <c r="C48" i="33"/>
  <c r="C49" i="33"/>
  <c r="R24" i="31" s="1"/>
  <c r="H58" i="21"/>
  <c r="E47" i="37"/>
  <c r="F47" i="37" s="1"/>
  <c r="E46" i="37"/>
  <c r="F46" i="37" s="1"/>
  <c r="I47" i="37"/>
  <c r="J47" i="37" s="1"/>
  <c r="E53" i="33"/>
  <c r="F53" i="33" s="1"/>
  <c r="E52" i="33"/>
  <c r="F52" i="33" s="1"/>
  <c r="C33" i="15"/>
  <c r="C33" i="67"/>
  <c r="J19" i="67"/>
  <c r="C34" i="68"/>
  <c r="C14" i="15"/>
  <c r="E6" i="76"/>
  <c r="B6" i="76"/>
  <c r="R25" i="31" l="1"/>
  <c r="S25" i="31" s="1"/>
  <c r="R26" i="31"/>
  <c r="S26" i="31" s="1"/>
  <c r="S24" i="31"/>
  <c r="F50" i="69"/>
  <c r="F50" i="68"/>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V21" i="31" l="1"/>
  <c r="E10" i="74" s="1"/>
  <c r="B10" i="74" s="1"/>
  <c r="S22" i="31"/>
  <c r="R22" i="31" s="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B20" i="31" l="1"/>
  <c r="B21" i="31" s="1"/>
  <c r="D17" i="7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F35" i="15"/>
  <c r="M21" i="67"/>
  <c r="M21" i="15"/>
  <c r="T16" i="71" l="1"/>
  <c r="D16" i="71"/>
  <c r="U16" i="71" s="1"/>
  <c r="C15" i="71"/>
  <c r="E48" i="21"/>
  <c r="E52" i="21" s="1"/>
  <c r="F52" i="2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G43" i="35"/>
  <c r="H43" i="35" s="1"/>
  <c r="K65" i="40"/>
  <c r="L63" i="40"/>
  <c r="I42" i="35"/>
  <c r="J42" i="35" s="1"/>
  <c r="I53" i="21" l="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6"/>
  <c r="D2" i="35"/>
  <c r="D2" i="37"/>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12" i="1"/>
  <c r="AO7" i="1"/>
  <c r="AO6" i="1"/>
  <c r="AO8" i="1"/>
  <c r="AO11"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M49" i="9"/>
  <c r="L63" i="9" s="1"/>
  <c r="M63" i="9" s="1"/>
  <c r="M69" i="9" s="1"/>
  <c r="N69" i="9" s="1"/>
  <c r="L67" i="9" l="1"/>
  <c r="M67" i="9" s="1"/>
  <c r="L66" i="9"/>
  <c r="M66" i="9" s="1"/>
  <c r="L64" i="9"/>
  <c r="M64" i="9" s="1"/>
  <c r="L68" i="9"/>
  <c r="M68" i="9" s="1"/>
  <c r="L65" i="9"/>
  <c r="M65" i="9" s="1"/>
  <c r="B21" i="72"/>
  <c r="D7" i="53"/>
  <c r="H5" i="52"/>
  <c r="H119" i="9"/>
  <c r="M55" i="9"/>
  <c r="D59" i="9"/>
  <c r="C86" i="9"/>
  <c r="C93" i="9"/>
  <c r="C97" i="9"/>
  <c r="D58" i="9"/>
  <c r="D56" i="9"/>
  <c r="M54" i="9"/>
  <c r="N61" i="9"/>
  <c r="N59" i="9"/>
  <c r="N60" i="9"/>
  <c r="C80" i="9"/>
  <c r="E80" i="9"/>
  <c r="E81" i="9"/>
  <c r="F4" i="52"/>
  <c r="B51" i="72"/>
  <c r="D119" i="9"/>
  <c r="D5" i="52"/>
  <c r="B49" i="72"/>
  <c r="B30" i="72"/>
  <c r="B20" i="72"/>
  <c r="C72" i="9"/>
  <c r="C79" i="9"/>
  <c r="C81" i="9"/>
  <c r="D54" i="9"/>
  <c r="C64" i="9"/>
  <c r="C63" i="9"/>
  <c r="C67" i="9"/>
  <c r="C68" i="9"/>
  <c r="B53" i="72"/>
  <c r="F119" i="9"/>
  <c r="F5" i="52"/>
  <c r="E4" i="52"/>
  <c r="B48" i="72"/>
  <c r="B31" i="72"/>
  <c r="D15" i="53"/>
  <c r="D8" i="52"/>
  <c r="D13" i="53"/>
  <c r="D14" i="53"/>
  <c r="B32" i="72"/>
  <c r="B47" i="72"/>
  <c r="E118" i="9"/>
  <c r="D118" i="9"/>
  <c r="D4" i="52"/>
  <c r="H108" i="9"/>
  <c r="C6" i="74"/>
  <c r="M48" i="9"/>
  <c r="D5" i="53"/>
  <c r="D6" i="53"/>
  <c r="B22" i="72"/>
  <c r="I4" i="52"/>
  <c r="C105" i="9"/>
  <c r="C73" i="9"/>
  <c r="C78" i="9"/>
  <c r="N58" i="9"/>
  <c r="D55" i="9"/>
  <c r="M53" i="9"/>
  <c r="N57" i="9"/>
  <c r="P57" i="9"/>
  <c r="F118" i="9"/>
  <c r="G118" i="9"/>
  <c r="G4" i="52"/>
  <c r="B52" i="72"/>
  <c r="H102" i="9"/>
  <c r="C5" i="74"/>
  <c r="H4" i="52"/>
  <c r="C104" i="9"/>
  <c r="C85" i="9"/>
  <c r="C95" i="9"/>
  <c r="C96" i="9"/>
  <c r="E96" i="9"/>
  <c r="E97" i="9"/>
  <c r="D53" i="9"/>
  <c r="D45" i="9"/>
  <c r="D52" i="9"/>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<sst xmlns="http://schemas.openxmlformats.org/spreadsheetml/2006/main" count="8177" uniqueCount="3655">
  <si>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</si>
  <si>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</si>
  <si>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</si>
  <si>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</si>
  <si>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</si>
  <si>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</si>
  <si>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</si>
  <si>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</si>
  <si>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</si>
  <si>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</si>
  <si>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</si>
  <si>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</si>
  <si>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</si>
  <si>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</si>
  <si>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</si>
  <si>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</si>
  <si>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</si>
  <si>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</si>
  <si>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</si>
  <si>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</si>
  <si>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</si>
  <si>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</si>
  <si>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</si>
  <si>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</si>
  <si>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</si>
  <si>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</si>
  <si>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</si>
  <si>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</si>
  <si>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</si>
  <si>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</si>
  <si>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</si>
  <si>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</si>
  <si>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</si>
  <si>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</si>
  <si>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</si>
  <si>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</si>
  <si>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</si>
  <si>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</si>
  <si>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</si>
  <si>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</si>
  <si>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</si>
  <si>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</si>
  <si>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</si>
  <si>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</si>
  <si>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</si>
  <si>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</si>
  <si>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</si>
  <si>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</si>
  <si>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</si>
  <si>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</si>
  <si>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</si>
  <si>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</si>
  <si>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</si>
  <si>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</si>
  <si>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</si>
  <si>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</si>
  <si>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</si>
  <si>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</si>
  <si>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</si>
  <si>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</si>
  <si>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</si>
  <si>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</si>
  <si>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</si>
  <si>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</si>
  <si>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</si>
  <si>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</si>
  <si>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</si>
  <si>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</si>
  <si>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</si>
  <si>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</si>
  <si>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</si>
  <si>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</si>
  <si>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</si>
  <si>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</si>
  <si>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</si>
  <si>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</si>
  <si>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</si>
  <si>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</si>
  <si>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</si>
  <si>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</si>
  <si>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</si>
  <si>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</si>
  <si>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</si>
  <si>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</si>
  <si>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</si>
  <si>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</si>
  <si>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</si>
  <si>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</si>
  <si>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</si>
  <si>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</si>
  <si>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</si>
  <si>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</si>
  <si>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</si>
  <si>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</si>
  <si>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</si>
  <si>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</si>
  <si>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</si>
  <si>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</si>
  <si>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</si>
  <si>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</si>
  <si>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</si>
  <si>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</si>
  <si>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</si>
  <si>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</si>
  <si>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</si>
  <si>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</si>
  <si>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</si>
  <si>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</si>
  <si>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</si>
  <si>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</si>
  <si>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</si>
  <si>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</si>
  <si>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</si>
  <si>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</si>
  <si>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</si>
  <si>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</si>
  <si>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</si>
  <si>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</si>
  <si>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</si>
  <si>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</si>
  <si>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</si>
  <si>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</si>
  <si>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</si>
  <si>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</si>
  <si>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</si>
  <si>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</si>
  <si>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</si>
  <si>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</si>
  <si>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</si>
  <si>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</si>
  <si>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</si>
  <si>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</si>
  <si>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</si>
  <si>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</si>
  <si>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</si>
  <si>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</si>
  <si>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</si>
  <si>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</si>
  <si>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</si>
  <si>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</si>
  <si>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</si>
  <si>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</si>
  <si>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</si>
  <si>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</si>
  <si>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</si>
  <si>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</si>
  <si>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</si>
  <si>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</si>
  <si>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</si>
  <si>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</si>
  <si>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</si>
  <si>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</si>
  <si>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</si>
  <si>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</si>
  <si>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</si>
  <si>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</si>
  <si>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</si>
  <si>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</si>
  <si>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</si>
  <si>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</si>
  <si>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</si>
  <si>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</si>
  <si>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</si>
  <si>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</si>
  <si>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</si>
  <si>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</si>
  <si>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</si>
  <si>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</si>
  <si>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</si>
  <si>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</si>
  <si>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</si>
  <si>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</si>
  <si>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</si>
  <si>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</si>
  <si>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</si>
  <si>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</si>
  <si>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</si>
  <si>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</si>
  <si>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</si>
  <si>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</si>
  <si>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</si>
  <si>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</si>
  <si>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</si>
  <si>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</si>
  <si>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</si>
  <si>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</si>
  <si>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</si>
  <si>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</si>
  <si>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</si>
  <si>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</si>
  <si>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</si>
  <si>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</si>
  <si>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</si>
  <si>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</si>
  <si>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</si>
  <si>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</si>
  <si>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</si>
  <si>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</si>
  <si>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</si>
  <si>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</si>
  <si>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</si>
  <si>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</si>
  <si>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</si>
  <si>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</si>
  <si>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</si>
  <si>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</si>
  <si>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</si>
  <si>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</si>
  <si>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</si>
  <si>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</si>
  <si>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</si>
  <si>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</si>
  <si>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</si>
  <si>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</si>
  <si>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</si>
  <si>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</si>
  <si>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</si>
  <si>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</si>
  <si>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</si>
  <si>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</si>
  <si>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</si>
  <si>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</si>
  <si>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</si>
  <si>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</si>
  <si>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</si>
  <si>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</si>
  <si>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</si>
  <si>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</si>
  <si>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</si>
  <si>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</si>
  <si>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</si>
  <si>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</si>
  <si>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</si>
  <si>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</si>
  <si>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</si>
  <si>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</si>
  <si>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</si>
  <si>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</si>
  <si>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</si>
  <si>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</si>
  <si>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</si>
  <si>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</si>
  <si>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</si>
  <si>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</si>
  <si>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</si>
  <si>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</si>
  <si>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</si>
  <si>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</si>
  <si>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</si>
  <si>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</si>
  <si>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</si>
  <si>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</si>
  <si>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</si>
  <si>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</si>
  <si>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</si>
  <si>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</si>
  <si>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</si>
  <si>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</si>
  <si>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</si>
  <si>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</si>
  <si>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</si>
  <si>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</si>
  <si>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</si>
  <si>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</si>
  <si>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</si>
  <si>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</si>
  <si>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</si>
  <si>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</si>
  <si>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</si>
  <si>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</si>
  <si>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</si>
  <si>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</si>
  <si>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</si>
  <si>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</si>
  <si>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</si>
  <si>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</si>
  <si>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</si>
  <si>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</si>
  <si>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</si>
  <si>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</si>
  <si>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</si>
  <si>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</si>
  <si>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</si>
  <si>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</si>
  <si>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</si>
  <si>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</si>
  <si>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</si>
  <si>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</si>
  <si>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</si>
  <si>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</si>
  <si>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</si>
  <si>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</si>
  <si>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</si>
  <si>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</si>
  <si>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</si>
  <si>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</si>
  <si>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</si>
  <si>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</si>
  <si>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</si>
  <si>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</si>
  <si>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</si>
  <si>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</si>
  <si>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</si>
  <si>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</si>
  <si>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</si>
  <si>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</si>
  <si>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</si>
  <si>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</si>
  <si>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</si>
  <si>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</si>
  <si>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</si>
  <si>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</si>
  <si>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</si>
  <si>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</si>
  <si>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</si>
  <si>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</si>
  <si>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</si>
  <si>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</si>
  <si>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</si>
  <si>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</si>
  <si>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</si>
  <si>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</si>
  <si>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</si>
  <si>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</si>
  <si>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</si>
  <si>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</si>
  <si>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</si>
  <si>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</si>
  <si>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</si>
  <si>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</si>
  <si>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</si>
  <si>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</si>
  <si>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</si>
  <si>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</si>
  <si>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</si>
  <si>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</si>
  <si>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</si>
  <si>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</si>
  <si>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</si>
  <si>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</si>
  <si>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</si>
  <si>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</si>
  <si>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</si>
  <si>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</si>
  <si>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</si>
  <si>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</si>
  <si>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</si>
  <si>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</si>
  <si>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</si>
  <si>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</si>
  <si>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</si>
  <si>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</si>
  <si>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</si>
  <si>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</si>
  <si>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</si>
  <si>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</si>
  <si>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</si>
  <si>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</si>
  <si>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</si>
  <si>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</si>
  <si>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</si>
  <si>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</si>
  <si>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</si>
  <si>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</si>
  <si>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</si>
  <si>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</si>
  <si>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</si>
  <si>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</si>
  <si>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</si>
  <si>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</si>
  <si>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</si>
  <si>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</si>
  <si>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</si>
  <si>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</si>
  <si>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</si>
  <si>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</si>
  <si>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</si>
  <si>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</si>
  <si>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</si>
  <si>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</si>
  <si>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</si>
  <si>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</si>
  <si>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</si>
  <si>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</si>
  <si>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</si>
  <si>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</si>
  <si>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</si>
  <si>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</si>
  <si>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</si>
  <si>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</si>
  <si>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</si>
  <si>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</si>
  <si>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</si>
  <si>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</si>
  <si>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</si>
  <si>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</si>
  <si>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</si>
  <si>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</si>
  <si>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</si>
  <si>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</si>
  <si>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</si>
  <si>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</si>
  <si>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</si>
  <si>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</si>
  <si>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</si>
  <si>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</si>
  <si>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</si>
  <si>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</si>
  <si>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</si>
  <si>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</si>
  <si>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</si>
  <si>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</si>
  <si>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</si>
  <si>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</si>
  <si>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</si>
  <si>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</si>
  <si>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</si>
  <si>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</si>
  <si>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</si>
  <si>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</si>
  <si>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</si>
  <si>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</si>
  <si>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</si>
  <si>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</si>
  <si>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</si>
  <si>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</si>
  <si>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</si>
  <si>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</si>
  <si>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</si>
  <si>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</si>
  <si>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</si>
  <si>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</si>
  <si>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</si>
  <si>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</si>
  <si>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</si>
  <si>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</si>
  <si>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</si>
  <si>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</si>
  <si>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</si>
  <si>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</si>
  <si>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</si>
  <si>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</si>
  <si>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</si>
  <si>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</si>
  <si>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</si>
  <si>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</si>
  <si>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</si>
  <si>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</si>
  <si>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</si>
  <si>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</si>
  <si>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</si>
  <si>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</si>
  <si>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</si>
  <si>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</si>
  <si>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</si>
  <si>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</si>
  <si>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</si>
  <si>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</si>
  <si>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</si>
  <si>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</si>
  <si>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</si>
  <si>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</si>
  <si>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</si>
  <si>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</si>
  <si>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</si>
  <si>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</si>
  <si>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</si>
  <si>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</si>
  <si>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</si>
  <si>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</si>
  <si>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</si>
  <si>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</si>
  <si>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</si>
  <si>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</si>
  <si>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</si>
  <si>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</si>
  <si>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</si>
  <si>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</si>
  <si>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</si>
  <si>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</si>
  <si>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</si>
  <si>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</si>
  <si>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</si>
  <si>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</si>
  <si>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</si>
  <si>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</si>
  <si>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</si>
  <si>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</si>
  <si>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</si>
  <si>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</si>
  <si>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</si>
  <si>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</si>
  <si>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</si>
  <si>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</si>
  <si>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</si>
  <si>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</si>
  <si>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</si>
  <si>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</si>
  <si>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</si>
  <si>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</si>
  <si>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</si>
  <si>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</si>
  <si>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</si>
  <si>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</si>
  <si>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</si>
  <si>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</si>
  <si>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</si>
  <si>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</si>
  <si>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</si>
  <si>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</si>
  <si>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</si>
  <si>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</si>
  <si>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</si>
  <si>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</si>
  <si>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</si>
  <si>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</si>
  <si>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</si>
  <si>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</si>
  <si>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</si>
  <si>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</si>
  <si>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</si>
  <si>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</si>
  <si>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</si>
  <si>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</si>
  <si>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</si>
  <si>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</si>
  <si>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</si>
  <si>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</si>
  <si>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</si>
  <si>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</si>
  <si>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</si>
  <si>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</si>
  <si>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</si>
  <si>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</si>
  <si>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</si>
  <si>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</si>
  <si>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</si>
  <si>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</si>
  <si>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</si>
  <si>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</si>
  <si>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</si>
  <si>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</si>
  <si>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</si>
  <si>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</si>
  <si>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</si>
  <si>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</si>
  <si>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</si>
  <si>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</si>
  <si>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</si>
  <si>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</si>
  <si>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</si>
  <si>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</si>
  <si>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</si>
  <si>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</si>
  <si>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</si>
  <si>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</si>
  <si>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</si>
  <si>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</si>
  <si>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</si>
  <si>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</si>
  <si>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</si>
  <si>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</si>
  <si>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</si>
  <si>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</si>
  <si>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</si>
  <si>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</si>
  <si>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</si>
  <si>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</si>
  <si>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</si>
  <si>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</si>
  <si>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</si>
  <si>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</si>
  <si>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</si>
  <si>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</si>
  <si>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</si>
  <si>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</si>
  <si>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</si>
  <si>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</si>
  <si>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</si>
  <si>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</si>
  <si>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</si>
  <si>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</si>
  <si>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</si>
  <si>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</si>
  <si>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</si>
  <si>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</si>
  <si>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</si>
  <si>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</si>
  <si>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</si>
  <si>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</si>
  <si>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</si>
  <si>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</si>
  <si>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</si>
  <si>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</si>
  <si>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</si>
  <si>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</si>
  <si>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</si>
  <si>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</si>
  <si>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</si>
  <si>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</si>
  <si>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</si>
  <si>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</si>
  <si>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</si>
  <si>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</si>
  <si>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</si>
  <si>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</si>
  <si>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</si>
  <si>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</si>
  <si>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</si>
  <si>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</si>
  <si>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</si>
  <si>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</si>
  <si>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</si>
  <si>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</si>
  <si>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</si>
  <si>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</si>
  <si>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</si>
  <si>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</si>
  <si>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</si>
  <si>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</si>
  <si>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</si>
  <si>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</si>
  <si>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</si>
  <si>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</si>
  <si>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</si>
  <si>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</si>
  <si>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</si>
  <si>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</si>
  <si>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</si>
  <si>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</si>
  <si>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</si>
  <si>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</si>
  <si>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</si>
  <si>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</si>
  <si>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</si>
  <si>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</si>
  <si>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</si>
  <si>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</si>
  <si>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</si>
  <si>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</si>
  <si>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</si>
  <si>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</si>
  <si>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</si>
  <si>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</si>
  <si>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</si>
  <si>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</si>
  <si>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</si>
  <si>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</si>
  <si>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</si>
  <si>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</si>
  <si>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</si>
  <si>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</si>
  <si>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</si>
  <si>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</si>
  <si>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</si>
  <si>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</si>
  <si>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</si>
  <si>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</si>
  <si>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</si>
  <si>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</si>
  <si>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</si>
  <si>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</si>
  <si>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</si>
  <si>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</si>
  <si>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</si>
  <si>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</si>
  <si>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</si>
  <si>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</si>
  <si>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</si>
  <si>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</si>
  <si>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</si>
  <si>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</si>
  <si>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</si>
  <si>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</si>
  <si>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</si>
  <si>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</si>
  <si>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</si>
  <si>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</si>
  <si>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</si>
  <si>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</si>
  <si>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</si>
  <si>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</si>
  <si>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</si>
  <si>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</si>
  <si>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</si>
  <si>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</si>
  <si>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</si>
  <si>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</si>
  <si>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</si>
  <si>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</si>
  <si>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</si>
  <si>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</si>
  <si>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</si>
  <si>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</si>
  <si>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</si>
  <si>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</si>
  <si>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</si>
  <si>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</si>
  <si>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</si>
  <si>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</si>
  <si>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</si>
  <si>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</si>
  <si>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</si>
  <si>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</si>
  <si>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</si>
  <si>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</si>
  <si>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</si>
  <si>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</si>
  <si>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</si>
  <si>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</si>
  <si>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</si>
  <si>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</si>
  <si>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</si>
  <si>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</si>
  <si>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</si>
  <si>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</si>
  <si>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</si>
  <si>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</si>
  <si>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</si>
  <si>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</si>
  <si>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</si>
  <si>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</si>
  <si>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</si>
  <si>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</si>
  <si>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</si>
  <si>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</si>
  <si>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</si>
  <si>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</si>
  <si>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</si>
  <si>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</si>
  <si>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</si>
  <si>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</si>
  <si>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</si>
  <si>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</si>
  <si>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</si>
  <si>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</si>
  <si>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</si>
  <si>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</si>
  <si>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</si>
  <si>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</si>
  <si>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</si>
  <si>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</si>
  <si>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</si>
  <si>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</si>
  <si>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</si>
  <si>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</si>
  <si>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</si>
  <si>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</si>
  <si>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</si>
  <si>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</si>
  <si>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</si>
  <si>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</si>
  <si>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</si>
  <si>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</si>
  <si>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</si>
  <si>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</si>
  <si>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</si>
  <si>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</si>
  <si>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</si>
  <si>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</si>
  <si>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</si>
  <si>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</si>
  <si>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</si>
  <si>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</si>
  <si>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</si>
  <si>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</si>
  <si>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</si>
  <si>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</si>
  <si>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</si>
  <si>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</si>
  <si>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</si>
  <si>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</si>
  <si>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</si>
  <si>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</si>
  <si>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</si>
  <si>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</si>
  <si>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</si>
  <si>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</si>
  <si>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</si>
  <si>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</si>
  <si>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</si>
  <si>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</si>
  <si>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</si>
  <si>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</si>
  <si>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</si>
  <si>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</si>
  <si>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</si>
  <si>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</si>
  <si>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</si>
  <si>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</si>
  <si>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</si>
  <si>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</si>
  <si>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</si>
  <si>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</si>
  <si>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</si>
  <si>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</si>
  <si>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</si>
  <si>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</si>
  <si>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</si>
  <si>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</si>
  <si>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</si>
  <si>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</si>
  <si>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</si>
  <si>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</si>
  <si>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</si>
  <si>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</si>
  <si>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</si>
  <si>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</si>
  <si>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</si>
  <si>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</si>
  <si>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</si>
  <si>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</si>
  <si>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</si>
  <si>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</si>
  <si>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</si>
  <si>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</si>
  <si>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</si>
  <si>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</si>
  <si>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</si>
  <si>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</si>
  <si>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</si>
  <si>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</si>
  <si>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</si>
  <si>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</si>
  <si>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</si>
  <si>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</si>
  <si>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</si>
  <si>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</si>
  <si>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</si>
  <si>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</si>
  <si>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</si>
  <si>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</si>
  <si>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</si>
  <si>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</si>
  <si>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</si>
  <si>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</si>
  <si>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</si>
  <si>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</si>
  <si>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</si>
  <si>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</si>
  <si>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</si>
  <si>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</si>
  <si>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</si>
  <si>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</si>
  <si>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</si>
  <si>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</si>
  <si>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</si>
  <si>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</si>
  <si>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</si>
  <si>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</si>
  <si>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</si>
  <si>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</si>
  <si>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</si>
  <si>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</si>
  <si>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</si>
  <si>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</si>
  <si>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</si>
  <si>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</si>
  <si>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</si>
  <si>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</si>
  <si>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</si>
  <si>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</si>
  <si>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</si>
  <si>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</si>
  <si>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</si>
  <si>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</si>
  <si>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</si>
  <si>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</si>
  <si>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</si>
  <si>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</si>
  <si>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</si>
  <si>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</si>
  <si>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</si>
  <si>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</si>
  <si>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</si>
  <si>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</si>
  <si>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</si>
  <si>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</si>
  <si>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</si>
  <si>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</si>
  <si>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</si>
  <si>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</si>
  <si>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</si>
  <si>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</si>
  <si>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</si>
  <si>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</si>
  <si>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</si>
  <si>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</si>
  <si>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</si>
  <si>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</si>
  <si>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</si>
  <si>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</si>
  <si>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</si>
  <si>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</si>
  <si>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</si>
  <si>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</si>
  <si>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</si>
  <si>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</si>
  <si>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</si>
  <si>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</si>
  <si>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</si>
  <si>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</si>
  <si>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</si>
  <si>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</si>
  <si>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</si>
  <si>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</si>
  <si>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</si>
  <si>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</si>
  <si>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</si>
  <si>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</si>
  <si>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</si>
  <si>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</si>
  <si>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</si>
  <si>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</si>
  <si>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</si>
  <si>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</si>
  <si>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</si>
  <si>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</si>
  <si>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</si>
  <si>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</si>
  <si>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</si>
  <si>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</si>
  <si>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</si>
  <si>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</si>
  <si>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</si>
  <si>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</si>
  <si>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</si>
  <si>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</si>
  <si>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</si>
  <si>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</si>
  <si>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</si>
  <si>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</si>
  <si>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</si>
  <si>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</si>
  <si>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</si>
  <si>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</si>
  <si>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</si>
  <si>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</si>
  <si>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</si>
  <si>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</si>
  <si>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</si>
  <si>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</si>
  <si>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</si>
  <si>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</si>
  <si>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</si>
  <si>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</si>
  <si>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</si>
  <si>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</si>
  <si>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</si>
  <si>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</si>
  <si>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</si>
  <si>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</si>
  <si>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</si>
  <si>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</si>
  <si>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</si>
  <si>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</si>
  <si>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</si>
  <si>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</si>
  <si>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</si>
  <si>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</si>
  <si>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</si>
  <si>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</si>
  <si>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</si>
  <si>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</si>
  <si>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</si>
  <si>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</si>
  <si>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</si>
  <si>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</si>
  <si>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</si>
  <si>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</si>
  <si>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</si>
  <si>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</si>
  <si>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</si>
  <si>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</si>
  <si>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</si>
  <si>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</si>
  <si>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</si>
  <si>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</si>
  <si>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</si>
  <si>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</si>
  <si>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</si>
  <si>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</si>
  <si>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</si>
  <si>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</si>
  <si>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</si>
  <si>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</si>
  <si>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</si>
  <si>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</si>
  <si>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</si>
  <si>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</si>
  <si>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</si>
  <si>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</si>
  <si>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</si>
  <si>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</si>
  <si>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</si>
  <si>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</si>
  <si>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</si>
  <si>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</si>
  <si>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</si>
  <si>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</si>
  <si>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</si>
  <si>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</si>
  <si>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</si>
  <si>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</si>
  <si>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</si>
  <si>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</si>
  <si>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</si>
  <si>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</si>
  <si>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</si>
  <si>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</si>
  <si>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</si>
  <si>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</si>
  <si>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</si>
  <si>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</si>
  <si>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</si>
  <si>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</si>
  <si>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</si>
  <si>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</si>
  <si>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</si>
  <si>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</si>
  <si>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</si>
  <si>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</si>
  <si>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</si>
  <si>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</si>
  <si>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</si>
  <si>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</si>
  <si>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</si>
  <si>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</si>
  <si>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</si>
  <si>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</si>
  <si>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</si>
  <si>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</si>
  <si>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</si>
  <si>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</si>
  <si>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</si>
  <si>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</si>
  <si>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</si>
  <si>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</si>
  <si>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</si>
  <si>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</si>
  <si>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</si>
  <si>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</si>
  <si>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</si>
  <si>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</si>
  <si>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</si>
  <si>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</si>
  <si>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</si>
  <si>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</si>
  <si>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</si>
  <si>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</si>
  <si>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</si>
  <si>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</si>
  <si>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</si>
  <si>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</si>
  <si>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</si>
  <si>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</si>
  <si>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</si>
  <si>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</si>
  <si>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</si>
  <si>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</si>
  <si>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</si>
  <si>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</si>
  <si>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</si>
  <si>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</si>
  <si>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</si>
  <si>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</si>
  <si>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</si>
  <si>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</si>
  <si>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</si>
  <si>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</si>
  <si>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</si>
  <si>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</si>
  <si>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</si>
  <si>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</si>
  <si>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</si>
  <si>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</si>
  <si>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</si>
  <si>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</si>
  <si>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</si>
  <si>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</si>
  <si>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</si>
  <si>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</si>
  <si>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</si>
  <si>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</si>
  <si>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</si>
  <si>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</si>
  <si>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</si>
  <si>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</si>
  <si>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</si>
  <si>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</si>
  <si>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</si>
  <si>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</si>
  <si>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</si>
  <si>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</si>
  <si>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</si>
  <si>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</si>
  <si>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</si>
  <si>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</si>
  <si>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</si>
  <si>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</si>
  <si>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</si>
  <si>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</si>
  <si>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</si>
  <si>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</si>
  <si>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</si>
  <si>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</si>
  <si>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</si>
  <si>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</si>
  <si>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</si>
  <si>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</si>
  <si>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</si>
  <si>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</si>
  <si>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</si>
  <si>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</si>
  <si>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</si>
  <si>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</si>
  <si>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</si>
  <si>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</si>
  <si>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</si>
  <si>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</si>
  <si>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</si>
  <si>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</si>
  <si>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</si>
  <si>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</si>
  <si>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</si>
  <si>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</si>
  <si>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</si>
  <si>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</si>
  <si>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</si>
  <si>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</si>
  <si>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</si>
  <si>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</si>
  <si>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</si>
  <si>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</si>
  <si>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</si>
  <si>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</si>
  <si>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</si>
  <si>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</si>
  <si>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</si>
  <si>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</si>
  <si>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</si>
  <si>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</si>
  <si>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</si>
  <si>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</si>
  <si>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</si>
  <si>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</si>
  <si>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</si>
  <si>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</si>
  <si>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</si>
  <si>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</si>
  <si>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</si>
  <si>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</si>
  <si>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</si>
  <si>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</si>
  <si>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</si>
  <si>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</si>
  <si>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</si>
  <si>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</si>
  <si>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</si>
  <si>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</si>
  <si>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</si>
  <si>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</si>
  <si>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</si>
  <si>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</si>
  <si>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</si>
  <si>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</si>
  <si>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</si>
  <si>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</si>
  <si>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</si>
  <si>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</si>
  <si>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</si>
  <si>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</si>
  <si>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</si>
  <si>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</si>
  <si>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</si>
  <si>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</si>
  <si>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</si>
  <si>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</si>
  <si>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</si>
  <si>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</si>
  <si>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</si>
  <si>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</si>
  <si>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</si>
  <si>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</si>
  <si>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</si>
  <si>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</si>
  <si>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</si>
  <si>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</si>
  <si>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</si>
  <si>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</si>
  <si>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</si>
  <si>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</si>
  <si>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</si>
  <si>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</si>
  <si>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</si>
  <si>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</si>
  <si>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</si>
  <si>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</si>
  <si>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</si>
  <si>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</si>
  <si>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</si>
  <si>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</si>
  <si>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</si>
  <si>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</si>
  <si>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</si>
  <si>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</si>
  <si>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</si>
  <si>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</si>
  <si>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</si>
  <si>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</si>
  <si>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</si>
  <si>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</si>
  <si>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</si>
  <si>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</si>
  <si>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</si>
  <si>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</si>
  <si>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</si>
  <si>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</si>
  <si>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</si>
  <si>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</si>
  <si>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</si>
  <si>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</si>
  <si>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</si>
  <si>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</si>
  <si>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</si>
  <si>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</si>
  <si>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</si>
  <si>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</si>
  <si>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</si>
  <si>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</si>
  <si>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</si>
  <si>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</si>
  <si>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</si>
  <si>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</si>
  <si>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</si>
  <si>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</si>
  <si>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</si>
  <si>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</si>
  <si>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</si>
  <si>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</si>
  <si>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</si>
  <si>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</si>
  <si>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</si>
  <si>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</si>
  <si>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</si>
  <si>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</si>
  <si>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</si>
  <si>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</si>
  <si>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</si>
  <si>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</si>
  <si>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</si>
  <si>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</si>
  <si>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</si>
  <si>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</si>
  <si>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</si>
  <si>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</si>
  <si>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</si>
  <si>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</si>
  <si>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</si>
  <si>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</si>
  <si>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</si>
  <si>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</si>
  <si>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</si>
  <si>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</si>
  <si>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</si>
  <si>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</si>
  <si>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</si>
  <si>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</si>
  <si>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</si>
  <si>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</si>
  <si>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</si>
  <si>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</si>
  <si>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</si>
  <si>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</si>
  <si>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</si>
  <si>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</si>
  <si>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</si>
  <si>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</si>
  <si>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</si>
  <si>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</si>
  <si>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</si>
  <si>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</si>
  <si>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</si>
  <si>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</si>
  <si>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</si>
  <si>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</si>
  <si>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</si>
  <si>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</si>
  <si>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</si>
  <si>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</si>
  <si>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</si>
  <si>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</si>
  <si>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</si>
  <si>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</si>
  <si>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</si>
  <si>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</si>
  <si>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</si>
  <si>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</si>
  <si>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</si>
  <si>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</si>
  <si>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</si>
  <si>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</si>
  <si>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</si>
  <si>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</si>
  <si>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</si>
  <si>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</si>
  <si>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</si>
  <si>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</si>
  <si>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</si>
  <si>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</si>
  <si>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</si>
  <si>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</si>
  <si>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</si>
  <si>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</si>
  <si>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</si>
  <si>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</si>
  <si>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</si>
  <si>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</si>
  <si>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</si>
  <si>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</si>
  <si>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</si>
  <si>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</si>
  <si>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</si>
  <si>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</si>
  <si>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</si>
  <si>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</si>
  <si>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</si>
  <si>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</si>
  <si>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</si>
  <si>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</si>
  <si>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</si>
  <si>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</si>
  <si>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</si>
  <si>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</si>
  <si>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</si>
  <si>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</si>
  <si>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</si>
  <si>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</si>
  <si>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</si>
  <si>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</si>
  <si>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</si>
  <si>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</si>
  <si>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</si>
  <si>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</si>
  <si>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</si>
  <si>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</si>
  <si>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</si>
  <si>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</si>
  <si>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</si>
  <si>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</si>
  <si>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</si>
  <si>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</si>
  <si>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</si>
  <si>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</si>
  <si>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</si>
  <si>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</si>
  <si>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</si>
  <si>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</si>
  <si>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</si>
  <si>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</si>
  <si>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</si>
  <si>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</si>
  <si>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</si>
  <si>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</si>
  <si>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</si>
  <si>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</si>
  <si>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</si>
  <si>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</si>
  <si>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</si>
  <si>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</si>
  <si>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</si>
  <si>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</si>
  <si>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</si>
  <si>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</si>
  <si>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</si>
  <si>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</si>
  <si>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</si>
  <si>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</si>
  <si>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</si>
  <si>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</si>
  <si>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</si>
  <si>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</si>
  <si>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</si>
  <si>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</si>
  <si>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</si>
  <si>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</si>
  <si>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</si>
  <si>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</si>
  <si>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</si>
  <si>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</si>
  <si>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</si>
  <si>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</si>
  <si>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</si>
  <si>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</si>
  <si>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</si>
  <si>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</si>
  <si>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</si>
  <si>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</si>
  <si>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</si>
  <si>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</si>
  <si>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</si>
  <si>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</si>
  <si>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</si>
  <si>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</si>
  <si>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</si>
  <si>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</si>
  <si>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</si>
  <si>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</si>
  <si>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</si>
  <si>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</si>
  <si>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</si>
  <si>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</si>
  <si>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</si>
  <si>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</si>
  <si>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</si>
  <si>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</si>
  <si>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</si>
  <si>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</si>
  <si>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</si>
  <si>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</si>
  <si>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</si>
  <si>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</si>
  <si>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</si>
  <si>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</si>
  <si>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</si>
  <si>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</si>
  <si>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</si>
  <si>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</si>
  <si>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</si>
  <si>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</si>
  <si>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</si>
  <si>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</si>
  <si>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</si>
  <si>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</si>
  <si>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</si>
  <si>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</si>
  <si>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</si>
  <si>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</si>
  <si>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</si>
  <si>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</si>
  <si>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</si>
  <si>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</si>
  <si>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</si>
  <si>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</si>
  <si>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</si>
  <si>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</si>
  <si>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</si>
  <si>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</si>
  <si>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</si>
  <si>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</si>
  <si>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</si>
  <si>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</si>
  <si>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</si>
  <si>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</si>
  <si>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</si>
  <si>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</si>
  <si>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</si>
  <si>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</si>
  <si>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</si>
  <si>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</si>
  <si>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</si>
  <si>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</si>
  <si>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</si>
  <si>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</si>
  <si>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</si>
  <si>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</si>
  <si>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</si>
  <si>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</si>
  <si>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</si>
  <si>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</si>
  <si>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</si>
  <si>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</si>
  <si>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</si>
  <si>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</si>
  <si>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</si>
  <si>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</si>
  <si>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</si>
  <si>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</si>
  <si>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</si>
  <si>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</si>
  <si>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</si>
  <si>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</si>
  <si>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</si>
  <si>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</si>
  <si>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</si>
  <si>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</si>
  <si>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</si>
  <si>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</si>
  <si>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</si>
  <si>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</si>
  <si>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</si>
  <si>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</si>
  <si>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</si>
  <si>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</si>
  <si>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</si>
  <si>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</si>
  <si>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</si>
  <si>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</si>
  <si>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</si>
  <si>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</si>
  <si>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</si>
  <si>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</si>
  <si>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</si>
  <si>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</si>
  <si>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</si>
  <si>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</si>
  <si>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</si>
  <si>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</si>
  <si>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</si>
  <si>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</si>
  <si>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</si>
  <si>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</si>
  <si>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</si>
  <si>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</si>
  <si>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</si>
  <si>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</si>
  <si>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</si>
  <si>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</si>
  <si>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</si>
  <si>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</si>
  <si>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</si>
  <si>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</si>
  <si>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</si>
  <si>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</si>
  <si>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</si>
  <si>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</si>
  <si>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</si>
  <si>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</si>
  <si>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</si>
  <si>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</si>
  <si>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</si>
  <si>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</si>
  <si>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</si>
  <si>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</si>
  <si>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</si>
  <si>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</si>
  <si>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</si>
  <si>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</si>
  <si>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</si>
  <si>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</si>
  <si>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</si>
  <si>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</si>
  <si>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</si>
  <si>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</si>
  <si>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</si>
  <si>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</si>
  <si>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</si>
  <si>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</si>
  <si>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</si>
  <si>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</si>
  <si>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</si>
  <si>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</si>
  <si>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</si>
  <si>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</si>
  <si>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</si>
  <si>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</si>
  <si>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</si>
  <si>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</si>
  <si>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</si>
  <si>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</si>
  <si>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</si>
  <si>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</si>
  <si>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</si>
  <si>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</si>
  <si>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</si>
  <si>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</si>
  <si>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</si>
  <si>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</si>
  <si>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</si>
  <si>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</si>
  <si>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</si>
  <si>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</si>
  <si>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</si>
  <si>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</si>
  <si>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</si>
  <si>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</si>
  <si>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</si>
  <si>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</si>
  <si>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</si>
  <si>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</si>
  <si>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</si>
  <si>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</si>
  <si>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</si>
  <si>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</si>
  <si>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</si>
  <si>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</si>
  <si>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</si>
  <si>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</si>
  <si>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</si>
  <si>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</si>
  <si>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</si>
  <si>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</si>
  <si>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</si>
  <si>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</si>
  <si>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</si>
  <si>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</si>
  <si>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</si>
  <si>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</si>
  <si>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</si>
  <si>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</si>
  <si>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</si>
  <si>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</si>
  <si>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</si>
  <si>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</si>
  <si>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</si>
  <si>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</si>
  <si>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</si>
  <si>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</si>
  <si>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</si>
  <si>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</si>
  <si>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</si>
  <si>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</si>
  <si>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</si>
  <si>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</si>
  <si>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</si>
  <si>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</si>
  <si>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</si>
  <si>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</si>
  <si>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</si>
  <si>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</si>
  <si>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</si>
  <si>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</si>
  <si>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</si>
  <si>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</si>
  <si>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</si>
  <si>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</si>
  <si>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</si>
  <si>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</si>
  <si>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</si>
  <si>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</si>
  <si>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</si>
  <si>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</si>
  <si>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</si>
  <si>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</si>
  <si>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</si>
  <si>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</si>
  <si>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</si>
  <si>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</si>
  <si>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</si>
  <si>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</si>
  <si>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</si>
  <si>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</si>
  <si>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</si>
  <si>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</si>
  <si>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</si>
  <si>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</si>
  <si>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</si>
  <si>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</si>
  <si>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</si>
  <si>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</si>
  <si>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</si>
  <si>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</si>
  <si>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</si>
  <si>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</si>
  <si>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</si>
  <si>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</si>
  <si>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</si>
  <si>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</si>
  <si>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</si>
  <si>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</si>
  <si>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</si>
  <si>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</si>
  <si>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</si>
  <si>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</si>
  <si>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</si>
  <si>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</si>
  <si>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</si>
  <si>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</si>
  <si>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</si>
  <si>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</si>
  <si>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</si>
  <si>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</si>
  <si>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</si>
  <si>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</si>
  <si>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</si>
  <si>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</si>
  <si>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</si>
  <si>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</si>
  <si>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</si>
  <si>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</si>
  <si>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</si>
  <si>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</si>
  <si>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</si>
  <si>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</si>
  <si>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</si>
  <si>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</si>
  <si>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</si>
  <si>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</si>
  <si>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</si>
  <si>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</si>
  <si>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</si>
  <si>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</si>
  <si>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</si>
  <si>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</si>
  <si>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</si>
  <si>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</si>
  <si>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</si>
  <si>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</si>
  <si>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</si>
  <si>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</si>
  <si>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</si>
  <si>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</si>
  <si>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</si>
  <si>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</si>
  <si>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</si>
  <si>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</si>
  <si>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</si>
  <si>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</si>
  <si>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</si>
  <si>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</si>
  <si>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</si>
  <si>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</si>
  <si>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</si>
  <si>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</si>
  <si>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</si>
  <si>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</si>
  <si>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</si>
  <si>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</si>
  <si>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</si>
  <si>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</si>
  <si>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</si>
  <si>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</si>
  <si>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</si>
  <si>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</si>
  <si>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</si>
  <si>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</si>
  <si>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</si>
  <si>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</si>
  <si>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</si>
  <si>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</si>
  <si>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</si>
  <si>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</si>
  <si>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</si>
  <si>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</si>
  <si>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</si>
  <si>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</si>
  <si>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</si>
  <si>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</si>
  <si>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</si>
  <si>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</si>
  <si>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</si>
  <si>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</si>
  <si>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</si>
  <si>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</si>
  <si>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</si>
  <si>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</si>
  <si>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</si>
  <si>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</si>
  <si>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</si>
  <si>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</si>
  <si>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</si>
  <si>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</si>
  <si>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</si>
  <si>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</si>
  <si>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</si>
  <si>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</si>
  <si>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</si>
  <si>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</si>
  <si>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</si>
  <si>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</si>
  <si>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</si>
  <si>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</si>
  <si>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</si>
  <si>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</si>
  <si>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</si>
  <si>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</si>
  <si>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</si>
  <si>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</si>
  <si>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</si>
  <si>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</si>
  <si>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</si>
  <si>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</si>
  <si>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</si>
  <si>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</si>
  <si>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</si>
  <si>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</si>
  <si>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</si>
  <si>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</si>
  <si>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</si>
  <si>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</si>
  <si>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</si>
  <si>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</si>
  <si>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</si>
  <si>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</si>
  <si>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</si>
  <si>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</si>
  <si>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</si>
  <si>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</si>
  <si>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</si>
  <si>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</si>
  <si>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</si>
  <si>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</si>
  <si>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</si>
  <si>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</si>
  <si>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</si>
  <si>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</si>
  <si>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</si>
  <si>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</si>
  <si>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</si>
  <si>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</si>
  <si>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</si>
  <si>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</si>
  <si>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</si>
  <si>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</si>
  <si>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</si>
  <si>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</si>
  <si>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</si>
  <si>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</si>
  <si>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</si>
  <si>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</si>
  <si>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</si>
  <si>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</si>
  <si>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</si>
  <si>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</si>
  <si>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</si>
  <si>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</si>
  <si>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</si>
  <si>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</si>
  <si>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</si>
  <si>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</si>
  <si>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</si>
  <si>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</si>
  <si>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</si>
  <si>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</si>
  <si>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</si>
  <si>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</si>
  <si>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</si>
  <si>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</si>
  <si>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</si>
  <si>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</si>
  <si>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</si>
  <si>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</si>
  <si>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</si>
  <si>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</si>
  <si>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</si>
  <si>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</si>
  <si>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</si>
  <si>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</si>
  <si>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</si>
  <si>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</si>
  <si>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</si>
  <si>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</si>
  <si>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</si>
  <si>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</si>
  <si>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</si>
  <si>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</si>
  <si>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</si>
  <si>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</si>
  <si>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</si>
  <si>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</si>
  <si>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</si>
  <si>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</si>
  <si>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</si>
  <si>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</si>
  <si>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</si>
  <si>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</si>
  <si>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</si>
  <si>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</si>
  <si>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</si>
  <si>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</si>
  <si>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</si>
  <si>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</si>
  <si>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</si>
  <si>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</si>
  <si>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</si>
  <si>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</si>
  <si>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</si>
  <si>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</si>
  <si>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</si>
  <si>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</si>
  <si>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</si>
  <si>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</si>
  <si>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</si>
  <si>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</si>
  <si>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</si>
  <si>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</si>
  <si>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</si>
  <si>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</si>
  <si>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</si>
  <si>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</si>
  <si>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</si>
  <si>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</si>
  <si>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</si>
  <si>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</si>
  <si>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</si>
  <si>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</si>
  <si>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</si>
  <si>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</si>
  <si>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</si>
  <si>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</si>
  <si>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</si>
  <si>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</si>
  <si>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</si>
  <si>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</si>
  <si>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</si>
  <si>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</si>
  <si>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</si>
  <si>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</si>
  <si>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</si>
  <si>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</si>
  <si>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</si>
  <si>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</si>
  <si>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</si>
  <si>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</si>
  <si>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</si>
  <si>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</si>
  <si>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</si>
  <si>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</si>
  <si>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</si>
  <si>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</si>
  <si>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</si>
  <si>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</si>
  <si>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</si>
  <si>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</si>
  <si>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</si>
  <si>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</si>
  <si>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</si>
  <si>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</si>
  <si>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</si>
  <si>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</si>
  <si>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</si>
  <si>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</si>
  <si>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</si>
  <si>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</si>
  <si>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</si>
  <si>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</si>
  <si>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</si>
  <si>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</si>
  <si>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</si>
  <si>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</si>
  <si>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</si>
  <si>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</si>
  <si>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</si>
  <si>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</si>
  <si>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</si>
  <si>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</si>
  <si>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</si>
  <si>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</si>
  <si>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</si>
  <si>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</si>
  <si>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</si>
  <si>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</si>
  <si>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</si>
  <si>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</si>
  <si>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</si>
  <si>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</si>
  <si>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</si>
  <si>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</si>
  <si>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</si>
  <si>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</si>
  <si>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</si>
  <si>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</si>
  <si>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</si>
  <si>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</si>
  <si>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</si>
  <si>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</si>
  <si>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</si>
  <si>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</si>
  <si>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</si>
  <si>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</si>
  <si>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</si>
  <si>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</si>
  <si>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</si>
  <si>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</si>
  <si>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</si>
  <si>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</si>
  <si>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</si>
  <si>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</si>
  <si>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</si>
  <si>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</si>
  <si>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</si>
  <si>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</si>
  <si>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</si>
  <si>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</si>
  <si>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</si>
  <si>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</si>
  <si>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</si>
  <si>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</si>
  <si>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</si>
  <si>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</si>
  <si>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</si>
  <si>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</si>
  <si>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</si>
  <si>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</si>
  <si>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</si>
  <si>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</si>
  <si>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</si>
  <si>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</si>
  <si>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</si>
  <si>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</si>
  <si>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</si>
  <si>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</si>
  <si>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</si>
  <si>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</si>
  <si>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</si>
  <si>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</si>
  <si>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</si>
  <si>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</si>
  <si>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</si>
  <si>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</si>
  <si>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</si>
  <si>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</si>
  <si>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</si>
  <si>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</si>
  <si>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</si>
  <si>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</si>
  <si>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</si>
  <si>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</si>
  <si>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</si>
  <si>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</si>
  <si>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</si>
  <si>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</si>
  <si>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</si>
  <si>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</si>
  <si>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</si>
  <si>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</si>
  <si>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</si>
  <si>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</si>
  <si>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</si>
  <si>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</si>
  <si>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</si>
  <si>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</si>
  <si>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</si>
  <si>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</si>
  <si>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</si>
  <si>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</si>
  <si>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</si>
  <si>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</si>
  <si>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</si>
  <si>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</si>
  <si>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</si>
  <si>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</si>
  <si>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</si>
  <si>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</si>
  <si>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</si>
  <si>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</si>
  <si>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</si>
  <si>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</si>
  <si>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</si>
  <si>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</si>
  <si>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</si>
  <si>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</si>
  <si>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</si>
  <si>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</si>
  <si>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</si>
  <si>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</si>
  <si>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</si>
  <si>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</si>
  <si>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</si>
  <si>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</si>
  <si>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</si>
  <si>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</si>
  <si>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</si>
  <si>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</si>
  <si>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</si>
  <si>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</si>
  <si>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</si>
  <si>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</si>
  <si>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</si>
  <si>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</si>
  <si>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</si>
  <si>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</si>
  <si>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</si>
  <si>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</si>
  <si>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</si>
  <si>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</si>
  <si>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</si>
  <si>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</si>
  <si>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</si>
  <si>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</si>
  <si>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</si>
  <si>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</si>
  <si>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</si>
  <si>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</si>
  <si>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</si>
  <si>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</si>
  <si>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</si>
  <si>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</si>
  <si>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</si>
  <si>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</si>
  <si>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</si>
  <si>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</si>
  <si>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</si>
  <si>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</si>
  <si>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</si>
  <si>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</si>
  <si>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</si>
  <si>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</si>
  <si>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</si>
  <si>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</si>
  <si>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</si>
  <si>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</si>
  <si>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</si>
  <si>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</si>
  <si>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</si>
  <si>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</si>
  <si>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</si>
  <si>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</si>
  <si>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</si>
  <si>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</si>
  <si>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</si>
  <si>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</si>
  <si>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</si>
  <si>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</si>
  <si>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</si>
  <si>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</si>
  <si>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</si>
  <si>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</si>
  <si>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</si>
  <si>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</si>
  <si>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</si>
  <si>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</si>
  <si>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</si>
  <si>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</si>
  <si>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</si>
  <si>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</si>
  <si>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</si>
  <si>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</si>
  <si>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</si>
  <si>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</si>
  <si>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</si>
  <si>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</si>
  <si>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</si>
  <si>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</si>
  <si>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</si>
  <si>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</si>
  <si>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</si>
  <si>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</si>
  <si>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</si>
  <si>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</si>
  <si>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</si>
  <si>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</si>
  <si>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</si>
  <si>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</si>
  <si>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</si>
  <si>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</si>
  <si>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</si>
  <si>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</si>
  <si>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</si>
  <si>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</si>
  <si>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</si>
  <si>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</si>
  <si>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</si>
  <si>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</si>
  <si>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</si>
  <si>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</si>
  <si>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</si>
  <si>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</si>
  <si>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</si>
  <si>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</si>
  <si>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</si>
  <si>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</si>
  <si>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</si>
  <si>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</si>
  <si>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</si>
  <si>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</si>
  <si>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</si>
  <si>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</si>
  <si>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</si>
  <si>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</si>
  <si>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</si>
  <si>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</si>
  <si>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</si>
  <si>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</si>
  <si>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</si>
  <si>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</si>
  <si>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</si>
  <si>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</si>
  <si>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</si>
  <si>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</si>
  <si>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</si>
  <si>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</si>
  <si>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</si>
  <si>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</si>
  <si>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</si>
  <si>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</si>
  <si>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</si>
  <si>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</si>
  <si>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</si>
  <si>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</si>
  <si>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</si>
  <si>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</si>
  <si>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</si>
  <si>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</si>
  <si>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</si>
  <si>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</si>
  <si>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</si>
  <si>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</si>
  <si>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</si>
  <si>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</si>
  <si>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</si>
  <si>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</si>
  <si>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</si>
  <si>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</si>
  <si>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</si>
  <si>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</si>
  <si>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</si>
  <si>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</si>
  <si>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</si>
  <si>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</si>
  <si>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</si>
  <si>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</si>
  <si>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</si>
  <si>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</si>
  <si>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</si>
  <si>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</si>
  <si>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</si>
  <si>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</si>
  <si>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</si>
  <si>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</si>
  <si>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</si>
  <si>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</si>
  <si>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</si>
  <si>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</si>
  <si>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</si>
  <si>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</si>
  <si>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</si>
  <si>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</si>
  <si>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</si>
  <si>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</si>
  <si>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</si>
  <si>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</si>
  <si>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</si>
  <si>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</si>
  <si>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</si>
  <si>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</si>
  <si>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</si>
  <si>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</si>
  <si>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</si>
  <si>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</si>
  <si>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</si>
  <si>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</si>
  <si>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</si>
  <si>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</si>
  <si>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</si>
  <si>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</si>
  <si>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</si>
  <si>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</si>
  <si>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</si>
  <si>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</si>
  <si>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</si>
  <si>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</si>
  <si>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</si>
  <si>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</si>
  <si>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</si>
  <si>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</si>
  <si>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</si>
  <si>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</si>
  <si>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</si>
  <si>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</si>
  <si>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</si>
  <si>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</si>
  <si>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</si>
  <si>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</si>
  <si>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</si>
  <si>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</si>
  <si>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</si>
  <si>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</si>
  <si>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</si>
  <si>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</si>
  <si>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</si>
  <si>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</si>
  <si>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</si>
  <si>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</si>
  <si>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</si>
  <si>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</si>
  <si>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</si>
  <si>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</si>
  <si>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</si>
  <si>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</si>
  <si>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</si>
  <si>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</si>
  <si>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</si>
  <si>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</si>
  <si>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</si>
  <si>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</si>
  <si>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</si>
  <si>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</si>
  <si>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</si>
  <si>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</si>
  <si>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</si>
  <si>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</si>
  <si>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</si>
  <si>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</si>
  <si>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</si>
  <si>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</si>
  <si>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</si>
  <si>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</si>
  <si>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</si>
  <si>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</si>
  <si>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</si>
  <si>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</si>
  <si>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</si>
  <si>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</si>
  <si>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</si>
  <si>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</si>
  <si>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</si>
  <si>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</si>
  <si>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</si>
  <si>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</si>
  <si>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</si>
  <si>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</si>
  <si>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</si>
  <si>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</si>
  <si>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</si>
  <si>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</si>
  <si>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</si>
  <si>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</si>
  <si>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</si>
  <si>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</si>
  <si>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</si>
  <si>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</si>
  <si>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</si>
  <si>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</si>
  <si>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</si>
  <si>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</si>
  <si>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</si>
  <si>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</si>
  <si>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</si>
  <si>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</si>
  <si>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</si>
  <si>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</si>
  <si>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</si>
  <si>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</si>
  <si>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</si>
  <si>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</si>
  <si>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</si>
  <si>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</si>
  <si>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</si>
  <si>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</si>
  <si>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</si>
  <si>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</si>
  <si>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</si>
  <si>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</si>
  <si>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</si>
  <si>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</si>
  <si>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</si>
  <si>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</si>
  <si>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</si>
  <si>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</si>
  <si>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</si>
  <si>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</si>
  <si>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</si>
  <si>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</si>
  <si>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</si>
  <si>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</si>
  <si>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</si>
  <si>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</si>
  <si>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</si>
  <si>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</si>
  <si>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</si>
  <si>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</si>
  <si>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</si>
  <si>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</si>
  <si>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</si>
  <si>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</si>
  <si>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</si>
  <si>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</si>
  <si>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</si>
  <si>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</si>
  <si>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</si>
  <si>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</si>
  <si>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</si>
  <si>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</si>
  <si>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</si>
  <si>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</si>
  <si>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</si>
  <si>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</si>
  <si>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</si>
  <si>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</si>
  <si>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</si>
  <si>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</si>
  <si>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</si>
  <si>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</si>
  <si>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</si>
  <si>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</si>
  <si>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</si>
  <si>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</si>
  <si>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</si>
  <si>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</si>
  <si>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</si>
  <si>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</si>
  <si>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</si>
  <si>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</si>
  <si>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</si>
  <si>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</si>
  <si>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</si>
  <si>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</si>
  <si>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</si>
  <si>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</si>
  <si>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</si>
  <si>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</si>
  <si>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</si>
  <si>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</si>
  <si>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</si>
  <si>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</si>
  <si>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</si>
  <si>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</si>
  <si>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</si>
  <si>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</si>
  <si>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</si>
  <si>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</si>
  <si>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</si>
  <si>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</si>
  <si>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</si>
  <si>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</si>
  <si>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</si>
  <si>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</si>
  <si>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</si>
  <si>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</si>
  <si>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</si>
  <si>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</si>
  <si>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</si>
  <si>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</si>
  <si>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</si>
  <si>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</si>
  <si>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</si>
  <si>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</si>
  <si>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</si>
  <si>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</si>
  <si>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</si>
  <si>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</si>
  <si>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</si>
  <si>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</si>
  <si>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</si>
  <si>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</si>
  <si>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</si>
  <si>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</si>
  <si>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</si>
  <si>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</si>
  <si>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</si>
  <si>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</si>
  <si>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</si>
  <si>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</si>
  <si>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</si>
  <si>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</si>
  <si>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</si>
  <si>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</si>
  <si>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</si>
  <si>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</si>
  <si>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</si>
  <si>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</si>
  <si>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</si>
  <si>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</si>
  <si>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</si>
  <si>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</si>
  <si>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</si>
  <si>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</si>
  <si>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</si>
  <si>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</si>
  <si>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</si>
  <si>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</si>
  <si>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</si>
  <si>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</si>
  <si>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</si>
  <si>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</si>
  <si>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</si>
  <si>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</si>
  <si>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</si>
  <si>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</si>
  <si>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</si>
  <si>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</si>
  <si>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</si>
  <si>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</si>
  <si>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</si>
  <si>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</si>
  <si>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</si>
  <si>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</si>
  <si>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</si>
  <si>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</si>
  <si>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</si>
  <si>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</si>
  <si>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</si>
  <si>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</si>
  <si>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</si>
  <si>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</si>
  <si>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</si>
  <si>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</si>
  <si>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</si>
  <si>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</si>
  <si>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</si>
  <si>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</si>
  <si>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</si>
  <si>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</si>
  <si>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</si>
  <si>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</si>
  <si>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</si>
  <si>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</si>
  <si>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</si>
  <si>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</si>
  <si>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</si>
  <si>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</si>
  <si>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</si>
  <si>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</si>
  <si>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</si>
  <si>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</si>
  <si>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</si>
  <si>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</si>
  <si>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</si>
  <si>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</si>
  <si>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</si>
  <si>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</si>
  <si>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</si>
  <si>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</si>
  <si>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</si>
  <si>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</si>
  <si>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</si>
  <si>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</si>
  <si>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</si>
  <si>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</si>
  <si>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</si>
  <si>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</si>
  <si>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</si>
  <si>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</si>
  <si>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</si>
  <si>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</si>
  <si>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</si>
  <si>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</si>
  <si>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</si>
  <si>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</si>
  <si>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</si>
  <si>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</si>
  <si>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</si>
  <si>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</si>
  <si>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</si>
  <si>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</si>
  <si>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</si>
  <si>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</si>
  <si>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</si>
  <si>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</si>
  <si>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</si>
  <si>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</si>
  <si>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</si>
  <si>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</si>
  <si>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</si>
  <si>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</si>
  <si>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</si>
  <si>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</si>
  <si>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</si>
  <si>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</si>
  <si>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</si>
  <si>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</si>
  <si>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</si>
  <si>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</si>
  <si>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</si>
  <si>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</si>
  <si>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</si>
  <si>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</si>
  <si>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</si>
  <si>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</si>
  <si>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</si>
  <si>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</si>
  <si>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</si>
  <si>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</si>
  <si>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</si>
  <si>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</si>
  <si>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</si>
  <si>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</si>
  <si>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</si>
  <si>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</si>
  <si>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</si>
  <si>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</si>
  <si>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</si>
  <si>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</si>
  <si>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</si>
  <si>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</si>
  <si>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</si>
  <si>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</si>
  <si>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</si>
  <si>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</si>
  <si>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</si>
  <si>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</si>
  <si>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</si>
  <si>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</si>
  <si>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</si>
  <si>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</si>
  <si>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</si>
  <si>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</si>
  <si>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</si>
  <si>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</si>
  <si>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</si>
  <si>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</si>
  <si>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</si>
  <si>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</si>
  <si>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</si>
  <si>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</si>
  <si>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</si>
  <si>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</si>
  <si>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</si>
  <si>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</si>
  <si>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</si>
  <si>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</si>
  <si>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</si>
  <si>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</si>
  <si>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</si>
  <si>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</si>
  <si>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</si>
  <si>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</si>
  <si>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</si>
  <si>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</si>
  <si>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</si>
  <si>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</si>
  <si>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</si>
  <si>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</si>
  <si>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</si>
  <si>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</si>
  <si>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</si>
  <si>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</si>
  <si>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</si>
  <si>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</si>
  <si>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</si>
  <si>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</si>
  <si>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</si>
  <si>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</si>
  <si>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</si>
  <si>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</si>
  <si>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</si>
  <si>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</si>
  <si>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</si>
  <si>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</si>
  <si>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</si>
  <si>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</si>
  <si>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</si>
  <si>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</si>
  <si>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</si>
  <si>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</si>
  <si>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</si>
  <si>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</si>
  <si>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</si>
  <si>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</si>
  <si>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</si>
  <si>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</si>
  <si>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</si>
  <si>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</si>
  <si>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</si>
  <si>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</si>
  <si>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</si>
  <si>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</si>
  <si>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</si>
  <si>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</si>
  <si>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</si>
  <si>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</si>
  <si>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</si>
  <si>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</si>
  <si>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</si>
  <si>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</si>
  <si>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</si>
  <si>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</si>
  <si>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</si>
  <si>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</si>
  <si>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</si>
  <si>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</si>
  <si>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</si>
  <si>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</si>
  <si>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</si>
  <si>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</si>
  <si>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</si>
  <si>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</si>
  <si>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</si>
  <si>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</si>
  <si>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</si>
  <si>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</si>
  <si>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</si>
  <si>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</si>
  <si>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</si>
  <si>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</si>
  <si>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</si>
  <si>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</si>
  <si>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</si>
  <si>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</si>
  <si>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</si>
  <si>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</si>
  <si>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</si>
  <si>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</si>
  <si>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</si>
  <si>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</si>
  <si>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</si>
  <si>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</si>
  <si>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</si>
  <si>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</si>
  <si>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</si>
  <si>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</si>
  <si>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</si>
  <si>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</si>
  <si>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</si>
  <si>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</si>
  <si>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</si>
  <si>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</si>
  <si>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</si>
  <si>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</si>
  <si>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</si>
  <si>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</si>
  <si>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</si>
  <si>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</si>
  <si>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</si>
  <si>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</si>
  <si>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</si>
  <si>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</si>
  <si>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</si>
  <si>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</si>
  <si>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</si>
  <si>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</si>
  <si>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</si>
  <si>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</si>
  <si>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</si>
  <si>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</si>
  <si>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</si>
  <si>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</si>
  <si>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</si>
  <si>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</si>
  <si>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</si>
  <si>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</si>
  <si>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</si>
  <si>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</si>
  <si>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</si>
  <si>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</si>
  <si>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</si>
  <si>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</si>
  <si>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</si>
  <si>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</si>
  <si>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</si>
  <si>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</si>
  <si>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</si>
  <si>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</si>
  <si>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</si>
  <si>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</si>
  <si>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</si>
  <si>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</si>
  <si>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</si>
  <si>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</si>
  <si>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</si>
  <si>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</si>
  <si>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</si>
  <si>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</si>
  <si>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</si>
  <si>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</si>
  <si>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</si>
  <si>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</si>
  <si>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</si>
  <si>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</si>
  <si>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</si>
  <si>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</si>
  <si>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</si>
  <si>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</si>
  <si>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</si>
  <si>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</si>
  <si>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</si>
  <si>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</si>
  <si>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</si>
  <si>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</si>
  <si>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</si>
  <si>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</si>
  <si>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</si>
  <si>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</si>
  <si>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</si>
  <si>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</si>
  <si>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</si>
  <si>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</si>
  <si>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</si>
  <si>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</si>
  <si>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</si>
  <si>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</si>
  <si>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</si>
  <si>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</si>
  <si>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</si>
  <si>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</si>
  <si>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</si>
  <si>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</si>
  <si>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</si>
  <si>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</si>
  <si>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</si>
  <si>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</si>
  <si>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</si>
  <si>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</si>
  <si>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</si>
  <si>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</si>
  <si>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</si>
  <si>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</si>
  <si>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</si>
  <si>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</si>
  <si>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</si>
  <si>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</si>
  <si>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</si>
  <si>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</si>
  <si>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</si>
  <si>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</si>
  <si>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</si>
  <si>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</si>
  <si>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</si>
  <si>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</si>
  <si>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</si>
  <si>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</si>
  <si>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</si>
  <si>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</si>
  <si>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</si>
  <si>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</si>
  <si>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</si>
  <si>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</si>
  <si>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</si>
  <si>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</si>
  <si>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</si>
  <si>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</si>
  <si>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</si>
  <si>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</si>
  <si>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</si>
  <si>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</si>
  <si>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</si>
  <si>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</si>
  <si>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</si>
  <si>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</si>
  <si>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</si>
  <si>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</si>
  <si>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</si>
  <si>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</si>
  <si>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</si>
  <si>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</si>
  <si>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</si>
  <si>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</si>
  <si>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</si>
  <si>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</si>
  <si>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</si>
  <si>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</si>
  <si>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</si>
  <si>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</si>
  <si>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</si>
  <si>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</si>
  <si>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</si>
  <si>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</si>
  <si>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</si>
  <si>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</si>
  <si>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</si>
  <si>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</si>
  <si>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</si>
  <si>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</si>
  <si>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</si>
  <si>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</si>
  <si>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</si>
  <si>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</si>
  <si>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</si>
  <si>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</si>
  <si>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</si>
  <si>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</si>
  <si>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</si>
  <si>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</si>
  <si>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</si>
  <si>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</si>
  <si>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</si>
  <si>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</si>
  <si>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</si>
  <si>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</si>
  <si>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</si>
  <si>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</si>
  <si>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</si>
  <si>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</si>
  <si>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</si>
  <si>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</si>
  <si>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</si>
  <si>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</si>
  <si>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</si>
  <si>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</si>
  <si>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</si>
  <si>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</si>
  <si>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</si>
  <si>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</si>
  <si>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</si>
  <si>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</si>
  <si>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</si>
  <si>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</si>
  <si>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</si>
  <si>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</si>
  <si>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</si>
  <si>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</si>
  <si>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</si>
  <si>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</si>
  <si>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</si>
  <si>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</si>
  <si>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</si>
  <si>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</si>
  <si>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</si>
  <si>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</si>
  <si>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</si>
  <si>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</si>
  <si>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</si>
  <si>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</si>
  <si>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</si>
  <si>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</si>
  <si>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</si>
  <si>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</si>
  <si>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</si>
  <si>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</si>
  <si>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</si>
  <si>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</si>
  <si>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</si>
  <si>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</si>
  <si>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</si>
  <si>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</si>
  <si>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</si>
  <si>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</si>
  <si>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</si>
  <si>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</si>
  <si>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</si>
  <si>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</si>
  <si>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</si>
  <si>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</si>
  <si>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</si>
  <si>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</si>
  <si>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</si>
  <si>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</si>
  <si>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</si>
  <si>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</si>
  <si>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</si>
  <si>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</si>
  <si>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</si>
  <si>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</si>
  <si>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</si>
  <si>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</si>
  <si>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</si>
  <si>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</si>
  <si>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</si>
  <si>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</si>
  <si>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</si>
  <si>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</si>
  <si>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</si>
  <si>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</si>
  <si>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</si>
  <si>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</si>
  <si>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</si>
  <si>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</si>
  <si>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</si>
  <si>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</si>
  <si>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</si>
  <si>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</si>
  <si>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</si>
  <si>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</si>
  <si>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</si>
  <si>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</si>
  <si>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</si>
  <si>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</si>
  <si>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</si>
  <si>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</si>
  <si>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</si>
  <si>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</si>
  <si>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</si>
  <si>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</si>
  <si>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</si>
  <si>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</si>
  <si>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</si>
  <si>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</si>
  <si>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</si>
  <si>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</si>
  <si>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</si>
  <si>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</si>
  <si>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</si>
  <si>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</si>
  <si>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</si>
  <si>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</si>
  <si>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</si>
  <si>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</si>
  <si>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</si>
  <si>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</si>
  <si>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</si>
  <si>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</si>
  <si>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</si>
  <si>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</si>
  <si>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</si>
  <si>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</si>
  <si>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</si>
  <si>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</si>
  <si>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</si>
  <si>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</si>
  <si>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</si>
  <si>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</si>
  <si>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</si>
  <si>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</si>
  <si>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</si>
  <si>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</si>
  <si>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</si>
  <si>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</si>
  <si>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</si>
  <si>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</si>
  <si>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</si>
  <si>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</si>
  <si>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</si>
  <si>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</si>
  <si>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</si>
  <si>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</si>
  <si>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</si>
  <si>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</si>
  <si>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</si>
  <si>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</si>
  <si>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</si>
  <si>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</si>
  <si>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</si>
  <si>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</si>
  <si>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</si>
  <si>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</si>
  <si>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</si>
  <si>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</si>
  <si>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</si>
  <si>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</si>
  <si>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</si>
  <si>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</si>
  <si>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</si>
  <si>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</si>
  <si>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</si>
  <si>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</si>
  <si>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</si>
  <si>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</si>
  <si>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</si>
  <si>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</si>
  <si>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</si>
  <si>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</si>
  <si>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</si>
  <si>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</si>
  <si>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</si>
  <si>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</si>
  <si>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</si>
  <si>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</si>
  <si>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</si>
  <si>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</si>
  <si>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</si>
  <si>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</si>
  <si>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</si>
  <si>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</si>
  <si>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</si>
  <si>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</si>
  <si>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</si>
  <si>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</si>
  <si>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</si>
  <si>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</si>
  <si>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</si>
  <si>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</si>
  <si>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</si>
  <si>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</si>
  <si>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</si>
  <si>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</si>
  <si>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</si>
  <si>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</si>
  <si>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</si>
  <si>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</si>
  <si>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</si>
  <si>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</si>
  <si>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</si>
  <si>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</si>
  <si>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</si>
  <si>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</si>
  <si>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</si>
  <si>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</si>
  <si>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</si>
  <si>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</si>
  <si>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</si>
  <si>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</si>
  <si>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</si>
  <si>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</si>
  <si>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</si>
  <si>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</si>
  <si>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</si>
  <si>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</si>
  <si>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</si>
  <si>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</si>
  <si>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</si>
  <si>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</si>
  <si>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</si>
  <si>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</si>
  <si>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</si>
  <si>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</si>
  <si>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</si>
  <si>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</si>
  <si>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</si>
  <si>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</si>
  <si>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</si>
  <si>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</si>
  <si>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</si>
  <si>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</si>
  <si>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</si>
  <si>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</si>
  <si>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</si>
  <si>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</si>
  <si>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</si>
  <si>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</si>
  <si>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</si>
  <si>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</si>
  <si>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</si>
  <si>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</si>
  <si>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</si>
  <si>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</si>
  <si>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</si>
  <si>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</si>
  <si>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</si>
  <si>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</si>
  <si>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</si>
  <si>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</si>
  <si>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</si>
  <si>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</si>
  <si>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</si>
  <si>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</si>
  <si>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</si>
  <si>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</si>
  <si>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</si>
  <si>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</si>
  <si>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</si>
  <si>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</si>
  <si>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</si>
  <si>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</si>
  <si>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</si>
  <si>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</si>
  <si>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</si>
  <si>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</si>
  <si>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</si>
  <si>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</si>
  <si>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</si>
  <si>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</si>
  <si>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</si>
  <si>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</si>
  <si>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</si>
  <si>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</si>
  <si>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</si>
  <si>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</si>
  <si>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</si>
  <si>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</si>
  <si>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</si>
  <si>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</si>
  <si>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</si>
  <si>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</si>
  <si>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</si>
  <si>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</si>
  <si>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</si>
  <si>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</si>
  <si>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</si>
  <si>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</si>
  <si>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</si>
  <si>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</si>
  <si>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</si>
  <si>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</si>
  <si>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</si>
  <si>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</si>
  <si>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</si>
  <si>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</si>
  <si>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</si>
  <si>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</si>
  <si>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</si>
  <si>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</si>
  <si>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</si>
  <si>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</si>
  <si>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</si>
  <si>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</si>
  <si>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</si>
  <si>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</si>
  <si>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</si>
  <si>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</si>
  <si>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</si>
  <si>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</si>
  <si>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</si>
  <si>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</si>
  <si>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</si>
  <si>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</si>
  <si>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</si>
  <si>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</si>
  <si>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</si>
  <si>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</si>
  <si>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</si>
  <si>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</si>
  <si>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</si>
  <si>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</si>
  <si>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</si>
  <si>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</si>
  <si>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</si>
  <si>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</si>
  <si>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</si>
  <si>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</si>
  <si>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</si>
  <si>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</si>
  <si>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</si>
  <si>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</si>
  <si>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</si>
  <si>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</si>
  <si>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</si>
  <si>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</si>
  <si>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</si>
  <si>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</si>
  <si>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</si>
  <si>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</si>
  <si>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</si>
  <si>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</si>
  <si>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</si>
  <si>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</si>
  <si>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</si>
  <si>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</si>
  <si>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</si>
  <si>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</si>
  <si>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</si>
  <si>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</si>
  <si>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</si>
  <si>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</si>
  <si>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</si>
  <si>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</si>
  <si>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</si>
  <si>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</si>
  <si>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</si>
  <si>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</si>
  <si>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</si>
  <si>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</si>
  <si>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</si>
  <si>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</si>
  <si>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</si>
  <si>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</si>
  <si>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</si>
  <si>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</si>
  <si>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</si>
  <si>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</si>
  <si>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</si>
  <si>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</si>
  <si>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</si>
  <si>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</si>
  <si>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</si>
  <si>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</si>
  <si>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</si>
  <si>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</si>
  <si>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</si>
  <si>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</si>
  <si>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</si>
  <si>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</si>
  <si>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</si>
  <si>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</si>
  <si>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</si>
  <si>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</si>
  <si>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</si>
  <si>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</si>
  <si>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</si>
  <si>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</si>
  <si>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</si>
  <si>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</si>
  <si>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</si>
  <si>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</si>
  <si>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</si>
  <si>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</si>
  <si>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</si>
  <si>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</si>
  <si>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</si>
  <si>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</si>
  <si>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</si>
  <si>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</si>
  <si>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</si>
  <si>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</si>
  <si>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</si>
  <si>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</si>
  <si>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</si>
  <si>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</si>
  <si>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</si>
  <si>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</si>
  <si>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</si>
  <si>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</si>
  <si>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</si>
  <si>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</si>
  <si>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</si>
  <si>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</si>
  <si>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</si>
  <si>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</si>
  <si>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</si>
  <si>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</si>
  <si>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</si>
  <si>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</si>
  <si>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</si>
  <si>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</si>
  <si>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</si>
  <si>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</si>
  <si>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</si>
  <si>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</si>
  <si>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</si>
  <si>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</si>
  <si>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</si>
  <si>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</si>
  <si>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</si>
  <si>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</si>
  <si>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</si>
  <si>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</si>
  <si>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</si>
  <si>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</si>
  <si>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</si>
  <si>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</si>
  <si>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</si>
  <si>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</si>
  <si>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</si>
  <si>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</si>
  <si>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</si>
  <si>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</si>
  <si>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</si>
  <si>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</si>
  <si>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</si>
  <si>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</si>
  <si>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</si>
  <si>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</si>
  <si>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</si>
  <si>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</si>
  <si>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</si>
  <si>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</si>
  <si>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</si>
  <si>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</si>
  <si>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</si>
  <si>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</si>
  <si>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</si>
  <si>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</si>
  <si>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</si>
  <si>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</si>
  <si>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</si>
  <si>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</si>
  <si>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</si>
  <si>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</si>
  <si>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</si>
  <si>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</si>
  <si>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</si>
  <si>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</si>
  <si>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</si>
  <si>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</si>
  <si>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</si>
  <si>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</si>
  <si>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</si>
  <si>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</si>
  <si>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</si>
  <si>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</si>
  <si>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</si>
  <si>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</si>
  <si>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</si>
  <si>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</si>
  <si>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</si>
  <si>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</si>
  <si>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</si>
  <si>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</si>
  <si>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</si>
  <si>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</si>
  <si>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</si>
  <si>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</si>
  <si>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</si>
  <si>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</si>
  <si>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</si>
  <si>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</si>
  <si>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</si>
  <si>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</si>
  <si>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</si>
  <si>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</si>
  <si>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</si>
  <si>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</si>
  <si>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</si>
  <si>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</si>
  <si>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</si>
  <si>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</si>
  <si>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</si>
  <si>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</si>
  <si>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</si>
  <si>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</si>
  <si>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</si>
  <si>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</si>
  <si>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</si>
  <si>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</si>
  <si>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</si>
  <si>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</si>
  <si>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</si>
  <si>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</si>
  <si>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</si>
  <si>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</si>
  <si>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</si>
  <si>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</si>
  <si>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</si>
  <si>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</si>
  <si>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</si>
  <si>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</si>
  <si>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</si>
  <si>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</si>
  <si>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</si>
  <si>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</si>
  <si>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</si>
  <si>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</si>
  <si>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</si>
  <si>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</si>
  <si>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</si>
  <si>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</si>
  <si>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</si>
  <si>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</si>
  <si>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</si>
  <si>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</si>
  <si>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</si>
  <si>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</si>
  <si>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</si>
  <si>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</si>
  <si>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</si>
  <si>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</si>
  <si>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</si>
  <si>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</si>
  <si>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</si>
  <si>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</si>
  <si>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</si>
  <si>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</si>
  <si>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</si>
  <si>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</si>
  <si>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</si>
  <si>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</si>
  <si>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</si>
  <si>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</si>
  <si>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</si>
  <si>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</si>
  <si>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</si>
  <si>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</si>
  <si>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</si>
  <si>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</si>
  <si>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</si>
  <si>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</si>
  <si>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</si>
  <si>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</si>
  <si>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核定资产</t>
  </si>
  <si>
    <t>北京市</t>
  </si>
  <si>
    <t>企业</t>
  </si>
  <si>
    <t>否</t>
  </si>
  <si>
    <t>商业项目</t>
  </si>
  <si>
    <t>现房</t>
  </si>
  <si>
    <t>乡村建设规划许可证</t>
    <phoneticPr fontId="134" type="noConversion"/>
  </si>
  <si>
    <r>
      <t>1</t>
    </r>
    <r>
      <rPr>
        <sz val="11"/>
        <color theme="1"/>
        <rFont val="宋体"/>
        <family val="3"/>
        <charset val="134"/>
        <scheme val="minor"/>
      </rPr>
      <t>7#产业楼</t>
    </r>
    <phoneticPr fontId="134" type="noConversion"/>
  </si>
  <si>
    <t>总建筑面积</t>
    <phoneticPr fontId="134" type="noConversion"/>
  </si>
  <si>
    <t>地上建筑面积</t>
    <phoneticPr fontId="134" type="noConversion"/>
  </si>
  <si>
    <t>地下建筑面积</t>
    <phoneticPr fontId="134" type="noConversion"/>
  </si>
  <si>
    <t>地上</t>
  </si>
  <si>
    <t>地下</t>
  </si>
  <si>
    <t>地上层数</t>
    <phoneticPr fontId="134" type="noConversion"/>
  </si>
  <si>
    <t>地下层数</t>
    <phoneticPr fontId="134" type="noConversion"/>
  </si>
  <si>
    <t>人防总面积</t>
    <phoneticPr fontId="134" type="noConversion"/>
  </si>
  <si>
    <t>其中地上人防面积</t>
    <phoneticPr fontId="134" type="noConversion"/>
  </si>
  <si>
    <t>地下人防面积</t>
    <phoneticPr fontId="134" type="noConversion"/>
  </si>
  <si>
    <r>
      <t>本次评估地下1层、1层商业租金及</t>
    </r>
    <r>
      <rPr>
        <sz val="11"/>
        <color theme="1"/>
        <rFont val="宋体"/>
        <family val="3"/>
        <charset val="134"/>
        <scheme val="minor"/>
      </rPr>
      <t>2层办公租金</t>
    </r>
    <phoneticPr fontId="134" type="noConversion"/>
  </si>
  <si>
    <t>地下1层面积</t>
    <phoneticPr fontId="134" type="noConversion"/>
  </si>
  <si>
    <t>经现场查勘，地上1层已有五间使用，本次评估扣除已使用的五间，经委托人确认，五间面积为500平方米；经委托方介绍地下2层为人防</t>
    <phoneticPr fontId="134" type="noConversion"/>
  </si>
  <si>
    <t>1层面积</t>
    <phoneticPr fontId="134" type="noConversion"/>
  </si>
  <si>
    <t>2层面积</t>
    <phoneticPr fontId="134" type="noConversion"/>
  </si>
  <si>
    <t>本次评估总面积</t>
    <phoneticPr fontId="134" type="noConversion"/>
  </si>
  <si>
    <t>商业</t>
    <phoneticPr fontId="134" type="noConversion"/>
  </si>
  <si>
    <t>是</t>
  </si>
  <si>
    <r>
      <t>1</t>
    </r>
    <r>
      <rPr>
        <sz val="10"/>
        <color indexed="8"/>
        <rFont val="宋体"/>
        <family val="3"/>
        <charset val="134"/>
      </rPr>
      <t>层商业</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</si>
  <si>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层商业</t>
    </r>
    <phoneticPr fontId="3" type="noConversion"/>
  </si>
  <si>
    <t>1层商业</t>
  </si>
  <si>
    <t>1层商业</t>
    <phoneticPr fontId="7" type="noConversion"/>
  </si>
  <si>
    <t>2层办公</t>
  </si>
  <si>
    <t>地下1层商业</t>
    <phoneticPr fontId="7" type="noConversion"/>
  </si>
  <si>
    <t>成新度</t>
  </si>
  <si>
    <t>设定钢混结构</t>
    <phoneticPr fontId="3" type="noConversion"/>
  </si>
  <si>
    <t>单套模式</t>
  </si>
  <si>
    <t>租金</t>
  </si>
  <si>
    <t>大白楼</t>
    <phoneticPr fontId="3" type="noConversion"/>
  </si>
  <si>
    <t>正常</t>
  </si>
  <si>
    <t>挂牌价</t>
  </si>
  <si>
    <t>挂牌价</t>
    <phoneticPr fontId="30" type="noConversion"/>
  </si>
  <si>
    <t>商业</t>
    <phoneticPr fontId="30" type="noConversion"/>
  </si>
  <si>
    <t>双面临街</t>
    <phoneticPr fontId="30" type="noConversion"/>
  </si>
  <si>
    <t>单面临街</t>
  </si>
  <si>
    <t>单面临街</t>
    <phoneticPr fontId="30" type="noConversion"/>
  </si>
  <si>
    <t>不临街</t>
    <phoneticPr fontId="30" type="noConversion"/>
  </si>
  <si>
    <t>较好</t>
  </si>
  <si>
    <t>较好</t>
    <phoneticPr fontId="30" type="noConversion"/>
  </si>
  <si>
    <t>一般</t>
  </si>
  <si>
    <t>一般</t>
    <phoneticPr fontId="30" type="noConversion"/>
  </si>
  <si>
    <t>较差</t>
  </si>
  <si>
    <t>较差</t>
    <phoneticPr fontId="30" type="noConversion"/>
  </si>
  <si>
    <t>好</t>
    <phoneticPr fontId="30" type="noConversion"/>
  </si>
  <si>
    <t>差</t>
    <phoneticPr fontId="30" type="noConversion"/>
  </si>
  <si>
    <t>大</t>
    <phoneticPr fontId="30" type="noConversion"/>
  </si>
  <si>
    <t>较大</t>
    <phoneticPr fontId="30" type="noConversion"/>
  </si>
  <si>
    <t>较小</t>
    <phoneticPr fontId="30" type="noConversion"/>
  </si>
  <si>
    <t>小</t>
  </si>
  <si>
    <t>小</t>
    <phoneticPr fontId="30" type="noConversion"/>
  </si>
  <si>
    <r>
      <t>1</t>
    </r>
    <r>
      <rPr>
        <sz val="11"/>
        <color indexed="8"/>
        <rFont val="宋体"/>
        <family val="3"/>
        <charset val="134"/>
      </rPr>
      <t>层</t>
    </r>
    <phoneticPr fontId="30" type="noConversion"/>
  </si>
  <si>
    <t>配套商业</t>
  </si>
  <si>
    <t>配套商业</t>
    <phoneticPr fontId="30" type="noConversion"/>
  </si>
  <si>
    <t>钢混</t>
  </si>
  <si>
    <t>钢混</t>
    <phoneticPr fontId="30" type="noConversion"/>
  </si>
  <si>
    <t>砖混</t>
    <phoneticPr fontId="30" type="noConversion"/>
  </si>
  <si>
    <t>七通</t>
  </si>
  <si>
    <t>七通</t>
    <phoneticPr fontId="30" type="noConversion"/>
  </si>
  <si>
    <t>六通</t>
    <phoneticPr fontId="30" type="noConversion"/>
  </si>
  <si>
    <t>五通</t>
    <phoneticPr fontId="30" type="noConversion"/>
  </si>
  <si>
    <t>可餐饮</t>
  </si>
  <si>
    <t>可餐饮</t>
    <phoneticPr fontId="30" type="noConversion"/>
  </si>
  <si>
    <t>不可餐饮</t>
  </si>
  <si>
    <t>不可餐饮</t>
    <phoneticPr fontId="30" type="noConversion"/>
  </si>
  <si>
    <t>超高层高</t>
  </si>
  <si>
    <t>超高层高</t>
    <phoneticPr fontId="30" type="noConversion"/>
  </si>
  <si>
    <t>标准层高</t>
  </si>
  <si>
    <t>标准层高</t>
    <phoneticPr fontId="30" type="noConversion"/>
  </si>
  <si>
    <t>精装修</t>
    <phoneticPr fontId="30" type="noConversion"/>
  </si>
  <si>
    <t>普通装修</t>
  </si>
  <si>
    <t>普通装修</t>
    <phoneticPr fontId="30" type="noConversion"/>
  </si>
  <si>
    <t>简单装修</t>
    <phoneticPr fontId="30" type="noConversion"/>
  </si>
  <si>
    <t>毛坯</t>
    <phoneticPr fontId="30" type="noConversion"/>
  </si>
  <si>
    <t>1层</t>
  </si>
  <si>
    <t>1层商业</t>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</si>
  <si>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层商业</t>
    </r>
    <phoneticPr fontId="24" type="noConversion"/>
  </si>
  <si>
    <t>楼层</t>
    <phoneticPr fontId="3" type="noConversion"/>
  </si>
  <si>
    <r>
      <t>1</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</si>
  <si>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</si>
  <si>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地下1层</t>
  </si>
  <si>
    <t>办公</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</si>
  <si>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</si>
  <si>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</si>
  <si>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</si>
  <si>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</si>
  <si>
    <t>支路</t>
    <phoneticPr fontId="31" type="noConversion"/>
  </si>
  <si>
    <t>高楼层</t>
    <phoneticPr fontId="31" type="noConversion"/>
  </si>
  <si>
    <t>中楼层</t>
    <phoneticPr fontId="31" type="noConversion"/>
  </si>
  <si>
    <t>低楼层</t>
    <phoneticPr fontId="31" type="noConversion"/>
  </si>
  <si>
    <t>钢混</t>
    <phoneticPr fontId="31" type="noConversion"/>
  </si>
  <si>
    <t>砖混</t>
    <phoneticPr fontId="31" type="noConversion"/>
  </si>
  <si>
    <t>精装修</t>
    <phoneticPr fontId="31" type="noConversion"/>
  </si>
  <si>
    <t>普通装修</t>
    <phoneticPr fontId="31" type="noConversion"/>
  </si>
  <si>
    <t>简单装修</t>
    <phoneticPr fontId="31" type="noConversion"/>
  </si>
  <si>
    <t>毛坯</t>
    <phoneticPr fontId="31" type="noConversion"/>
  </si>
  <si>
    <t>专业</t>
    <phoneticPr fontId="31" type="noConversion"/>
  </si>
  <si>
    <t>普通</t>
    <phoneticPr fontId="31" type="noConversion"/>
  </si>
  <si>
    <t>自管</t>
    <phoneticPr fontId="31" type="noConversion"/>
  </si>
  <si>
    <t>七通</t>
    <phoneticPr fontId="31" type="noConversion"/>
  </si>
  <si>
    <t>六通</t>
    <phoneticPr fontId="31" type="noConversion"/>
  </si>
  <si>
    <t>五通</t>
    <phoneticPr fontId="31" type="noConversion"/>
  </si>
  <si>
    <t>超高层高</t>
    <phoneticPr fontId="31" type="noConversion"/>
  </si>
  <si>
    <t>标准层高</t>
    <phoneticPr fontId="31" type="noConversion"/>
  </si>
  <si>
    <t>可餐饮，有燃气，集中供暖</t>
    <phoneticPr fontId="134" type="noConversion"/>
  </si>
  <si>
    <r>
      <t>租金含物业，取暖，取暖一年8</t>
    </r>
    <r>
      <rPr>
        <sz val="11"/>
        <color theme="1"/>
        <rFont val="宋体"/>
        <family val="3"/>
        <charset val="134"/>
        <scheme val="minor"/>
      </rPr>
      <t>000多，含税可谈</t>
    </r>
    <phoneticPr fontId="134" type="noConversion"/>
  </si>
  <si>
    <t>临华远西红世与天恒世界集中间的步行街</t>
    <phoneticPr fontId="134" type="noConversion"/>
  </si>
  <si>
    <t>免租期最多给半个月</t>
    <phoneticPr fontId="134" type="noConversion"/>
  </si>
  <si>
    <t>鸿坤理想城</t>
    <phoneticPr fontId="134" type="noConversion"/>
  </si>
  <si>
    <r>
      <t>1</t>
    </r>
    <r>
      <rPr>
        <sz val="11"/>
        <color theme="1"/>
        <rFont val="宋体"/>
        <family val="3"/>
        <charset val="134"/>
        <scheme val="minor"/>
      </rPr>
      <t>65平的2层月租金16000</t>
    </r>
    <phoneticPr fontId="134" type="noConversion"/>
  </si>
  <si>
    <r>
      <t>3</t>
    </r>
    <r>
      <rPr>
        <sz val="11"/>
        <color theme="1"/>
        <rFont val="宋体"/>
        <family val="3"/>
        <charset val="134"/>
        <scheme val="minor"/>
      </rPr>
      <t>00平的为1-2层，年租金350000</t>
    </r>
    <phoneticPr fontId="134" type="noConversion"/>
  </si>
  <si>
    <t>可餐饮</t>
    <phoneticPr fontId="134" type="noConversion"/>
  </si>
  <si>
    <t>层高4米</t>
    <phoneticPr fontId="134" type="noConversion"/>
  </si>
  <si>
    <t>含物业、取暖，含税可谈，免租期可谈</t>
    <phoneticPr fontId="134" type="noConversion"/>
  </si>
  <si>
    <t>日租金</t>
    <phoneticPr fontId="134" type="noConversion"/>
  </si>
  <si>
    <t>临街</t>
    <phoneticPr fontId="134" type="noConversion"/>
  </si>
  <si>
    <t>住宅前面的配套商业楼</t>
    <phoneticPr fontId="134" type="noConversion"/>
  </si>
  <si>
    <t>两层面积差不多</t>
    <phoneticPr fontId="134" type="noConversion"/>
  </si>
  <si>
    <t>西红门十字路口位置</t>
    <phoneticPr fontId="134" type="noConversion"/>
  </si>
  <si>
    <t>宏大中园小区</t>
    <phoneticPr fontId="134" type="noConversion"/>
  </si>
  <si>
    <t>含物业，含税可谈</t>
    <phoneticPr fontId="134" type="noConversion"/>
  </si>
  <si>
    <t>1层</t>
    <phoneticPr fontId="134" type="noConversion"/>
  </si>
  <si>
    <t>不可餐厅</t>
    <phoneticPr fontId="134" type="noConversion"/>
  </si>
  <si>
    <t>住宅底商</t>
    <phoneticPr fontId="134" type="noConversion"/>
  </si>
  <si>
    <t>层高约4米</t>
    <phoneticPr fontId="134" type="noConversion"/>
  </si>
  <si>
    <t>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t>
    <phoneticPr fontId="40" type="noConversion"/>
  </si>
  <si>
    <t>估价对象所在区域基础设施水平：七通</t>
    <phoneticPr fontId="24" type="noConversion"/>
  </si>
  <si>
    <t>区域自然环境：寿保庄公园、敬贤公园、新三余公园、星光·视界公园；人文环境：中国人民公安大学（团河校区）、民政职业大学（大兴校区）；综合评价环境状况较好</t>
    <phoneticPr fontId="40" type="noConversion"/>
  </si>
  <si>
    <t>城市支路——大金北路</t>
    <phoneticPr fontId="24" type="noConversion"/>
  </si>
  <si>
    <t>估价对象位于大兴区西红门大白楼村，周边办公楼项目较多，入驻率高，办公集聚程度较好</t>
    <phoneticPr fontId="24" type="noConversion"/>
  </si>
  <si>
    <t>西红门地铁站附近</t>
    <phoneticPr fontId="134" type="noConversion"/>
  </si>
  <si>
    <r>
      <t>1</t>
    </r>
    <r>
      <rPr>
        <sz val="11"/>
        <color theme="1"/>
        <rFont val="宋体"/>
        <family val="3"/>
        <charset val="134"/>
        <scheme val="minor"/>
      </rPr>
      <t>-2层</t>
    </r>
    <phoneticPr fontId="134" type="noConversion"/>
  </si>
  <si>
    <r>
      <t>4</t>
    </r>
    <r>
      <rPr>
        <sz val="11"/>
        <color theme="1"/>
        <rFont val="宋体"/>
        <family val="3"/>
        <charset val="134"/>
        <scheme val="minor"/>
      </rPr>
      <t>3元/平方米/采暖季</t>
    </r>
    <phoneticPr fontId="134" type="noConversion"/>
  </si>
  <si>
    <t>商铺取暖费</t>
    <phoneticPr fontId="134" type="noConversion"/>
  </si>
  <si>
    <t>年租金</t>
    <phoneticPr fontId="134" type="noConversion"/>
  </si>
  <si>
    <t>含税、物业的年租金</t>
    <phoneticPr fontId="134" type="noConversion"/>
  </si>
  <si>
    <t>含税、物业的日租金</t>
    <phoneticPr fontId="134" type="noConversion"/>
  </si>
  <si>
    <r>
      <t>1</t>
    </r>
    <r>
      <rPr>
        <sz val="11"/>
        <rFont val="宋体"/>
        <family val="3"/>
        <charset val="134"/>
      </rPr>
      <t>层</t>
    </r>
    <phoneticPr fontId="30" type="noConversion"/>
  </si>
  <si>
    <r>
      <t>2</t>
    </r>
    <r>
      <rPr>
        <sz val="11"/>
        <rFont val="宋体"/>
        <family val="3"/>
        <charset val="134"/>
      </rPr>
      <t>层</t>
    </r>
    <phoneticPr fontId="30" type="noConversion"/>
  </si>
  <si>
    <r>
      <t>1-2</t>
    </r>
    <r>
      <rPr>
        <sz val="11"/>
        <rFont val="宋体"/>
        <family val="3"/>
        <charset val="134"/>
      </rPr>
      <t>层</t>
    </r>
    <phoneticPr fontId="30" type="noConversion"/>
  </si>
  <si>
    <r>
      <rPr>
        <sz val="11"/>
        <rFont val="宋体"/>
        <family val="3"/>
        <charset val="134"/>
      </rPr>
      <t>地下</t>
    </r>
    <r>
      <rPr>
        <sz val="11"/>
        <rFont val="Arial"/>
        <family val="2"/>
      </rPr>
      <t>1</t>
    </r>
    <r>
      <rPr>
        <sz val="11"/>
        <rFont val="宋体"/>
        <family val="3"/>
        <charset val="134"/>
      </rPr>
      <t>层</t>
    </r>
    <phoneticPr fontId="30" type="noConversion"/>
  </si>
  <si>
    <t>1层占比</t>
    <phoneticPr fontId="134" type="noConversion"/>
  </si>
  <si>
    <t>2层占比</t>
    <phoneticPr fontId="134" type="noConversion"/>
  </si>
  <si>
    <t>在华远西红世，1-2层，1层20平，2层163平，1层层高5米5，已做夹层，夹层20平，2层层高4米5，已做夹层，夹层30平，实际使用面积约223平</t>
    <phoneticPr fontId="134" type="noConversion"/>
  </si>
  <si>
    <t>写字楼背街，不临路</t>
    <phoneticPr fontId="134" type="noConversion"/>
  </si>
  <si>
    <t>不可餐饮</t>
    <phoneticPr fontId="134" type="noConversion"/>
  </si>
  <si>
    <t>只能做会所</t>
    <phoneticPr fontId="134" type="noConversion"/>
  </si>
  <si>
    <t>税、物业、取暖都可谈</t>
    <phoneticPr fontId="134" type="noConversion"/>
  </si>
  <si>
    <t>正常层高</t>
    <phoneticPr fontId="134" type="noConversion"/>
  </si>
  <si>
    <t>1层+地下</t>
    <phoneticPr fontId="134" type="noConversion"/>
  </si>
  <si>
    <t>1层60-70平方</t>
    <phoneticPr fontId="134" type="noConversion"/>
  </si>
  <si>
    <r>
      <t>1-2</t>
    </r>
    <r>
      <rPr>
        <sz val="11"/>
        <color indexed="8"/>
        <rFont val="宋体"/>
        <family val="3"/>
        <charset val="134"/>
      </rPr>
      <t>层（</t>
    </r>
    <r>
      <rPr>
        <sz val="11"/>
        <color indexed="8"/>
        <rFont val="Arial"/>
        <family val="2"/>
      </rPr>
      <t>1</t>
    </r>
    <r>
      <rPr>
        <sz val="11"/>
        <color indexed="8"/>
        <rFont val="宋体"/>
        <family val="3"/>
        <charset val="134"/>
      </rPr>
      <t>层小）</t>
    </r>
    <phoneticPr fontId="30" type="noConversion"/>
  </si>
  <si>
    <r>
      <t>1</t>
    </r>
    <r>
      <rPr>
        <sz val="11"/>
        <rFont val="宋体"/>
        <family val="3"/>
        <charset val="134"/>
      </rPr>
      <t>层占比</t>
    </r>
    <phoneticPr fontId="30" type="noConversion"/>
  </si>
  <si>
    <r>
      <t>2</t>
    </r>
    <r>
      <rPr>
        <sz val="11"/>
        <rFont val="宋体"/>
        <family val="3"/>
        <charset val="134"/>
      </rPr>
      <t>层占比</t>
    </r>
    <phoneticPr fontId="30" type="noConversion"/>
  </si>
  <si>
    <t>1-2层（1层小）</t>
  </si>
  <si>
    <t>取暖费一年</t>
    <phoneticPr fontId="134" type="noConversion"/>
  </si>
  <si>
    <t>华远西红世</t>
    <phoneticPr fontId="3" type="noConversion"/>
  </si>
  <si>
    <t>含税含物业</t>
    <phoneticPr fontId="134" type="noConversion"/>
  </si>
  <si>
    <t>税率</t>
    <phoneticPr fontId="134" type="noConversion"/>
  </si>
  <si>
    <r>
      <t>2</t>
    </r>
    <r>
      <rPr>
        <sz val="10"/>
        <color indexed="8"/>
        <rFont val="宋体"/>
        <family val="3"/>
        <charset val="134"/>
      </rPr>
      <t>层</t>
    </r>
    <phoneticPr fontId="24" type="noConversion"/>
  </si>
  <si>
    <t>2层</t>
  </si>
  <si>
    <t>1层商业</t>
    <phoneticPr fontId="134" type="noConversion"/>
  </si>
  <si>
    <t>地下1层商业</t>
    <phoneticPr fontId="134" type="noConversion"/>
  </si>
  <si>
    <t>2层商业</t>
    <phoneticPr fontId="134" type="noConversion"/>
  </si>
  <si>
    <t>约</t>
    <phoneticPr fontId="30" type="noConversion"/>
  </si>
  <si>
    <t>综合租金</t>
    <phoneticPr fontId="24" type="noConversion"/>
  </si>
  <si>
    <t>经委托人确认，地下建筑面积减去地下人防面积，为本次评估地下商业租金的面积；地上1、2层面积由于规证没有区分，先简单算术平均算地上1、2层面积，其中1层减去已使用的500平及地上人防面积，剩余为本次评估1层面积</t>
    <phoneticPr fontId="134" type="noConversion"/>
  </si>
  <si>
    <t>税可谈</t>
    <phoneticPr fontId="134" type="noConversion"/>
  </si>
  <si>
    <t>1层</t>
    <phoneticPr fontId="134" type="noConversion"/>
  </si>
  <si>
    <t>物业取暖可谈</t>
    <phoneticPr fontId="134" type="noConversion"/>
  </si>
  <si>
    <t>正常层高</t>
    <phoneticPr fontId="134" type="noConversion"/>
  </si>
  <si>
    <t>可餐饮</t>
    <phoneticPr fontId="134" type="noConversion"/>
  </si>
  <si>
    <t>案例1</t>
    <phoneticPr fontId="134" type="noConversion"/>
  </si>
  <si>
    <t>首座御园底商</t>
    <phoneticPr fontId="134" type="noConversion"/>
  </si>
  <si>
    <t>临内部路</t>
    <phoneticPr fontId="134" type="noConversion"/>
  </si>
  <si>
    <t>若留餐椅设备等转让费加7万</t>
    <phoneticPr fontId="134" type="noConversion"/>
  </si>
  <si>
    <t>小区较大，分三个区，占三个红绿灯</t>
    <phoneticPr fontId="134" type="noConversion"/>
  </si>
  <si>
    <t>首座御园</t>
    <phoneticPr fontId="3" type="noConversion"/>
  </si>
  <si>
    <t>不临街</t>
  </si>
  <si>
    <r>
      <t>1</t>
    </r>
    <r>
      <rPr>
        <sz val="11"/>
        <color theme="1"/>
        <rFont val="宋体"/>
        <family val="3"/>
        <charset val="134"/>
        <scheme val="minor"/>
      </rPr>
      <t>-2层</t>
    </r>
    <phoneticPr fontId="134" type="noConversion"/>
  </si>
  <si>
    <r>
      <t>1层面积小</t>
    </r>
    <r>
      <rPr>
        <sz val="11"/>
        <color theme="1"/>
        <rFont val="宋体"/>
        <family val="3"/>
        <charset val="134"/>
        <scheme val="minor"/>
      </rPr>
      <t xml:space="preserve"> 大概10平米，大部分面积在2层</t>
    </r>
    <phoneticPr fontId="134" type="noConversion"/>
  </si>
  <si>
    <r>
      <t>1层是个楼梯间，层高</t>
    </r>
    <r>
      <rPr>
        <sz val="11"/>
        <color theme="1"/>
        <rFont val="宋体"/>
        <family val="3"/>
        <charset val="134"/>
        <scheme val="minor"/>
      </rPr>
      <t>6米</t>
    </r>
    <phoneticPr fontId="134" type="noConversion"/>
  </si>
  <si>
    <t>2层约2米2左右</t>
    <phoneticPr fontId="134" type="noConversion"/>
  </si>
  <si>
    <t>临主路</t>
    <phoneticPr fontId="134" type="noConversion"/>
  </si>
  <si>
    <t>不含税不含物业取暖</t>
    <phoneticPr fontId="134" type="noConversion"/>
  </si>
  <si>
    <t>华远西红世</t>
    <phoneticPr fontId="134" type="noConversion"/>
  </si>
  <si>
    <t>含税日租金</t>
    <phoneticPr fontId="134" type="noConversion"/>
  </si>
  <si>
    <t>1层占比</t>
    <phoneticPr fontId="134" type="noConversion"/>
  </si>
  <si>
    <t>2层占比</t>
    <phoneticPr fontId="134" type="noConversion"/>
  </si>
  <si>
    <t>较小</t>
  </si>
  <si>
    <t>按照案例2的1层占比10%修正</t>
    <phoneticPr fontId="134" type="noConversion"/>
  </si>
  <si>
    <r>
      <rPr>
        <sz val="11"/>
        <color indexed="8"/>
        <rFont val="宋体"/>
        <family val="3"/>
        <charset val="134"/>
      </rPr>
      <t>按</t>
    </r>
    <r>
      <rPr>
        <sz val="11"/>
        <color indexed="8"/>
        <rFont val="Arial"/>
        <family val="2"/>
      </rPr>
      <t>1</t>
    </r>
    <r>
      <rPr>
        <sz val="11"/>
        <color indexed="8"/>
        <rFont val="宋体"/>
        <family val="3"/>
        <charset val="134"/>
      </rPr>
      <t>层占比</t>
    </r>
    <r>
      <rPr>
        <sz val="11"/>
        <color indexed="8"/>
        <rFont val="Arial"/>
        <family val="2"/>
      </rPr>
      <t>10%</t>
    </r>
    <r>
      <rPr>
        <sz val="11"/>
        <color indexed="8"/>
        <rFont val="宋体"/>
        <family val="3"/>
        <charset val="134"/>
      </rPr>
      <t>修正</t>
    </r>
    <phoneticPr fontId="30" type="noConversion"/>
  </si>
  <si>
    <r>
      <rPr>
        <sz val="11"/>
        <rFont val="宋体"/>
        <family val="3"/>
        <charset val="134"/>
      </rPr>
      <t>案例</t>
    </r>
    <r>
      <rPr>
        <sz val="11"/>
        <rFont val="Arial"/>
        <family val="2"/>
      </rPr>
      <t>2</t>
    </r>
    <phoneticPr fontId="30" type="noConversion"/>
  </si>
  <si>
    <r>
      <rPr>
        <sz val="11"/>
        <rFont val="宋体"/>
        <family val="3"/>
        <charset val="134"/>
      </rPr>
      <t>案例</t>
    </r>
    <r>
      <rPr>
        <sz val="11"/>
        <rFont val="Arial"/>
        <family val="2"/>
      </rPr>
      <t>3</t>
    </r>
    <phoneticPr fontId="30" type="noConversion"/>
  </si>
  <si>
    <r>
      <t>1</t>
    </r>
    <r>
      <rPr>
        <sz val="11"/>
        <rFont val="宋体"/>
        <family val="3"/>
        <charset val="134"/>
      </rPr>
      <t>层占比</t>
    </r>
    <phoneticPr fontId="30" type="noConversion"/>
  </si>
  <si>
    <r>
      <t>2</t>
    </r>
    <r>
      <rPr>
        <sz val="11"/>
        <rFont val="宋体"/>
        <family val="3"/>
        <charset val="134"/>
      </rPr>
      <t>层占比</t>
    </r>
    <phoneticPr fontId="30" type="noConversion"/>
  </si>
  <si>
    <t>2层商业</t>
    <phoneticPr fontId="7" type="noConversion"/>
  </si>
  <si>
    <r>
      <t>2</t>
    </r>
    <r>
      <rPr>
        <sz val="10"/>
        <color indexed="8"/>
        <rFont val="宋体"/>
        <family val="3"/>
        <charset val="134"/>
      </rPr>
      <t>层商业</t>
    </r>
    <phoneticPr fontId="3" type="noConversion"/>
  </si>
  <si>
    <r>
      <t>1-2</t>
    </r>
    <r>
      <rPr>
        <sz val="10"/>
        <color indexed="8"/>
        <rFont val="宋体"/>
        <family val="3"/>
        <charset val="134"/>
      </rPr>
      <t>层租金</t>
    </r>
    <phoneticPr fontId="24" type="noConversion"/>
  </si>
  <si>
    <t>案例2</t>
    <phoneticPr fontId="134" type="noConversion"/>
  </si>
  <si>
    <t>案例3</t>
    <phoneticPr fontId="134" type="noConversion"/>
  </si>
  <si>
    <t>主要服务小区内部人群</t>
    <phoneticPr fontId="134" type="noConversion"/>
  </si>
  <si>
    <t>物业费一年</t>
    <phoneticPr fontId="134" type="noConversion"/>
  </si>
  <si>
    <t>含税不含物业、取暖年租金</t>
    <phoneticPr fontId="134" type="noConversion"/>
  </si>
  <si>
    <t>含税日租金</t>
    <phoneticPr fontId="134" type="noConversion"/>
  </si>
  <si>
    <t>含税</t>
    <phoneticPr fontId="30" type="noConversion"/>
  </si>
  <si>
    <t>整租（考虑空置率、税费，二房东税费，经营风险等）</t>
    <phoneticPr fontId="30" type="noConversion"/>
  </si>
  <si>
    <r>
      <rPr>
        <sz val="11"/>
        <color indexed="8"/>
        <rFont val="宋体"/>
        <family val="3"/>
        <charset val="134"/>
      </rPr>
      <t>有空置</t>
    </r>
    <r>
      <rPr>
        <sz val="11"/>
        <color indexed="8"/>
        <rFont val="宋体"/>
        <family val="3"/>
        <charset val="134"/>
      </rPr>
      <t>，免租期</t>
    </r>
    <r>
      <rPr>
        <sz val="11"/>
        <color indexed="8"/>
        <rFont val="Arial"/>
        <family val="2"/>
      </rPr>
      <t>3-6</t>
    </r>
    <r>
      <rPr>
        <sz val="11"/>
        <color indexed="8"/>
        <rFont val="宋体"/>
        <family val="3"/>
        <charset val="134"/>
      </rPr>
      <t>个月，两次税费</t>
    </r>
    <phoneticPr fontId="30" type="noConversion"/>
  </si>
  <si>
    <t>2层商业</t>
    <phoneticPr fontId="24" type="noConversion"/>
  </si>
  <si>
    <t>一次性整租，无空置无免租期，一次税费</t>
    <phoneticPr fontId="30" type="noConversion"/>
  </si>
  <si>
    <t>位于大兴区首座御园内，周边同类商业主要服务于小区内部人群，人流量较小，商业繁华度一般</t>
    <phoneticPr fontId="30" type="noConversion"/>
  </si>
  <si>
    <t>临小区内部路，东侧距城市支路——东环路直线距离约170米，周边1公里范围内有946、兴37、369等多条公交线路经过，距地铁大兴机场线——大兴新城地铁站直线距离约1公里，项目内部有停车位，综合评价交通便捷度一般</t>
    <phoneticPr fontId="30" type="noConversion"/>
  </si>
  <si>
    <r>
      <rPr>
        <sz val="11"/>
        <rFont val="宋体"/>
        <family val="3"/>
        <charset val="134"/>
      </rPr>
      <t>周边</t>
    </r>
    <r>
      <rPr>
        <sz val="11"/>
        <rFont val="Arial"/>
        <family val="2"/>
      </rPr>
      <t>2</t>
    </r>
    <r>
      <rPr>
        <sz val="11"/>
        <rFont val="宋体"/>
        <family val="3"/>
        <charset val="134"/>
      </rPr>
      <t>公里范围内的公共服务配套设施齐备度较好，有购物场所（团河市场、团河鑫发农贸市场、万隆汇发购物超市）、医院（首座御园社区卫生服务站、北京市利康医院）、银行（中国邮政储蓄银行、中国建设银行）、学校（北京市大兴区菁苗首座幼儿园、北京市大兴区团河小学、大兴二中（首座校区））、餐饮等公共服务配套设施</t>
    </r>
    <phoneticPr fontId="30" type="noConversion"/>
  </si>
  <si>
    <t>周边环境较干净整洁，附近有大兴海户公园、又见体育公园等自然环境；有团河行宫遗址公园、民政职业大学（大兴校区）等人文环境；综合评价环境状况较好。</t>
    <phoneticPr fontId="30" type="noConversion"/>
  </si>
  <si>
    <t>周边环境较干净整洁，附近有大兴生态文明教育公园、星光生态文化休闲公园等自然环境；有中国人民公安大学（团河校区）等人文环境；综合评价环境状况较好。</t>
    <phoneticPr fontId="30" type="noConversion"/>
  </si>
  <si>
    <r>
      <rPr>
        <sz val="11"/>
        <rFont val="宋体"/>
        <family val="3"/>
        <charset val="134"/>
      </rPr>
      <t>周边</t>
    </r>
    <r>
      <rPr>
        <sz val="11"/>
        <rFont val="Arial"/>
        <family val="2"/>
      </rPr>
      <t>2</t>
    </r>
    <r>
      <rPr>
        <sz val="11"/>
        <rFont val="宋体"/>
        <family val="3"/>
        <charset val="134"/>
      </rPr>
      <t>公里范围内的公共服务配套设施齐备度较好，有购物场所（北京上德银泰城、华联生活超市（天恒世界集店））、医院（大兴区悦风华社区卫生服务站、北京南郊肿瘤医院）、银行（中国银行、中国农业银行）、学校（大兴七幼悦风华园、星星学校、黄城根小学（大兴校区）蒲公英中学）、餐饮等公共服务配套设施</t>
    </r>
    <phoneticPr fontId="30" type="noConversion"/>
  </si>
  <si>
    <t>临城市支路——春和路，东侧距城市次干道——广平大街约100米，周边1公里范围内有946、专67等多条公交线路经过，2公里范围内无地铁，项目内有停车位，综合评价交通便捷度较好</t>
    <phoneticPr fontId="30" type="noConversion"/>
  </si>
  <si>
    <t>临步行街，东侧距城市次干道——广平大街约100米，周边1公里范围内有946、专67等多条公交线路经过，2公里范围内无地铁，项目内有停车位，综合评价交通便捷度较好</t>
    <phoneticPr fontId="30" type="noConversion"/>
  </si>
  <si>
    <t>位于大兴区华远西红世，周边商业氛围较好，人流量一般，商业繁华度较好</t>
    <phoneticPr fontId="30" type="noConversion"/>
  </si>
  <si>
    <t>面积最终依据委托方给的测绘表去掉人防及已出租面积</t>
    <phoneticPr fontId="134" type="noConversion"/>
  </si>
  <si>
    <t>地下1层</t>
    <phoneticPr fontId="134" type="noConversion"/>
  </si>
  <si>
    <t>1层</t>
    <phoneticPr fontId="134" type="noConversion"/>
  </si>
  <si>
    <t>2层</t>
    <phoneticPr fontId="134" type="noConversion"/>
  </si>
  <si>
    <t xml:space="preserve"> 二、房屋建筑面积分层汇总表（表 2）</t>
    <phoneticPr fontId="3" type="noConversion"/>
  </si>
  <si>
    <t>项目名称：  楼号：17#村产楼</t>
    <phoneticPr fontId="3" type="noConversion"/>
  </si>
  <si>
    <t>层  次</t>
  </si>
  <si>
    <t>备    注</t>
    <phoneticPr fontId="3" type="noConversion"/>
  </si>
  <si>
    <t>-2</t>
  </si>
  <si>
    <t>含人防807.20平方米</t>
  </si>
  <si>
    <t>-1</t>
  </si>
  <si>
    <t>含人防29.05平方米</t>
  </si>
  <si>
    <t>01</t>
  </si>
  <si>
    <t>含人防47.35平方米</t>
  </si>
  <si>
    <t>02</t>
  </si>
  <si>
    <t/>
  </si>
  <si>
    <t>03</t>
  </si>
  <si>
    <t>合计</t>
    <phoneticPr fontId="134" type="noConversion"/>
  </si>
  <si>
    <t>建筑面积</t>
    <phoneticPr fontId="24" type="noConversion"/>
  </si>
  <si>
    <t>咨询对象位于大兴区西红门镇大白楼村，周边多为大白楼村村民居住用房，人流量小，商业繁华度较差</t>
    <phoneticPr fontId="24" type="noConversion"/>
  </si>
  <si>
    <t>咨询对象北侧临城市支路——大金北路，西侧距城市次干道——团河路直线距离约110米，周边1公里范围内有369、485、676等多条线路经过，2公里范围内无地铁，项目内部有地面停车位，综合评价交通便捷度一般</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</si>
</sst>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sz val="11"/>
      <color indexed="8"/>
      <name val="Arial"/>
      <family val="3"/>
      <charset val="134"/>
    </font>
    <font>
      <sz val="11"/>
      <name val="Arial"/>
      <family val="3"/>
      <charset val="134"/>
    </font>
    <font>
      <sz val="16"/>
      <name val="黑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5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87" fontId="47" fillId="0" borderId="1" xfId="0" applyNumberFormat="1" applyFont="1" applyBorder="1" applyAlignment="1" applyProtection="1">
      <alignment vertical="center" wrapText="1"/>
      <protection locked="0"/>
    </xf>
    <xf numFmtId="0" fontId="272" fillId="0" borderId="1" xfId="0" applyFont="1" applyBorder="1" applyAlignment="1" applyProtection="1">
      <alignment vertical="center" wrapText="1"/>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87" fontId="44" fillId="6" borderId="1" xfId="0" applyNumberFormat="1" applyFont="1" applyFill="1" applyBorder="1">
      <alignment vertical="center"/>
    </xf>
    <xf numFmtId="197" fontId="46" fillId="6" borderId="13" xfId="0" applyNumberFormat="1" applyFont="1" applyFill="1" applyBorder="1">
      <alignment vertical="center"/>
    </xf>
    <xf numFmtId="197" fontId="44" fillId="6" borderId="24" xfId="0" applyNumberFormat="1" applyFont="1" applyFill="1" applyBorder="1">
      <alignment vertical="center"/>
    </xf>
    <xf numFmtId="0" fontId="176" fillId="0" borderId="1" xfId="0" applyFont="1" applyBorder="1" applyAlignment="1" applyProtection="1">
      <alignment horizontal="center" vertical="center"/>
      <protection locked="0"/>
    </xf>
    <xf numFmtId="0" fontId="272" fillId="0" borderId="1" xfId="0" applyFont="1" applyBorder="1" applyProtection="1">
      <alignment vertical="center"/>
      <protection locked="0"/>
    </xf>
    <xf numFmtId="0" fontId="222" fillId="0" borderId="108" xfId="0" applyFont="1" applyBorder="1" applyAlignment="1" applyProtection="1">
      <alignment horizontal="center" vertical="center" wrapText="1"/>
      <protection locked="0"/>
    </xf>
    <xf numFmtId="0" fontId="272" fillId="0" borderId="110"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0" fontId="95" fillId="5" borderId="0" xfId="0" applyFont="1" applyFill="1">
      <alignment vertical="center"/>
    </xf>
    <xf numFmtId="0" fontId="274" fillId="12" borderId="0" xfId="0" applyFont="1" applyFill="1" applyAlignment="1" applyProtection="1">
      <alignment horizontal="center" vertical="center"/>
      <protection locked="0"/>
    </xf>
    <xf numFmtId="49" fontId="94" fillId="0" borderId="35" xfId="0" applyNumberFormat="1" applyFont="1" applyBorder="1" applyAlignment="1" applyProtection="1">
      <alignment horizontal="center" vertical="center" wrapText="1"/>
      <protection locked="0"/>
    </xf>
    <xf numFmtId="9" fontId="0" fillId="0" borderId="0" xfId="0" applyNumberFormat="1">
      <alignment vertical="center"/>
    </xf>
    <xf numFmtId="0" fontId="47" fillId="22" borderId="1" xfId="0" applyFont="1" applyFill="1" applyBorder="1" applyAlignment="1">
      <alignment horizontal="center" vertical="center"/>
    </xf>
    <xf numFmtId="0" fontId="77" fillId="7" borderId="0" xfId="0" applyFont="1" applyFill="1" applyProtection="1">
      <alignment vertical="center"/>
      <protection locked="0"/>
    </xf>
    <xf numFmtId="0" fontId="273"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77" fillId="0" borderId="1" xfId="0" applyFont="1" applyBorder="1" applyProtection="1">
      <alignment vertical="center"/>
      <protection locked="0"/>
    </xf>
    <xf numFmtId="49" fontId="274" fillId="0" borderId="22"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49" fontId="274" fillId="0" borderId="11"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0" fillId="0" borderId="0" xfId="0" applyAlignment="1" applyProtection="1">
      <protection locked="0"/>
    </xf>
    <xf numFmtId="49" fontId="19" fillId="0" borderId="1" xfId="0" applyNumberFormat="1" applyFont="1" applyBorder="1" applyAlignment="1">
      <alignment horizontal="center" vertical="center"/>
    </xf>
    <xf numFmtId="176" fontId="19" fillId="0" borderId="1" xfId="0" applyNumberFormat="1" applyFont="1" applyBorder="1" applyAlignment="1">
      <alignment horizontal="center" vertical="center"/>
    </xf>
    <xf numFmtId="176" fontId="19" fillId="0" borderId="1" xfId="0" applyNumberFormat="1" applyFont="1" applyBorder="1" applyAlignment="1">
      <alignment horizontal="center" vertical="center" shrinkToFit="1"/>
    </xf>
    <xf numFmtId="49" fontId="77" fillId="0" borderId="1" xfId="0" applyNumberFormat="1" applyFont="1" applyBorder="1" applyAlignment="1">
      <alignment horizontal="center" vertical="center" shrinkToFit="1"/>
    </xf>
    <xf numFmtId="49" fontId="19" fillId="0" borderId="1" xfId="0" applyNumberFormat="1" applyFont="1" applyBorder="1" applyAlignment="1">
      <alignment horizontal="center" vertical="center" shrinkToFit="1"/>
    </xf>
    <xf numFmtId="176" fontId="0" fillId="0" borderId="0" xfId="0" applyNumberFormat="1" applyAlignment="1" applyProtection="1">
      <protection locked="0"/>
    </xf>
    <xf numFmtId="176" fontId="0" fillId="0" borderId="0" xfId="0" applyNumberFormat="1">
      <alignment vertical="center"/>
    </xf>
    <xf numFmtId="176"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00" fillId="22" borderId="1" xfId="0" applyFont="1" applyFill="1" applyBorder="1" applyAlignment="1">
      <alignment horizontal="center" vertical="center"/>
    </xf>
    <xf numFmtId="0" fontId="109" fillId="22" borderId="1"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5" fillId="0" borderId="35" xfId="0" applyFont="1" applyBorder="1" applyAlignment="1">
      <alignment horizontal="center" vertical="center" wrapText="1"/>
    </xf>
    <xf numFmtId="0" fontId="275" fillId="0" borderId="15" xfId="0" applyFont="1" applyBorder="1" applyAlignment="1">
      <alignment horizontal="center" vertical="center" wrapText="1"/>
    </xf>
    <xf numFmtId="0" fontId="275" fillId="0" borderId="58" xfId="0" applyFont="1" applyBorder="1" applyAlignment="1">
      <alignment horizontal="center" vertical="center" wrapText="1"/>
    </xf>
    <xf numFmtId="0" fontId="19" fillId="0" borderId="60" xfId="0" applyFont="1" applyBorder="1" applyAlignment="1">
      <alignment horizontal="left" vertical="center" shrinkToFit="1"/>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184150</xdr:colOff>
      <xdr:row>28</xdr:row>
      <xdr:rowOff>93152</xdr:rowOff>
    </xdr:to>
    <xdr:pic>
      <xdr:nvPicPr>
        <xdr:cNvPr id="4" name="图片 3">
          <a:extLst>
            <a:ext uri="{FF2B5EF4-FFF2-40B4-BE49-F238E27FC236}">
              <a16:creationId xmlns:a16="http://schemas.microsoft.com/office/drawing/2014/main" id="{EBB0E8A5-3ADF-B8A9-E6CE-698CD48F3E9C}"/>
            </a:ext>
          </a:extLst>
        </xdr:cNvPr>
        <xdr:cNvPicPr>
          <a:picLocks noChangeAspect="1"/>
        </xdr:cNvPicPr>
      </xdr:nvPicPr>
      <xdr:blipFill>
        <a:blip xmlns:r="http://schemas.openxmlformats.org/officeDocument/2006/relationships" r:embed="rId1"/>
        <a:stretch>
          <a:fillRect/>
        </a:stretch>
      </xdr:blipFill>
      <xdr:spPr>
        <a:xfrm>
          <a:off x="0" y="0"/>
          <a:ext cx="6280150" cy="5071552"/>
        </a:xfrm>
        <a:prstGeom prst="rect">
          <a:avLst/>
        </a:prstGeom>
      </xdr:spPr>
    </xdr:pic>
    <xdr:clientData/>
  </xdr:twoCellAnchor>
  <xdr:twoCellAnchor editAs="oneCell">
    <xdr:from>
      <xdr:col>0</xdr:col>
      <xdr:colOff>0</xdr:colOff>
      <xdr:row>29</xdr:row>
      <xdr:rowOff>57150</xdr:rowOff>
    </xdr:from>
    <xdr:to>
      <xdr:col>12</xdr:col>
      <xdr:colOff>28159</xdr:colOff>
      <xdr:row>63</xdr:row>
      <xdr:rowOff>84343</xdr:rowOff>
    </xdr:to>
    <xdr:pic>
      <xdr:nvPicPr>
        <xdr:cNvPr id="5" name="图片 4">
          <a:extLst>
            <a:ext uri="{FF2B5EF4-FFF2-40B4-BE49-F238E27FC236}">
              <a16:creationId xmlns:a16="http://schemas.microsoft.com/office/drawing/2014/main" id="{2D1AB592-B00E-9881-1085-579EAEC7CD49}"/>
            </a:ext>
          </a:extLst>
        </xdr:cNvPr>
        <xdr:cNvPicPr>
          <a:picLocks noChangeAspect="1"/>
        </xdr:cNvPicPr>
      </xdr:nvPicPr>
      <xdr:blipFill>
        <a:blip xmlns:r="http://schemas.openxmlformats.org/officeDocument/2006/relationships" r:embed="rId2"/>
        <a:stretch>
          <a:fillRect/>
        </a:stretch>
      </xdr:blipFill>
      <xdr:spPr>
        <a:xfrm>
          <a:off x="0" y="5213350"/>
          <a:ext cx="7343359" cy="6072393"/>
        </a:xfrm>
        <a:prstGeom prst="rect">
          <a:avLst/>
        </a:prstGeom>
      </xdr:spPr>
    </xdr:pic>
    <xdr:clientData/>
  </xdr:twoCellAnchor>
  <xdr:twoCellAnchor editAs="oneCell">
    <xdr:from>
      <xdr:col>5</xdr:col>
      <xdr:colOff>596900</xdr:colOff>
      <xdr:row>49</xdr:row>
      <xdr:rowOff>37496</xdr:rowOff>
    </xdr:from>
    <xdr:to>
      <xdr:col>11</xdr:col>
      <xdr:colOff>129049</xdr:colOff>
      <xdr:row>57</xdr:row>
      <xdr:rowOff>113771</xdr:rowOff>
    </xdr:to>
    <xdr:pic>
      <xdr:nvPicPr>
        <xdr:cNvPr id="6" name="图片 5">
          <a:extLst>
            <a:ext uri="{FF2B5EF4-FFF2-40B4-BE49-F238E27FC236}">
              <a16:creationId xmlns:a16="http://schemas.microsoft.com/office/drawing/2014/main" id="{E1FE8ABD-B24F-ED4B-97C7-8DDDBF403877}"/>
            </a:ext>
          </a:extLst>
        </xdr:cNvPr>
        <xdr:cNvPicPr>
          <a:picLocks noChangeAspect="1"/>
        </xdr:cNvPicPr>
      </xdr:nvPicPr>
      <xdr:blipFill>
        <a:blip xmlns:r="http://schemas.openxmlformats.org/officeDocument/2006/relationships" r:embed="rId3"/>
        <a:stretch>
          <a:fillRect/>
        </a:stretch>
      </xdr:blipFill>
      <xdr:spPr>
        <a:xfrm>
          <a:off x="3644900" y="8749696"/>
          <a:ext cx="3189749" cy="1498675"/>
        </a:xfrm>
        <a:prstGeom prst="rect">
          <a:avLst/>
        </a:prstGeom>
      </xdr:spPr>
    </xdr:pic>
    <xdr:clientData/>
  </xdr:twoCellAnchor>
  <xdr:twoCellAnchor editAs="oneCell">
    <xdr:from>
      <xdr:col>0</xdr:col>
      <xdr:colOff>6350</xdr:colOff>
      <xdr:row>64</xdr:row>
      <xdr:rowOff>107950</xdr:rowOff>
    </xdr:from>
    <xdr:to>
      <xdr:col>13</xdr:col>
      <xdr:colOff>771393</xdr:colOff>
      <xdr:row>111</xdr:row>
      <xdr:rowOff>46200</xdr:rowOff>
    </xdr:to>
    <xdr:pic>
      <xdr:nvPicPr>
        <xdr:cNvPr id="7" name="图片 6">
          <a:extLst>
            <a:ext uri="{FF2B5EF4-FFF2-40B4-BE49-F238E27FC236}">
              <a16:creationId xmlns:a16="http://schemas.microsoft.com/office/drawing/2014/main" id="{D46CA913-FF28-AA8C-6E41-D54E08FC5C36}"/>
            </a:ext>
          </a:extLst>
        </xdr:cNvPr>
        <xdr:cNvPicPr>
          <a:picLocks noChangeAspect="1"/>
        </xdr:cNvPicPr>
      </xdr:nvPicPr>
      <xdr:blipFill>
        <a:blip xmlns:r="http://schemas.openxmlformats.org/officeDocument/2006/relationships" r:embed="rId4"/>
        <a:stretch>
          <a:fillRect/>
        </a:stretch>
      </xdr:blipFill>
      <xdr:spPr>
        <a:xfrm>
          <a:off x="6350" y="11487150"/>
          <a:ext cx="8689843" cy="8294850"/>
        </a:xfrm>
        <a:prstGeom prst="rect">
          <a:avLst/>
        </a:prstGeom>
      </xdr:spPr>
    </xdr:pic>
    <xdr:clientData/>
  </xdr:twoCellAnchor>
  <xdr:twoCellAnchor editAs="oneCell">
    <xdr:from>
      <xdr:col>0</xdr:col>
      <xdr:colOff>101600</xdr:colOff>
      <xdr:row>113</xdr:row>
      <xdr:rowOff>95250</xdr:rowOff>
    </xdr:from>
    <xdr:to>
      <xdr:col>13</xdr:col>
      <xdr:colOff>642714</xdr:colOff>
      <xdr:row>159</xdr:row>
      <xdr:rowOff>103343</xdr:rowOff>
    </xdr:to>
    <xdr:pic>
      <xdr:nvPicPr>
        <xdr:cNvPr id="8" name="图片 7">
          <a:extLst>
            <a:ext uri="{FF2B5EF4-FFF2-40B4-BE49-F238E27FC236}">
              <a16:creationId xmlns:a16="http://schemas.microsoft.com/office/drawing/2014/main" id="{B6C59BC9-5091-4752-4618-C7049A7EAFFF}"/>
            </a:ext>
          </a:extLst>
        </xdr:cNvPr>
        <xdr:cNvPicPr>
          <a:picLocks noChangeAspect="1"/>
        </xdr:cNvPicPr>
      </xdr:nvPicPr>
      <xdr:blipFill>
        <a:blip xmlns:r="http://schemas.openxmlformats.org/officeDocument/2006/relationships" r:embed="rId5"/>
        <a:stretch>
          <a:fillRect/>
        </a:stretch>
      </xdr:blipFill>
      <xdr:spPr>
        <a:xfrm>
          <a:off x="101600" y="20186650"/>
          <a:ext cx="8465914" cy="8186893"/>
        </a:xfrm>
        <a:prstGeom prst="rect">
          <a:avLst/>
        </a:prstGeom>
      </xdr:spPr>
    </xdr:pic>
    <xdr:clientData/>
  </xdr:twoCellAnchor>
  <xdr:twoCellAnchor editAs="oneCell">
    <xdr:from>
      <xdr:col>0</xdr:col>
      <xdr:colOff>6350</xdr:colOff>
      <xdr:row>160</xdr:row>
      <xdr:rowOff>6350</xdr:rowOff>
    </xdr:from>
    <xdr:to>
      <xdr:col>13</xdr:col>
      <xdr:colOff>440308</xdr:colOff>
      <xdr:row>207</xdr:row>
      <xdr:rowOff>1712</xdr:rowOff>
    </xdr:to>
    <xdr:pic>
      <xdr:nvPicPr>
        <xdr:cNvPr id="9" name="图片 8">
          <a:extLst>
            <a:ext uri="{FF2B5EF4-FFF2-40B4-BE49-F238E27FC236}">
              <a16:creationId xmlns:a16="http://schemas.microsoft.com/office/drawing/2014/main" id="{B3B889F1-2E15-B1A6-B9BA-3425F1AFDE61}"/>
            </a:ext>
          </a:extLst>
        </xdr:cNvPr>
        <xdr:cNvPicPr>
          <a:picLocks noChangeAspect="1"/>
        </xdr:cNvPicPr>
      </xdr:nvPicPr>
      <xdr:blipFill>
        <a:blip xmlns:r="http://schemas.openxmlformats.org/officeDocument/2006/relationships" r:embed="rId6"/>
        <a:stretch>
          <a:fillRect/>
        </a:stretch>
      </xdr:blipFill>
      <xdr:spPr>
        <a:xfrm>
          <a:off x="6350" y="28454350"/>
          <a:ext cx="8358758" cy="8351962"/>
        </a:xfrm>
        <a:prstGeom prst="rect">
          <a:avLst/>
        </a:prstGeom>
      </xdr:spPr>
    </xdr:pic>
    <xdr:clientData/>
  </xdr:twoCellAnchor>
  <xdr:twoCellAnchor editAs="oneCell">
    <xdr:from>
      <xdr:col>4</xdr:col>
      <xdr:colOff>355600</xdr:colOff>
      <xdr:row>13</xdr:row>
      <xdr:rowOff>168842</xdr:rowOff>
    </xdr:from>
    <xdr:to>
      <xdr:col>11</xdr:col>
      <xdr:colOff>53114</xdr:colOff>
      <xdr:row>25</xdr:row>
      <xdr:rowOff>91629</xdr:rowOff>
    </xdr:to>
    <xdr:pic>
      <xdr:nvPicPr>
        <xdr:cNvPr id="10" name="图片 9">
          <a:extLst>
            <a:ext uri="{FF2B5EF4-FFF2-40B4-BE49-F238E27FC236}">
              <a16:creationId xmlns:a16="http://schemas.microsoft.com/office/drawing/2014/main" id="{4B2535FB-7AC5-7779-1F77-C65EF416052A}"/>
            </a:ext>
          </a:extLst>
        </xdr:cNvPr>
        <xdr:cNvPicPr>
          <a:picLocks noChangeAspect="1"/>
        </xdr:cNvPicPr>
      </xdr:nvPicPr>
      <xdr:blipFill>
        <a:blip xmlns:r="http://schemas.openxmlformats.org/officeDocument/2006/relationships" r:embed="rId7"/>
        <a:stretch>
          <a:fillRect/>
        </a:stretch>
      </xdr:blipFill>
      <xdr:spPr>
        <a:xfrm>
          <a:off x="2794000" y="2480242"/>
          <a:ext cx="3964714" cy="2056387"/>
        </a:xfrm>
        <a:prstGeom prst="rect">
          <a:avLst/>
        </a:prstGeom>
      </xdr:spPr>
    </xdr:pic>
    <xdr:clientData/>
  </xdr:twoCellAnchor>
  <xdr:twoCellAnchor editAs="oneCell">
    <xdr:from>
      <xdr:col>0</xdr:col>
      <xdr:colOff>0</xdr:colOff>
      <xdr:row>209</xdr:row>
      <xdr:rowOff>6350</xdr:rowOff>
    </xdr:from>
    <xdr:to>
      <xdr:col>13</xdr:col>
      <xdr:colOff>553160</xdr:colOff>
      <xdr:row>253</xdr:row>
      <xdr:rowOff>138269</xdr:rowOff>
    </xdr:to>
    <xdr:pic>
      <xdr:nvPicPr>
        <xdr:cNvPr id="2" name="图片 1">
          <a:extLst>
            <a:ext uri="{FF2B5EF4-FFF2-40B4-BE49-F238E27FC236}">
              <a16:creationId xmlns:a16="http://schemas.microsoft.com/office/drawing/2014/main" id="{F13E6783-D739-98AB-C6B9-38277A742E29}"/>
            </a:ext>
          </a:extLst>
        </xdr:cNvPr>
        <xdr:cNvPicPr>
          <a:picLocks noChangeAspect="1"/>
        </xdr:cNvPicPr>
      </xdr:nvPicPr>
      <xdr:blipFill>
        <a:blip xmlns:r="http://schemas.openxmlformats.org/officeDocument/2006/relationships" r:embed="rId8"/>
        <a:stretch>
          <a:fillRect/>
        </a:stretch>
      </xdr:blipFill>
      <xdr:spPr>
        <a:xfrm>
          <a:off x="0" y="37166550"/>
          <a:ext cx="8477960" cy="7955119"/>
        </a:xfrm>
        <a:prstGeom prst="rect">
          <a:avLst/>
        </a:prstGeom>
      </xdr:spPr>
    </xdr:pic>
    <xdr:clientData/>
  </xdr:twoCellAnchor>
  <xdr:twoCellAnchor editAs="oneCell">
    <xdr:from>
      <xdr:col>0</xdr:col>
      <xdr:colOff>0</xdr:colOff>
      <xdr:row>254</xdr:row>
      <xdr:rowOff>44450</xdr:rowOff>
    </xdr:from>
    <xdr:to>
      <xdr:col>14</xdr:col>
      <xdr:colOff>17401</xdr:colOff>
      <xdr:row>293</xdr:row>
      <xdr:rowOff>78143</xdr:rowOff>
    </xdr:to>
    <xdr:pic>
      <xdr:nvPicPr>
        <xdr:cNvPr id="3" name="图片 2">
          <a:extLst>
            <a:ext uri="{FF2B5EF4-FFF2-40B4-BE49-F238E27FC236}">
              <a16:creationId xmlns:a16="http://schemas.microsoft.com/office/drawing/2014/main" id="{BBB44542-23BC-AC2E-1510-A62375C4D6EB}"/>
            </a:ext>
          </a:extLst>
        </xdr:cNvPr>
        <xdr:cNvPicPr>
          <a:picLocks noChangeAspect="1"/>
        </xdr:cNvPicPr>
      </xdr:nvPicPr>
      <xdr:blipFill>
        <a:blip xmlns:r="http://schemas.openxmlformats.org/officeDocument/2006/relationships" r:embed="rId9"/>
        <a:stretch>
          <a:fillRect/>
        </a:stretch>
      </xdr:blipFill>
      <xdr:spPr>
        <a:xfrm>
          <a:off x="0" y="45205650"/>
          <a:ext cx="8805801" cy="6967893"/>
        </a:xfrm>
        <a:prstGeom prst="rect">
          <a:avLst/>
        </a:prstGeom>
      </xdr:spPr>
    </xdr:pic>
    <xdr:clientData/>
  </xdr:twoCellAnchor>
  <xdr:twoCellAnchor editAs="oneCell">
    <xdr:from>
      <xdr:col>6</xdr:col>
      <xdr:colOff>89860</xdr:colOff>
      <xdr:row>277</xdr:row>
      <xdr:rowOff>171450</xdr:rowOff>
    </xdr:from>
    <xdr:to>
      <xdr:col>13</xdr:col>
      <xdr:colOff>129335</xdr:colOff>
      <xdr:row>302</xdr:row>
      <xdr:rowOff>8690</xdr:rowOff>
    </xdr:to>
    <xdr:pic>
      <xdr:nvPicPr>
        <xdr:cNvPr id="11" name="图片 10">
          <a:extLst>
            <a:ext uri="{FF2B5EF4-FFF2-40B4-BE49-F238E27FC236}">
              <a16:creationId xmlns:a16="http://schemas.microsoft.com/office/drawing/2014/main" id="{4DD29E2C-4BA7-8BFA-4DF7-FB671659EAA3}"/>
            </a:ext>
          </a:extLst>
        </xdr:cNvPr>
        <xdr:cNvPicPr>
          <a:picLocks noChangeAspect="1"/>
        </xdr:cNvPicPr>
      </xdr:nvPicPr>
      <xdr:blipFill>
        <a:blip xmlns:r="http://schemas.openxmlformats.org/officeDocument/2006/relationships" r:embed="rId10"/>
        <a:stretch>
          <a:fillRect/>
        </a:stretch>
      </xdr:blipFill>
      <xdr:spPr>
        <a:xfrm>
          <a:off x="3747460" y="49422050"/>
          <a:ext cx="4306675" cy="4282240"/>
        </a:xfrm>
        <a:prstGeom prst="rect">
          <a:avLst/>
        </a:prstGeom>
      </xdr:spPr>
    </xdr:pic>
    <xdr:clientData/>
  </xdr:twoCellAnchor>
  <xdr:twoCellAnchor editAs="oneCell">
    <xdr:from>
      <xdr:col>0</xdr:col>
      <xdr:colOff>0</xdr:colOff>
      <xdr:row>305</xdr:row>
      <xdr:rowOff>101600</xdr:rowOff>
    </xdr:from>
    <xdr:to>
      <xdr:col>14</xdr:col>
      <xdr:colOff>49207</xdr:colOff>
      <xdr:row>345</xdr:row>
      <xdr:rowOff>119457</xdr:rowOff>
    </xdr:to>
    <xdr:pic>
      <xdr:nvPicPr>
        <xdr:cNvPr id="12" name="图片 11">
          <a:extLst>
            <a:ext uri="{FF2B5EF4-FFF2-40B4-BE49-F238E27FC236}">
              <a16:creationId xmlns:a16="http://schemas.microsoft.com/office/drawing/2014/main" id="{8890F371-D8B0-9B4D-AE2D-90215E992694}"/>
            </a:ext>
          </a:extLst>
        </xdr:cNvPr>
        <xdr:cNvPicPr>
          <a:picLocks noChangeAspect="1"/>
        </xdr:cNvPicPr>
      </xdr:nvPicPr>
      <xdr:blipFill>
        <a:blip xmlns:r="http://schemas.openxmlformats.org/officeDocument/2006/relationships" r:embed="rId11"/>
        <a:stretch>
          <a:fillRect/>
        </a:stretch>
      </xdr:blipFill>
      <xdr:spPr>
        <a:xfrm>
          <a:off x="0" y="54330600"/>
          <a:ext cx="8837607" cy="7129857"/>
        </a:xfrm>
        <a:prstGeom prst="rect">
          <a:avLst/>
        </a:prstGeom>
      </xdr:spPr>
    </xdr:pic>
    <xdr:clientData/>
  </xdr:twoCellAnchor>
  <xdr:twoCellAnchor editAs="oneCell">
    <xdr:from>
      <xdr:col>20</xdr:col>
      <xdr:colOff>355600</xdr:colOff>
      <xdr:row>73</xdr:row>
      <xdr:rowOff>120650</xdr:rowOff>
    </xdr:from>
    <xdr:to>
      <xdr:col>28</xdr:col>
      <xdr:colOff>12133</xdr:colOff>
      <xdr:row>78</xdr:row>
      <xdr:rowOff>3079</xdr:rowOff>
    </xdr:to>
    <xdr:pic>
      <xdr:nvPicPr>
        <xdr:cNvPr id="14" name="图片 13">
          <a:extLst>
            <a:ext uri="{FF2B5EF4-FFF2-40B4-BE49-F238E27FC236}">
              <a16:creationId xmlns:a16="http://schemas.microsoft.com/office/drawing/2014/main" id="{605F96FB-3B5D-4481-A339-887F0A8A1809}"/>
            </a:ext>
          </a:extLst>
        </xdr:cNvPr>
        <xdr:cNvPicPr>
          <a:picLocks noChangeAspect="1"/>
        </xdr:cNvPicPr>
      </xdr:nvPicPr>
      <xdr:blipFill>
        <a:blip xmlns:r="http://schemas.openxmlformats.org/officeDocument/2006/relationships" r:embed="rId12"/>
        <a:stretch>
          <a:fillRect/>
        </a:stretch>
      </xdr:blipFill>
      <xdr:spPr>
        <a:xfrm>
          <a:off x="12909550" y="13100050"/>
          <a:ext cx="4533333" cy="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受贵公司委托，我公司对北京市进行了预评估。</v>
      </c>
    </row>
    <row r="7" spans="1:2">
      <c r="A7" s="1119" t="s">
        <v>566</v>
      </c>
      <c r="B7" s="1120" t="str">
        <f>'预评函-1'!A7</f>
        <v>估价对象为北京市房地产，为所有。根据《国有土地使用证》[]，估价对象（分摊）出让国有建设用地使用权面积为0平方米，建筑面积为3730.18平方米。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估价对象为北京市房地产,属开发建设的商业项目，该项目尚在开发建设中。根据《国有土地使用证》[]，估价对象（分摊）出让国有建设用地使用权面积为0平方米，规划建筑面积为3730.18平方米。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2025年10月27日</v>
      </c>
    </row>
    <row r="13" spans="1:2">
      <c r="A13" s="1119" t="s">
        <v>529</v>
      </c>
      <c r="B13" s="1120" t="str">
        <f>'预评函-1'!A18</f>
        <v>本次估价的“房地产价值”是指在正常市场情况下，在价值时点2025年10月27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本次评估采用的主估价方法为基准地价系数修正法和基准地价系数修正法。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ht="30">
      <c r="A42" s="1119" t="s">
        <v>590</v>
      </c>
      <c r="B42" s="1120" t="str">
        <f>'预评函-3'!B2</f>
        <v>建筑面积</v>
      </c>
    </row>
    <row r="43" spans="1:2">
      <c r="A43" s="1119" t="s">
        <v>591</v>
      </c>
      <c r="B43" s="1120">
        <f>'预评函-3'!B4</f>
        <v>3730.1800000000003</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974</v>
      </c>
      <c r="C1" s="1438" t="s">
        <v>314</v>
      </c>
      <c r="D1" s="1439" t="s">
        <v>3340</v>
      </c>
      <c r="E1" s="1438" t="s">
        <v>975</v>
      </c>
      <c r="F1" s="1438" t="s">
        <v>976</v>
      </c>
      <c r="G1" s="1438" t="s">
        <v>977</v>
      </c>
      <c r="H1" s="1438" t="s">
        <v>978</v>
      </c>
      <c r="I1" s="1438" t="s">
        <v>979</v>
      </c>
      <c r="J1" s="1438" t="s">
        <v>980</v>
      </c>
      <c r="K1" s="1438" t="s">
        <v>981</v>
      </c>
      <c r="L1" s="1438" t="s">
        <v>982</v>
      </c>
      <c r="M1" s="1438" t="s">
        <v>983</v>
      </c>
      <c r="N1" s="1438" t="s">
        <v>984</v>
      </c>
      <c r="O1" s="1438" t="s">
        <v>985</v>
      </c>
      <c r="P1" s="1439" t="s">
        <v>309</v>
      </c>
      <c r="Q1" s="1439" t="s">
        <v>447</v>
      </c>
      <c r="R1" s="1438" t="s">
        <v>441</v>
      </c>
      <c r="S1" s="1438" t="s">
        <v>986</v>
      </c>
      <c r="T1" s="1439" t="s">
        <v>987</v>
      </c>
      <c r="U1" s="1438" t="s">
        <v>988</v>
      </c>
      <c r="V1" s="1438" t="s">
        <v>989</v>
      </c>
      <c r="W1" s="1438" t="s">
        <v>311</v>
      </c>
      <c r="X1" s="1438" t="s">
        <v>670</v>
      </c>
      <c r="Y1" s="1438" t="s">
        <v>21</v>
      </c>
      <c r="Z1" s="1438" t="s">
        <v>3394</v>
      </c>
      <c r="AA1" s="1438" t="s">
        <v>3393</v>
      </c>
      <c r="AB1" s="1438" t="s">
        <v>3</v>
      </c>
    </row>
    <row r="2" spans="1:28">
      <c r="A2" s="1441" t="s">
        <v>19</v>
      </c>
      <c r="B2" s="1441" t="s">
        <v>990</v>
      </c>
      <c r="C2" s="1442" t="s">
        <v>315</v>
      </c>
      <c r="D2" s="1443" t="s">
        <v>991</v>
      </c>
      <c r="E2" s="1443" t="s">
        <v>992</v>
      </c>
      <c r="F2" s="1443" t="s">
        <v>993</v>
      </c>
      <c r="G2" s="1443">
        <v>20</v>
      </c>
      <c r="H2" s="1443" t="s">
        <v>993</v>
      </c>
      <c r="I2" s="1443" t="s">
        <v>3326</v>
      </c>
      <c r="J2" s="1443" t="s">
        <v>994</v>
      </c>
      <c r="K2" s="1443" t="s">
        <v>995</v>
      </c>
      <c r="L2" s="1443" t="s">
        <v>995</v>
      </c>
      <c r="M2" s="1443" t="s">
        <v>995</v>
      </c>
      <c r="N2" s="1443" t="s">
        <v>995</v>
      </c>
      <c r="O2" s="1443" t="s">
        <v>995</v>
      </c>
      <c r="P2" s="1443" t="s">
        <v>995</v>
      </c>
      <c r="Q2" s="1443" t="s">
        <v>995</v>
      </c>
      <c r="R2" s="1443" t="s">
        <v>443</v>
      </c>
      <c r="S2" s="1443" t="s">
        <v>995</v>
      </c>
      <c r="T2" s="1443" t="s">
        <v>996</v>
      </c>
      <c r="U2" s="1443" t="s">
        <v>995</v>
      </c>
      <c r="V2" s="1443" t="s">
        <v>997</v>
      </c>
      <c r="W2" s="1443" t="s">
        <v>995</v>
      </c>
      <c r="X2" s="1445" t="s">
        <v>2430</v>
      </c>
      <c r="Y2" s="1445" t="s">
        <v>3400</v>
      </c>
      <c r="Z2" s="1445" t="s">
        <v>2443</v>
      </c>
      <c r="AA2" s="1445" t="s">
        <v>3401</v>
      </c>
      <c r="AB2" s="1445" t="s">
        <v>2470</v>
      </c>
    </row>
    <row r="3" spans="1:28">
      <c r="A3" s="1441" t="s">
        <v>998</v>
      </c>
      <c r="B3" s="1444" t="s">
        <v>448</v>
      </c>
      <c r="C3" s="1442" t="s">
        <v>316</v>
      </c>
      <c r="D3" s="1443" t="s">
        <v>999</v>
      </c>
      <c r="E3" s="1443" t="s">
        <v>13</v>
      </c>
      <c r="F3" s="1443" t="s">
        <v>1000</v>
      </c>
      <c r="G3" s="1443">
        <v>40</v>
      </c>
      <c r="H3" s="1443" t="s">
        <v>1000</v>
      </c>
      <c r="I3" s="1443" t="s">
        <v>3327</v>
      </c>
      <c r="J3" s="1443" t="s">
        <v>1001</v>
      </c>
      <c r="K3" s="1443" t="s">
        <v>1002</v>
      </c>
      <c r="L3" s="1443" t="s">
        <v>1002</v>
      </c>
      <c r="M3" s="1443" t="s">
        <v>1002</v>
      </c>
      <c r="N3" s="1443" t="s">
        <v>1002</v>
      </c>
      <c r="O3" s="1443" t="s">
        <v>1002</v>
      </c>
      <c r="P3" s="1443" t="s">
        <v>1002</v>
      </c>
      <c r="Q3" s="1443" t="s">
        <v>1002</v>
      </c>
      <c r="R3" s="1443" t="s">
        <v>442</v>
      </c>
      <c r="S3" s="1443" t="s">
        <v>1002</v>
      </c>
      <c r="T3" s="1443" t="s">
        <v>1003</v>
      </c>
      <c r="U3" s="1443" t="s">
        <v>1002</v>
      </c>
      <c r="V3" s="1443" t="s">
        <v>1004</v>
      </c>
      <c r="W3" s="1443" t="s">
        <v>1002</v>
      </c>
      <c r="X3" s="1445" t="s">
        <v>2432</v>
      </c>
      <c r="Z3" s="1445" t="s">
        <v>2445</v>
      </c>
      <c r="AB3" s="1445" t="s">
        <v>2472</v>
      </c>
    </row>
    <row r="4" spans="1:28">
      <c r="A4" s="1441" t="s">
        <v>1005</v>
      </c>
      <c r="B4" s="1441" t="s">
        <v>1006</v>
      </c>
      <c r="C4" s="1442" t="s">
        <v>317</v>
      </c>
      <c r="D4" s="1443" t="s">
        <v>389</v>
      </c>
      <c r="E4" s="1443" t="s">
        <v>1007</v>
      </c>
      <c r="F4" s="1443" t="s">
        <v>1008</v>
      </c>
      <c r="G4" s="1443">
        <v>50</v>
      </c>
      <c r="H4" s="1443" t="s">
        <v>1008</v>
      </c>
      <c r="I4" s="1443" t="s">
        <v>3328</v>
      </c>
      <c r="K4" s="1443" t="s">
        <v>1009</v>
      </c>
      <c r="L4" s="1443" t="s">
        <v>1009</v>
      </c>
      <c r="M4" s="1443" t="s">
        <v>1009</v>
      </c>
      <c r="N4" s="1443" t="s">
        <v>1009</v>
      </c>
      <c r="O4" s="1443" t="s">
        <v>1009</v>
      </c>
      <c r="P4" s="1443" t="s">
        <v>1009</v>
      </c>
      <c r="Q4" s="1443" t="s">
        <v>1009</v>
      </c>
      <c r="R4" s="1443" t="s">
        <v>444</v>
      </c>
      <c r="S4" s="1443" t="s">
        <v>1009</v>
      </c>
      <c r="T4" s="1443" t="s">
        <v>1010</v>
      </c>
      <c r="U4" s="1443" t="s">
        <v>1009</v>
      </c>
      <c r="W4" s="1443" t="s">
        <v>1009</v>
      </c>
      <c r="X4" s="1445" t="s">
        <v>2434</v>
      </c>
      <c r="Z4" s="1445" t="s">
        <v>2447</v>
      </c>
      <c r="AB4" s="1445" t="s">
        <v>2474</v>
      </c>
    </row>
    <row r="5" spans="1:28">
      <c r="A5" s="1441" t="s">
        <v>1011</v>
      </c>
      <c r="B5" s="1441" t="s">
        <v>1012</v>
      </c>
      <c r="C5" s="1442" t="s">
        <v>318</v>
      </c>
      <c r="F5" s="1443" t="s">
        <v>1013</v>
      </c>
      <c r="G5" s="1443">
        <v>70</v>
      </c>
      <c r="H5" s="1443" t="s">
        <v>1014</v>
      </c>
      <c r="I5" s="1443" t="s">
        <v>3329</v>
      </c>
      <c r="K5" s="1443" t="s">
        <v>1015</v>
      </c>
      <c r="L5" s="1443" t="s">
        <v>1015</v>
      </c>
      <c r="M5" s="1443" t="s">
        <v>1015</v>
      </c>
      <c r="N5" s="1443" t="s">
        <v>1015</v>
      </c>
      <c r="O5" s="1443" t="s">
        <v>1015</v>
      </c>
      <c r="P5" s="1443" t="s">
        <v>1015</v>
      </c>
      <c r="Q5" s="1443" t="s">
        <v>1015</v>
      </c>
      <c r="R5" s="1443" t="s">
        <v>445</v>
      </c>
      <c r="S5" s="1443" t="s">
        <v>1015</v>
      </c>
      <c r="T5" s="1443" t="s">
        <v>1016</v>
      </c>
      <c r="U5" s="1443" t="s">
        <v>1015</v>
      </c>
      <c r="W5" s="1443" t="s">
        <v>1015</v>
      </c>
      <c r="X5" s="1445" t="s">
        <v>2436</v>
      </c>
      <c r="Z5" s="1445" t="s">
        <v>2449</v>
      </c>
      <c r="AB5" s="1445" t="s">
        <v>3402</v>
      </c>
    </row>
    <row r="6" spans="1:28">
      <c r="A6" s="1441" t="s">
        <v>1017</v>
      </c>
      <c r="B6" s="1444" t="s">
        <v>449</v>
      </c>
      <c r="C6" s="1446" t="s">
        <v>24</v>
      </c>
      <c r="F6" s="1443" t="s">
        <v>1014</v>
      </c>
      <c r="H6" s="1443" t="s">
        <v>1018</v>
      </c>
      <c r="I6" s="1443" t="s">
        <v>3330</v>
      </c>
      <c r="K6" s="1443" t="s">
        <v>1019</v>
      </c>
      <c r="L6" s="1443" t="s">
        <v>1019</v>
      </c>
      <c r="M6" s="1443" t="s">
        <v>1019</v>
      </c>
      <c r="N6" s="1443" t="s">
        <v>1019</v>
      </c>
      <c r="O6" s="1443" t="s">
        <v>1019</v>
      </c>
      <c r="P6" s="1443" t="s">
        <v>1019</v>
      </c>
      <c r="Q6" s="1443" t="s">
        <v>1019</v>
      </c>
      <c r="R6" s="1443" t="s">
        <v>446</v>
      </c>
      <c r="S6" s="1443" t="s">
        <v>1019</v>
      </c>
      <c r="T6" s="1443"/>
      <c r="U6" s="1443" t="s">
        <v>1019</v>
      </c>
      <c r="W6" s="1443" t="s">
        <v>1019</v>
      </c>
      <c r="X6" s="1445" t="s">
        <v>2438</v>
      </c>
      <c r="Z6" s="1445" t="s">
        <v>2451</v>
      </c>
      <c r="AB6" s="1445" t="s">
        <v>2477</v>
      </c>
    </row>
    <row r="7" spans="1:28">
      <c r="A7" s="1441" t="s">
        <v>1020</v>
      </c>
      <c r="B7" s="1444" t="s">
        <v>450</v>
      </c>
      <c r="C7" s="1442" t="s">
        <v>25</v>
      </c>
      <c r="F7" s="1443" t="s">
        <v>1021</v>
      </c>
      <c r="H7" s="1443" t="s">
        <v>1022</v>
      </c>
      <c r="I7" s="1443" t="s">
        <v>3331</v>
      </c>
      <c r="X7" s="1445" t="s">
        <v>2440</v>
      </c>
      <c r="Z7" s="1445" t="s">
        <v>2453</v>
      </c>
      <c r="AB7" s="1445" t="s">
        <v>2479</v>
      </c>
    </row>
    <row r="8" spans="1:28">
      <c r="A8" s="1441" t="s">
        <v>1023</v>
      </c>
      <c r="B8" s="1441" t="s">
        <v>1024</v>
      </c>
      <c r="C8" s="1442" t="s">
        <v>319</v>
      </c>
      <c r="F8" s="1443" t="s">
        <v>1025</v>
      </c>
      <c r="H8" s="1443" t="s">
        <v>2568</v>
      </c>
      <c r="I8" s="1443" t="s">
        <v>3332</v>
      </c>
      <c r="X8" s="1445" t="s">
        <v>3403</v>
      </c>
      <c r="Z8" s="1445" t="s">
        <v>2455</v>
      </c>
      <c r="AB8" s="1445" t="s">
        <v>2481</v>
      </c>
    </row>
    <row r="9" spans="1:28">
      <c r="A9" s="1441" t="s">
        <v>1026</v>
      </c>
      <c r="B9" s="1441" t="s">
        <v>1027</v>
      </c>
      <c r="C9" s="1442" t="s">
        <v>320</v>
      </c>
      <c r="F9" s="1443" t="s">
        <v>1028</v>
      </c>
      <c r="H9" s="1443"/>
      <c r="I9" s="1445" t="s">
        <v>3333</v>
      </c>
      <c r="X9" s="1445" t="s">
        <v>3404</v>
      </c>
      <c r="Z9" s="1445" t="s">
        <v>2457</v>
      </c>
      <c r="AB9" s="1445" t="s">
        <v>2483</v>
      </c>
    </row>
    <row r="10" spans="1:28">
      <c r="A10" s="1441" t="s">
        <v>1029</v>
      </c>
      <c r="B10" s="1441" t="s">
        <v>1030</v>
      </c>
      <c r="C10" s="1442" t="s">
        <v>321</v>
      </c>
      <c r="F10" s="1443" t="s">
        <v>2569</v>
      </c>
      <c r="I10" s="1445" t="s">
        <v>3334</v>
      </c>
      <c r="Z10" s="1445" t="s">
        <v>2459</v>
      </c>
      <c r="AB10" s="1445" t="s">
        <v>2485</v>
      </c>
    </row>
    <row r="11" spans="1:28">
      <c r="A11" s="1441" t="s">
        <v>1031</v>
      </c>
      <c r="B11" s="1441" t="s">
        <v>1032</v>
      </c>
      <c r="C11" s="1442" t="s">
        <v>322</v>
      </c>
      <c r="F11" s="1443" t="s">
        <v>13</v>
      </c>
      <c r="I11" s="1445" t="s">
        <v>3335</v>
      </c>
      <c r="Z11" s="1445" t="s">
        <v>2461</v>
      </c>
      <c r="AB11" s="1445" t="s">
        <v>2487</v>
      </c>
    </row>
    <row r="12" spans="1:28">
      <c r="A12" s="1441" t="s">
        <v>1033</v>
      </c>
      <c r="B12" s="1441" t="s">
        <v>1034</v>
      </c>
      <c r="C12" s="1442" t="s">
        <v>323</v>
      </c>
      <c r="I12" s="1445" t="s">
        <v>3336</v>
      </c>
      <c r="Z12" s="1445" t="s">
        <v>2463</v>
      </c>
      <c r="AB12" s="1445" t="s">
        <v>2489</v>
      </c>
    </row>
    <row r="13" spans="1:28">
      <c r="A13" s="1441" t="s">
        <v>1035</v>
      </c>
      <c r="B13" s="1441" t="s">
        <v>1036</v>
      </c>
      <c r="C13" s="1442" t="s">
        <v>324</v>
      </c>
      <c r="I13" s="1445" t="s">
        <v>3337</v>
      </c>
      <c r="Z13" s="1445" t="s">
        <v>2465</v>
      </c>
    </row>
    <row r="14" spans="1:28">
      <c r="A14" s="1441" t="s">
        <v>1037</v>
      </c>
      <c r="B14" s="1441" t="s">
        <v>1038</v>
      </c>
      <c r="C14" s="1443" t="s">
        <v>13</v>
      </c>
      <c r="I14" s="1445" t="s">
        <v>3338</v>
      </c>
      <c r="Z14" s="1445" t="s">
        <v>2467</v>
      </c>
    </row>
    <row r="15" spans="1:28">
      <c r="A15" s="1441" t="s">
        <v>1039</v>
      </c>
      <c r="B15" s="1441" t="s">
        <v>1040</v>
      </c>
      <c r="C15" s="1442"/>
      <c r="I15" s="1445" t="s">
        <v>3339</v>
      </c>
    </row>
    <row r="16" spans="1:28">
      <c r="A16" s="1441" t="s">
        <v>1041</v>
      </c>
      <c r="B16" s="1441" t="s">
        <v>312</v>
      </c>
      <c r="C16" s="1442"/>
    </row>
    <row r="17" spans="1:3">
      <c r="A17" s="1441" t="s">
        <v>1042</v>
      </c>
      <c r="B17" s="1441" t="s">
        <v>2284</v>
      </c>
      <c r="C17" s="1442"/>
    </row>
    <row r="18" spans="1:3">
      <c r="A18" s="1441" t="s">
        <v>1043</v>
      </c>
      <c r="B18" s="1441" t="s">
        <v>2424</v>
      </c>
      <c r="C18" s="1442"/>
    </row>
    <row r="19" spans="1:3">
      <c r="A19" s="1441" t="s">
        <v>1044</v>
      </c>
      <c r="B19" s="1441" t="s">
        <v>313</v>
      </c>
      <c r="C19" s="1442"/>
    </row>
    <row r="20" spans="1:3">
      <c r="A20" s="1441" t="s">
        <v>1045</v>
      </c>
      <c r="B20" s="1441" t="s">
        <v>313</v>
      </c>
      <c r="C20" s="1442"/>
    </row>
    <row r="21" spans="1:3">
      <c r="A21" s="1441" t="s">
        <v>1046</v>
      </c>
      <c r="B21" s="1441" t="s">
        <v>313</v>
      </c>
      <c r="C21" s="1442"/>
    </row>
    <row r="22" spans="1:3">
      <c r="A22" s="1441" t="s">
        <v>1047</v>
      </c>
      <c r="B22" s="1441" t="s">
        <v>313</v>
      </c>
      <c r="C22" s="1442"/>
    </row>
    <row r="23" spans="1:3">
      <c r="A23" s="1441" t="s">
        <v>1048</v>
      </c>
      <c r="B23" s="1441" t="s">
        <v>313</v>
      </c>
      <c r="C23" s="1442"/>
    </row>
    <row r="24" spans="1:3">
      <c r="A24" s="1441" t="s">
        <v>1049</v>
      </c>
      <c r="B24" s="1441" t="s">
        <v>313</v>
      </c>
      <c r="C24" s="1442"/>
    </row>
    <row r="25" spans="1:3">
      <c r="A25" s="1441" t="s">
        <v>1050</v>
      </c>
      <c r="B25" s="1441" t="s">
        <v>313</v>
      </c>
      <c r="C25" s="1442"/>
    </row>
    <row r="26" spans="1:3">
      <c r="A26" s="1441" t="s">
        <v>1051</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1"/>
      <c r="B54" s="1447" t="s">
        <v>385</v>
      </c>
      <c r="C54" s="1445" t="s">
        <v>583</v>
      </c>
    </row>
    <row r="55" spans="1:4">
      <c r="A55" s="3251"/>
      <c r="B55" s="1447" t="s">
        <v>386</v>
      </c>
      <c r="C55" s="1445" t="s">
        <v>584</v>
      </c>
    </row>
    <row r="56" spans="1:4">
      <c r="A56" s="3251"/>
      <c r="B56" s="1447" t="s">
        <v>387</v>
      </c>
      <c r="C56" s="1445" t="s">
        <v>588</v>
      </c>
    </row>
    <row r="57" spans="1:4">
      <c r="A57" s="325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52" t="s">
        <v>2571</v>
      </c>
      <c r="J2" s="3252"/>
      <c r="K2" s="3252"/>
      <c r="L2" s="3252"/>
      <c r="M2" s="3252"/>
      <c r="N2" s="3252"/>
      <c r="O2" s="3252"/>
      <c r="P2" s="3252"/>
      <c r="Q2" s="3252"/>
      <c r="R2" s="3252"/>
    </row>
    <row r="3" spans="1:18">
      <c r="A3" s="2761" t="s">
        <v>2492</v>
      </c>
      <c r="B3" s="2762">
        <f>项目基本情况!D3</f>
        <v>45957</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1.1399999999999999</v>
      </c>
      <c r="D5" s="2766">
        <f>IF(ISERROR(ROUND(POWER(1+E5,A5-C5)*(POWER(1+E5,C5)-1)/(POWER(1+E5,A5)-1),3)),0,ROUND(POWER(1+E5,A5-C5)*(POWER(1+E5,C5)-1)/(POWER(1+E5,A5)-1),4))</f>
        <v>5.5199999999999999E-2</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11.15</v>
      </c>
      <c r="D6" s="2766">
        <f>IF(ISERROR(ROUND(POWER(1+E6,A6-C6)*(POWER(1+E6,C6)-1)/(POWER(1+E6,A6)-1),3)),0,ROUND(POWER(1+E6,A6-C6)*(POWER(1+E6,C6)-1)/(POWER(1+E6,A6)-1),4))</f>
        <v>0.41220000000000001</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31.16</v>
      </c>
      <c r="D7" s="2766">
        <f>IF(ISERROR(ROUND(POWER(1+E7,A7-C7)*(POWER(1+E7,C7)-1)/(POWER(1+E7,A7)-1),3)),0,ROUND(POWER(1+E7,A7-C7)*(POWER(1+E7,C7)-1)/(POWER(1+E7,A7)-1),4))</f>
        <v>0.75380000000000003</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4">
      <c r="A17" s="2761" t="s">
        <v>2508</v>
      </c>
      <c r="B17" s="2769">
        <v>4810</v>
      </c>
      <c r="C17" s="2763"/>
      <c r="D17" s="2759"/>
      <c r="E17" s="2759"/>
      <c r="F17" s="2760"/>
    </row>
    <row r="18" spans="1:14" ht="14.5" thickBot="1">
      <c r="A18" s="2771" t="s">
        <v>2507</v>
      </c>
      <c r="B18" s="2772">
        <f>ROUND(B17*F11/F12,2)</f>
        <v>5541.87</v>
      </c>
      <c r="C18" s="2772">
        <f>ROUND(F11/F12,4)</f>
        <v>1.1521999999999999</v>
      </c>
      <c r="D18" s="2773"/>
      <c r="E18" s="2773"/>
      <c r="F18" s="2774"/>
    </row>
    <row r="19" spans="1:14" ht="14.5" thickBot="1"/>
    <row r="20" spans="1:14" s="2807" customFormat="1" ht="14.5" thickTop="1">
      <c r="A20" s="2804" t="s">
        <v>2510</v>
      </c>
      <c r="B20" s="2805"/>
      <c r="C20" s="2805"/>
      <c r="D20" s="2805"/>
      <c r="E20" s="2805"/>
      <c r="F20" s="2805"/>
      <c r="G20" s="2806"/>
      <c r="I20" s="2808" t="s">
        <v>2555</v>
      </c>
      <c r="J20" s="2808" t="s">
        <v>2560</v>
      </c>
      <c r="K20" s="2808"/>
      <c r="L20" s="2808"/>
      <c r="M20" s="2808"/>
    </row>
    <row r="21" spans="1:14">
      <c r="A21" s="2775"/>
      <c r="B21" s="2776" t="s">
        <v>2511</v>
      </c>
      <c r="C21" s="2776" t="s">
        <v>2512</v>
      </c>
      <c r="D21" s="2776" t="s">
        <v>2513</v>
      </c>
      <c r="E21" s="2776" t="s">
        <v>2514</v>
      </c>
      <c r="F21" s="2776" t="s">
        <v>2515</v>
      </c>
      <c r="G21" s="2777" t="s">
        <v>2516</v>
      </c>
      <c r="I21" s="2798">
        <v>5</v>
      </c>
      <c r="J21" s="2798">
        <v>54.2</v>
      </c>
    </row>
    <row r="22" spans="1:14">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N23" s="3151" t="s">
        <v>2559</v>
      </c>
    </row>
    <row r="24" spans="1:14">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N24" s="3151">
        <v>10</v>
      </c>
    </row>
    <row r="25" spans="1:14">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N25" s="3151">
        <v>8</v>
      </c>
    </row>
    <row r="26" spans="1:14">
      <c r="A26" s="2780"/>
      <c r="B26" s="2781"/>
      <c r="C26" s="2781"/>
      <c r="D26" s="2781"/>
      <c r="E26" s="2781"/>
      <c r="F26" s="2781"/>
      <c r="G26" s="2782"/>
      <c r="I26" s="2798">
        <v>30</v>
      </c>
      <c r="J26" s="2798">
        <v>90.5</v>
      </c>
      <c r="K26" s="2798">
        <f t="shared" si="2"/>
        <v>4.2000000000000028</v>
      </c>
      <c r="L26" s="2798" t="s">
        <v>2562</v>
      </c>
      <c r="N26" s="3151">
        <v>5</v>
      </c>
    </row>
    <row r="27" spans="1:14">
      <c r="A27" s="2780" t="s">
        <v>2521</v>
      </c>
      <c r="B27" s="2781"/>
      <c r="C27" s="2781"/>
      <c r="D27" s="2781"/>
      <c r="E27" s="2781"/>
      <c r="F27" s="2781"/>
      <c r="G27" s="2782"/>
      <c r="I27" s="2798">
        <v>35</v>
      </c>
      <c r="J27" s="2798">
        <v>93.8</v>
      </c>
      <c r="K27" s="2798">
        <f t="shared" si="2"/>
        <v>3.2999999999999972</v>
      </c>
      <c r="L27" s="2798" t="s">
        <v>2563</v>
      </c>
      <c r="N27" s="3151">
        <v>3</v>
      </c>
    </row>
    <row r="28" spans="1:14">
      <c r="A28" s="2780" t="s">
        <v>2522</v>
      </c>
      <c r="B28" s="2781"/>
      <c r="C28" s="2781"/>
      <c r="D28" s="2781"/>
      <c r="E28" s="2781"/>
      <c r="F28" s="2781"/>
      <c r="G28" s="2782"/>
      <c r="I28" s="2798">
        <v>40</v>
      </c>
      <c r="J28" s="2798">
        <v>96.4</v>
      </c>
      <c r="K28" s="2798">
        <f t="shared" si="2"/>
        <v>2.6000000000000085</v>
      </c>
      <c r="L28" s="2798" t="s">
        <v>2564</v>
      </c>
      <c r="N28" s="3151">
        <v>2</v>
      </c>
    </row>
    <row r="29" spans="1:14">
      <c r="A29" s="2780" t="s">
        <v>2523</v>
      </c>
      <c r="B29" s="2781"/>
      <c r="C29" s="2781"/>
      <c r="D29" s="2781"/>
      <c r="E29" s="2781"/>
      <c r="F29" s="2781"/>
      <c r="G29" s="2782"/>
      <c r="I29" s="2798">
        <v>45</v>
      </c>
      <c r="J29" s="2798">
        <v>98.4</v>
      </c>
      <c r="K29" s="2798">
        <f t="shared" si="2"/>
        <v>2</v>
      </c>
    </row>
    <row r="30" spans="1:14">
      <c r="A30" s="2780" t="s">
        <v>2524</v>
      </c>
      <c r="B30" s="2781"/>
      <c r="C30" s="2781"/>
      <c r="D30" s="2781"/>
      <c r="E30" s="2781"/>
      <c r="F30" s="2781"/>
      <c r="G30" s="2782"/>
      <c r="I30" s="2798">
        <v>50</v>
      </c>
      <c r="J30" s="2798">
        <v>100</v>
      </c>
      <c r="K30" s="2798">
        <f t="shared" si="2"/>
        <v>1.5999999999999943</v>
      </c>
    </row>
    <row r="31" spans="1:14">
      <c r="A31" s="2780" t="s">
        <v>2525</v>
      </c>
      <c r="B31" s="2781"/>
      <c r="C31" s="2781"/>
      <c r="D31" s="2781"/>
      <c r="E31" s="2781"/>
      <c r="F31" s="2781"/>
      <c r="G31" s="2782"/>
      <c r="I31" s="2798" t="s">
        <v>2556</v>
      </c>
    </row>
    <row r="32" spans="1:14">
      <c r="A32" s="2780" t="s">
        <v>2526</v>
      </c>
      <c r="B32" s="2781"/>
      <c r="C32" s="2781"/>
      <c r="D32" s="2781"/>
      <c r="E32" s="2781"/>
      <c r="F32" s="2781"/>
      <c r="G32" s="2782"/>
    </row>
    <row r="33" spans="1:14">
      <c r="A33" s="2780" t="s">
        <v>2527</v>
      </c>
      <c r="B33" s="2781"/>
      <c r="C33" s="2781"/>
      <c r="D33" s="2781"/>
      <c r="E33" s="2781"/>
      <c r="F33" s="2781"/>
      <c r="G33" s="2782"/>
      <c r="I33" s="2798" t="s">
        <v>2555</v>
      </c>
      <c r="J33" s="2798" t="s">
        <v>2565</v>
      </c>
    </row>
    <row r="34" spans="1:14">
      <c r="A34" s="2780" t="s">
        <v>2528</v>
      </c>
      <c r="B34" s="2781"/>
      <c r="C34" s="2781"/>
      <c r="D34" s="2781"/>
      <c r="E34" s="2781"/>
      <c r="F34" s="2781"/>
      <c r="G34" s="2782"/>
      <c r="I34" s="2798">
        <v>5</v>
      </c>
      <c r="J34" s="2798">
        <v>55.1</v>
      </c>
    </row>
    <row r="35" spans="1:14">
      <c r="A35" s="2780" t="s">
        <v>2529</v>
      </c>
      <c r="B35" s="2781"/>
      <c r="C35" s="2781"/>
      <c r="D35" s="2781"/>
      <c r="E35" s="2781"/>
      <c r="F35" s="2781"/>
      <c r="G35" s="2782"/>
      <c r="I35" s="2798">
        <v>10</v>
      </c>
      <c r="J35" s="2798">
        <v>67</v>
      </c>
      <c r="K35" s="2798">
        <f>J35-J34</f>
        <v>11.899999999999999</v>
      </c>
    </row>
    <row r="36" spans="1:14">
      <c r="A36" s="2780" t="s">
        <v>2530</v>
      </c>
      <c r="B36" s="2781"/>
      <c r="C36" s="2781"/>
      <c r="D36" s="2781"/>
      <c r="E36" s="2781"/>
      <c r="F36" s="2781"/>
      <c r="G36" s="2782"/>
      <c r="I36" s="2798">
        <v>15</v>
      </c>
      <c r="J36" s="2798">
        <v>76.3</v>
      </c>
      <c r="K36" s="2798">
        <f t="shared" ref="K36:K41" si="3">J36-J35</f>
        <v>9.2999999999999972</v>
      </c>
      <c r="L36" s="2798" t="s">
        <v>2558</v>
      </c>
      <c r="N36" s="3151" t="s">
        <v>2559</v>
      </c>
    </row>
    <row r="37" spans="1:14">
      <c r="A37" s="2780" t="s">
        <v>2531</v>
      </c>
      <c r="B37" s="2781"/>
      <c r="C37" s="2781"/>
      <c r="D37" s="2781"/>
      <c r="E37" s="2781"/>
      <c r="F37" s="2781"/>
      <c r="G37" s="2782"/>
      <c r="I37" s="2798">
        <v>20</v>
      </c>
      <c r="J37" s="2798">
        <v>83.6</v>
      </c>
      <c r="K37" s="2798">
        <f t="shared" si="3"/>
        <v>7.2999999999999972</v>
      </c>
      <c r="L37" s="2798" t="s">
        <v>2557</v>
      </c>
      <c r="N37" s="3151">
        <v>10</v>
      </c>
    </row>
    <row r="38" spans="1:14">
      <c r="A38" s="2780" t="s">
        <v>2532</v>
      </c>
      <c r="B38" s="2781"/>
      <c r="C38" s="2781"/>
      <c r="D38" s="2781"/>
      <c r="E38" s="2781"/>
      <c r="F38" s="2781"/>
      <c r="G38" s="2782"/>
      <c r="I38" s="2798">
        <v>25</v>
      </c>
      <c r="J38" s="2798">
        <v>89.3</v>
      </c>
      <c r="K38" s="2798">
        <f t="shared" si="3"/>
        <v>5.7000000000000028</v>
      </c>
      <c r="L38" s="2798" t="s">
        <v>2561</v>
      </c>
      <c r="N38" s="3151">
        <v>8</v>
      </c>
    </row>
    <row r="39" spans="1:14">
      <c r="A39" s="2780"/>
      <c r="B39" s="2781"/>
      <c r="C39" s="2781"/>
      <c r="D39" s="2781"/>
      <c r="E39" s="2781"/>
      <c r="F39" s="2781"/>
      <c r="G39" s="2782"/>
      <c r="I39" s="2798">
        <v>30</v>
      </c>
      <c r="J39" s="2798">
        <v>93.8</v>
      </c>
      <c r="K39" s="2798">
        <f t="shared" si="3"/>
        <v>4.5</v>
      </c>
      <c r="L39" s="2798" t="s">
        <v>2562</v>
      </c>
      <c r="N39" s="3151">
        <v>6</v>
      </c>
    </row>
    <row r="40" spans="1:14">
      <c r="A40" s="2783" t="s">
        <v>2533</v>
      </c>
      <c r="B40" s="2784"/>
      <c r="C40" s="2784"/>
      <c r="D40" s="2784"/>
      <c r="E40" s="2784"/>
      <c r="F40" s="2784"/>
      <c r="G40" s="2785"/>
      <c r="I40" s="2798">
        <v>35</v>
      </c>
      <c r="J40" s="2798">
        <v>97.2</v>
      </c>
      <c r="K40" s="2798">
        <f t="shared" si="3"/>
        <v>3.4000000000000057</v>
      </c>
      <c r="L40" s="2798" t="s">
        <v>2563</v>
      </c>
      <c r="N40" s="3151">
        <v>3</v>
      </c>
    </row>
    <row r="41" spans="1:14">
      <c r="A41" s="2786" t="s">
        <v>2534</v>
      </c>
      <c r="B41" s="2787" t="s">
        <v>2535</v>
      </c>
      <c r="C41" s="2788" t="s">
        <v>2536</v>
      </c>
      <c r="D41" s="2788" t="s">
        <v>2537</v>
      </c>
      <c r="E41" s="2789"/>
      <c r="F41" s="2790"/>
      <c r="G41" s="2791"/>
      <c r="I41" s="2798">
        <v>40</v>
      </c>
      <c r="J41" s="2798">
        <v>100</v>
      </c>
      <c r="K41" s="2798">
        <f t="shared" si="3"/>
        <v>2.7999999999999972</v>
      </c>
    </row>
    <row r="42" spans="1:14">
      <c r="A42" s="2786" t="s">
        <v>2538</v>
      </c>
      <c r="B42" s="2787" t="s">
        <v>2539</v>
      </c>
      <c r="C42" s="2788" t="s">
        <v>2540</v>
      </c>
      <c r="D42" s="2792" t="s">
        <v>2541</v>
      </c>
      <c r="E42" s="2784" t="s">
        <v>2542</v>
      </c>
      <c r="F42" s="2784"/>
      <c r="G42" s="2785"/>
    </row>
    <row r="43" spans="1:14">
      <c r="A43" s="2786" t="s">
        <v>2543</v>
      </c>
      <c r="B43" s="2787" t="s">
        <v>2544</v>
      </c>
      <c r="C43" s="2788" t="s">
        <v>2545</v>
      </c>
      <c r="D43" s="2788" t="s">
        <v>2546</v>
      </c>
      <c r="E43" s="2789" t="s">
        <v>2547</v>
      </c>
      <c r="F43" s="2790"/>
      <c r="G43" s="2791"/>
      <c r="I43" s="2798" t="s">
        <v>2555</v>
      </c>
      <c r="J43" s="2798" t="s">
        <v>2566</v>
      </c>
    </row>
    <row r="44" spans="1:14">
      <c r="A44" s="2786" t="s">
        <v>2548</v>
      </c>
      <c r="B44" s="2787" t="s">
        <v>2549</v>
      </c>
      <c r="C44" s="2788" t="s">
        <v>2550</v>
      </c>
      <c r="D44" s="2792">
        <v>0.5</v>
      </c>
      <c r="E44" s="2789" t="s">
        <v>2551</v>
      </c>
      <c r="F44" s="2790"/>
      <c r="G44" s="2791"/>
      <c r="I44" s="2798">
        <v>30</v>
      </c>
      <c r="J44" s="2798">
        <v>81.7</v>
      </c>
    </row>
    <row r="45" spans="1:14" ht="14.5" thickBot="1">
      <c r="A45" s="2793" t="s">
        <v>2552</v>
      </c>
      <c r="B45" s="2794" t="s">
        <v>2539</v>
      </c>
      <c r="C45" s="2795" t="s">
        <v>2539</v>
      </c>
      <c r="D45" s="2795" t="s">
        <v>2553</v>
      </c>
      <c r="E45" s="2796" t="s">
        <v>2554</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3376</v>
      </c>
    </row>
    <row r="50" spans="1:4">
      <c r="A50" s="3143" t="s">
        <v>3377</v>
      </c>
      <c r="B50" s="3143" t="s">
        <v>3378</v>
      </c>
      <c r="C50" s="3143" t="s">
        <v>3379</v>
      </c>
      <c r="D50" s="3143" t="s">
        <v>3380</v>
      </c>
    </row>
    <row r="51" spans="1:4">
      <c r="A51" s="3143" t="s">
        <v>3381</v>
      </c>
      <c r="B51" s="2763">
        <f>B52+B53</f>
        <v>15000</v>
      </c>
      <c r="C51" s="3144">
        <f>D51/B51</f>
        <v>2666.6666666666665</v>
      </c>
      <c r="D51" s="2763">
        <f>D52+D53</f>
        <v>40000000</v>
      </c>
    </row>
    <row r="52" spans="1:4">
      <c r="A52" s="3145" t="s">
        <v>3382</v>
      </c>
      <c r="B52" s="3146">
        <v>10000</v>
      </c>
      <c r="C52" s="3146">
        <v>1500</v>
      </c>
      <c r="D52" s="3147">
        <f>C52*B52</f>
        <v>15000000</v>
      </c>
    </row>
    <row r="53" spans="1:4">
      <c r="A53" s="3145" t="s">
        <v>3383</v>
      </c>
      <c r="B53" s="3146">
        <v>5000</v>
      </c>
      <c r="C53" s="3146">
        <v>5000</v>
      </c>
      <c r="D53" s="3147">
        <f>C53*B53</f>
        <v>25000000</v>
      </c>
    </row>
    <row r="54" spans="1:4">
      <c r="A54" s="3143" t="s">
        <v>3384</v>
      </c>
      <c r="B54" s="2763">
        <f>B51</f>
        <v>15000</v>
      </c>
      <c r="C54" s="2769">
        <v>700</v>
      </c>
      <c r="D54" s="2763">
        <f t="shared" ref="D54:D55" si="5">C54*B54</f>
        <v>10500000</v>
      </c>
    </row>
    <row r="55" spans="1:4">
      <c r="A55" s="3143" t="s">
        <v>3385</v>
      </c>
      <c r="B55" s="2763">
        <f>B51</f>
        <v>15000</v>
      </c>
      <c r="C55" s="2769">
        <v>1500</v>
      </c>
      <c r="D55" s="2763">
        <f t="shared" si="5"/>
        <v>22500000</v>
      </c>
    </row>
    <row r="56" spans="1:4">
      <c r="A56" s="3143" t="s">
        <v>3386</v>
      </c>
      <c r="B56" s="2763">
        <f>B51</f>
        <v>15000</v>
      </c>
      <c r="C56" s="3148">
        <f>C51+C54+C55</f>
        <v>4866.6666666666661</v>
      </c>
      <c r="D56" s="2763">
        <f>D51+D54+D55</f>
        <v>73000000</v>
      </c>
    </row>
    <row r="58" spans="1:4">
      <c r="A58" s="3143" t="s">
        <v>3387</v>
      </c>
      <c r="B58" s="3149">
        <v>0.05</v>
      </c>
      <c r="C58" s="2763">
        <f>C56*(1+B58)</f>
        <v>5110</v>
      </c>
      <c r="D58" s="2763">
        <f>D56*B58</f>
        <v>3650000</v>
      </c>
    </row>
    <row r="60" spans="1:4">
      <c r="A60" s="3143" t="s">
        <v>3388</v>
      </c>
      <c r="B60" s="2769">
        <v>3500</v>
      </c>
      <c r="C60" s="2769">
        <f>C53</f>
        <v>5000</v>
      </c>
      <c r="D60" s="2763">
        <f>C60*B60</f>
        <v>17500000</v>
      </c>
    </row>
    <row r="62" spans="1:4">
      <c r="A62" s="3143" t="s">
        <v>3389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8" zoomScaleNormal="100" zoomScaleSheetLayoutView="100" workbookViewId="0">
      <selection activeCell="E31" sqref="E31"/>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2162</v>
      </c>
      <c r="B1" s="3260" t="str">
        <f>IF(B10="北京市","北京市",C10)&amp;F10&amp;IF(结果表!G1="在建","出让国有建设用地使用权及在建建筑物",IF(结果表!G1="土地","出让国有建设用地使用权",))&amp;B9&amp;"预评估"</f>
        <v>北京市预评估</v>
      </c>
      <c r="C1" s="3261"/>
      <c r="D1" s="3261"/>
      <c r="E1" s="3261"/>
      <c r="F1" s="3261"/>
      <c r="G1" s="3261"/>
      <c r="H1" s="3261"/>
      <c r="I1" s="326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v>
      </c>
      <c r="T1" s="1618"/>
      <c r="U1" s="1618"/>
      <c r="V1" s="1618"/>
      <c r="W1" s="1618"/>
      <c r="X1" s="1618"/>
      <c r="Y1" s="1618"/>
      <c r="Z1" s="1618"/>
      <c r="AA1" s="1618"/>
      <c r="AB1" s="1618"/>
    </row>
    <row r="2" spans="1:30" ht="13">
      <c r="A2" s="2182" t="s">
        <v>2163</v>
      </c>
      <c r="B2" s="122"/>
      <c r="D2" s="2446"/>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ht="13">
      <c r="A3" s="294" t="s">
        <v>2164</v>
      </c>
      <c r="B3" s="2185"/>
      <c r="C3" s="2186" t="s">
        <v>2165</v>
      </c>
      <c r="D3" s="2185">
        <v>45957</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2166</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2167</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2168</v>
      </c>
      <c r="B6" s="2195"/>
      <c r="C6" s="2196"/>
      <c r="D6" s="2197"/>
      <c r="E6" s="2439"/>
      <c r="F6" s="2440"/>
      <c r="G6" s="2440"/>
      <c r="H6" s="2440"/>
      <c r="I6" s="2440"/>
      <c r="J6" s="2245"/>
      <c r="K6" s="2399" t="str">
        <f>IF(COUNTIF(B6,"*上海银行*"),"上海银行","")</f>
        <v/>
      </c>
      <c r="L6" s="2397"/>
      <c r="M6" s="2397"/>
      <c r="N6" s="2245"/>
      <c r="O6" s="1670"/>
      <c r="P6" s="2245"/>
      <c r="Q6" s="2245"/>
      <c r="R6" s="2245"/>
    </row>
    <row r="7" spans="1:30" ht="13">
      <c r="A7" s="2194" t="s">
        <v>2169</v>
      </c>
      <c r="B7" s="2198"/>
      <c r="C7" s="2196"/>
      <c r="D7" s="2197"/>
      <c r="E7" s="2439"/>
      <c r="F7" s="2440"/>
      <c r="G7" s="2440"/>
      <c r="H7" s="2440"/>
      <c r="I7" s="2440"/>
      <c r="J7" s="2245"/>
      <c r="K7" s="2400"/>
      <c r="L7" s="2397"/>
      <c r="M7" s="2397"/>
      <c r="N7" s="2245"/>
      <c r="O7" s="1670"/>
      <c r="P7" s="2245"/>
      <c r="Q7" s="2245"/>
      <c r="R7" s="2245"/>
    </row>
    <row r="8" spans="1:30" ht="13">
      <c r="A8" s="2199" t="s">
        <v>2170</v>
      </c>
      <c r="B8" s="2200" t="s">
        <v>3408</v>
      </c>
      <c r="C8" s="2201"/>
      <c r="D8" s="3263" t="s">
        <v>2171</v>
      </c>
      <c r="E8" s="2202"/>
      <c r="F8" s="2203"/>
      <c r="G8" s="2440"/>
      <c r="H8" s="2440"/>
      <c r="I8" s="2440"/>
      <c r="J8" s="2245"/>
      <c r="K8" s="2398"/>
      <c r="L8" s="2397"/>
      <c r="M8" s="2397"/>
      <c r="N8" s="2245"/>
      <c r="O8" s="1670"/>
      <c r="P8" s="2245"/>
      <c r="Q8" s="2245"/>
      <c r="R8" s="2245"/>
    </row>
    <row r="9" spans="1:30" ht="13.5" thickBot="1">
      <c r="A9" s="2204" t="s">
        <v>2172</v>
      </c>
      <c r="B9" s="2205"/>
      <c r="C9" s="2206"/>
      <c r="D9" s="3264"/>
      <c r="E9" s="2205"/>
      <c r="F9" s="2207"/>
      <c r="G9" s="2441"/>
      <c r="H9" s="2441"/>
      <c r="I9" s="2441"/>
      <c r="J9" s="2245"/>
      <c r="K9" s="2400"/>
      <c r="L9" s="2397"/>
      <c r="M9" s="2397"/>
      <c r="N9" s="2245"/>
      <c r="O9" s="1670"/>
      <c r="P9" s="2245"/>
      <c r="Q9" s="2245"/>
      <c r="R9" s="2245"/>
    </row>
    <row r="10" spans="1:30" ht="13.5" thickTop="1">
      <c r="A10" s="2208" t="s">
        <v>2173</v>
      </c>
      <c r="B10" s="2209" t="s">
        <v>3409</v>
      </c>
      <c r="C10" s="2210"/>
      <c r="D10" s="2193"/>
      <c r="E10" s="2211" t="s">
        <v>2174</v>
      </c>
      <c r="F10" s="2442"/>
      <c r="G10" s="2443"/>
      <c r="H10" s="2444"/>
      <c r="I10" s="2445"/>
      <c r="J10" s="2245"/>
      <c r="K10" s="2400"/>
      <c r="L10" s="2397"/>
      <c r="M10" s="2397"/>
      <c r="N10" s="2245"/>
      <c r="O10" s="1670"/>
      <c r="P10" s="2245"/>
      <c r="Q10" s="2245"/>
      <c r="R10" s="2245"/>
    </row>
    <row r="11" spans="1:30" ht="13">
      <c r="A11" s="2212" t="s">
        <v>2175</v>
      </c>
      <c r="B11" s="2213" t="s">
        <v>3410</v>
      </c>
      <c r="C11" s="2214"/>
      <c r="D11" s="2215"/>
      <c r="E11" s="2182"/>
      <c r="F11" s="2182"/>
      <c r="G11" s="2182"/>
      <c r="H11" s="2182"/>
      <c r="I11" s="2182"/>
      <c r="J11" s="2800"/>
      <c r="K11" s="2397"/>
      <c r="L11" s="2397"/>
      <c r="M11" s="2397"/>
      <c r="N11" s="2245"/>
      <c r="O11" s="1670"/>
      <c r="P11" s="2245"/>
      <c r="Q11" s="2245"/>
      <c r="R11" s="2245"/>
    </row>
    <row r="12" spans="1:30" ht="13">
      <c r="A12" s="2216" t="s">
        <v>2176</v>
      </c>
      <c r="B12" s="315" t="s">
        <v>2177</v>
      </c>
      <c r="C12" s="2217" t="s">
        <v>2178</v>
      </c>
      <c r="D12" s="2217" t="s">
        <v>2179</v>
      </c>
      <c r="E12" s="2217" t="s">
        <v>2180</v>
      </c>
      <c r="F12" s="2217" t="s">
        <v>2181</v>
      </c>
      <c r="G12" s="2217" t="s">
        <v>2182</v>
      </c>
      <c r="H12" s="2217" t="s">
        <v>2183</v>
      </c>
      <c r="I12" s="2799" t="s">
        <v>2567</v>
      </c>
      <c r="J12" s="2801"/>
      <c r="K12" s="2397"/>
      <c r="L12" s="2397"/>
      <c r="M12" s="2245"/>
      <c r="N12" s="1670"/>
      <c r="O12" s="2245"/>
      <c r="P12" s="2245"/>
      <c r="Q12" s="2245"/>
      <c r="AD12" s="1618"/>
    </row>
    <row r="13" spans="1:30" ht="13">
      <c r="A13" s="3120" t="s">
        <v>3321</v>
      </c>
      <c r="B13" s="2218" t="s">
        <v>2184</v>
      </c>
      <c r="C13" s="803"/>
      <c r="D13" s="803"/>
      <c r="E13" s="803"/>
      <c r="F13" s="803"/>
      <c r="G13" s="803"/>
      <c r="H13" s="803"/>
      <c r="I13" s="803"/>
      <c r="J13" s="2801"/>
      <c r="K13" s="2397"/>
      <c r="L13" s="2397"/>
      <c r="M13" s="2245"/>
      <c r="N13" s="1670"/>
      <c r="O13" s="2245"/>
      <c r="P13" s="2245"/>
      <c r="Q13" s="2245"/>
      <c r="AD13" s="1618"/>
    </row>
    <row r="14" spans="1:30" ht="13">
      <c r="A14" s="1018"/>
      <c r="B14" s="2218" t="s">
        <v>2185</v>
      </c>
      <c r="C14" s="2219"/>
      <c r="D14" s="2219"/>
      <c r="E14" s="2219"/>
      <c r="F14" s="2219"/>
      <c r="G14" s="2219"/>
      <c r="H14" s="2219"/>
      <c r="I14" s="2219"/>
      <c r="J14" s="2802"/>
      <c r="K14" s="2397"/>
      <c r="L14" s="2397"/>
      <c r="M14" s="2245"/>
      <c r="N14" s="1670"/>
      <c r="O14" s="2245"/>
      <c r="P14" s="2245"/>
      <c r="Q14" s="2245"/>
      <c r="AD14" s="1618"/>
    </row>
    <row r="15" spans="1:30" ht="13">
      <c r="A15" s="312"/>
      <c r="B15" s="2220" t="s">
        <v>2186</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ht="13">
      <c r="A16" s="2211" t="s">
        <v>2187</v>
      </c>
      <c r="B16" s="3270"/>
      <c r="C16" s="3271"/>
      <c r="D16" s="3272"/>
      <c r="E16" s="2222" t="s">
        <v>2188</v>
      </c>
      <c r="F16" s="3273"/>
      <c r="G16" s="3274"/>
      <c r="H16" s="3274"/>
      <c r="I16" s="3275"/>
      <c r="J16" s="2245"/>
      <c r="K16" s="2401"/>
      <c r="L16" s="1670"/>
      <c r="M16" s="1670"/>
      <c r="N16" s="2245"/>
      <c r="O16" s="1670"/>
      <c r="P16" s="2245"/>
      <c r="Q16" s="2245"/>
      <c r="R16" s="2245"/>
    </row>
    <row r="17" spans="1:28" ht="13">
      <c r="A17" s="305" t="s">
        <v>2189</v>
      </c>
      <c r="B17" s="294" t="s">
        <v>2190</v>
      </c>
      <c r="C17" s="8">
        <f>'数据-汇总表'!E3</f>
        <v>3730.1800000000003</v>
      </c>
      <c r="D17" s="1256" t="s">
        <v>2191</v>
      </c>
      <c r="E17" s="3276" t="s">
        <v>2192</v>
      </c>
      <c r="F17" s="3277"/>
      <c r="G17" s="3277"/>
      <c r="H17" s="3277"/>
      <c r="I17" s="3278"/>
      <c r="J17" s="2245"/>
      <c r="K17" s="2402"/>
      <c r="L17" s="1670"/>
      <c r="M17" s="1670"/>
      <c r="N17" s="2245"/>
      <c r="O17" s="1670"/>
      <c r="P17" s="2245"/>
      <c r="Q17" s="2245"/>
      <c r="R17" s="2245"/>
      <c r="S17" s="2245"/>
      <c r="T17" s="2245"/>
      <c r="U17" s="2245"/>
      <c r="V17" s="2245"/>
    </row>
    <row r="18" spans="1:28" ht="26.5" thickBot="1">
      <c r="A18" s="2223" t="s">
        <v>2193</v>
      </c>
      <c r="B18" s="1027" t="s">
        <v>2194</v>
      </c>
      <c r="C18" s="2224">
        <f>'数据-汇总表'!D3</f>
        <v>0</v>
      </c>
      <c r="D18" s="1029" t="s">
        <v>2195</v>
      </c>
      <c r="E18" s="3279" t="s">
        <v>2196</v>
      </c>
      <c r="F18" s="3280"/>
      <c r="G18" s="3280"/>
      <c r="H18" s="3280"/>
      <c r="I18" s="3281"/>
      <c r="J18" s="2245"/>
      <c r="K18" s="2402"/>
      <c r="L18" s="1670"/>
      <c r="M18" s="1670"/>
      <c r="N18" s="2245"/>
      <c r="O18" s="1670"/>
      <c r="P18" s="2245"/>
      <c r="Q18" s="2245"/>
      <c r="R18" s="2245"/>
      <c r="S18" s="2245"/>
      <c r="T18" s="2245"/>
      <c r="U18" s="2245"/>
      <c r="V18" s="2245"/>
    </row>
    <row r="19" spans="1:28" ht="40" thickTop="1" thickBot="1">
      <c r="A19" s="319" t="s">
        <v>1052</v>
      </c>
      <c r="B19" s="299" t="s">
        <v>2197</v>
      </c>
      <c r="C19" s="1455" t="s">
        <v>3411</v>
      </c>
      <c r="D19" s="1456" t="s">
        <v>2198</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ht="13">
      <c r="A20" s="2415" t="s">
        <v>2199</v>
      </c>
      <c r="B20" s="3266" t="s">
        <v>2200</v>
      </c>
      <c r="C20" s="3267"/>
      <c r="D20" s="3268" t="s">
        <v>2201</v>
      </c>
      <c r="E20" s="3269"/>
      <c r="F20" s="2428" t="s">
        <v>1053</v>
      </c>
      <c r="G20" s="2440"/>
      <c r="H20" s="2440"/>
      <c r="I20" s="2440"/>
      <c r="J20" s="2245"/>
      <c r="K20" s="3265" t="s">
        <v>2202</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6.5" thickBot="1">
      <c r="A21" s="2415"/>
      <c r="B21" s="2416" t="s">
        <v>2203</v>
      </c>
      <c r="C21" s="2294" t="s">
        <v>1054</v>
      </c>
      <c r="D21" s="1460" t="s">
        <v>2204</v>
      </c>
      <c r="E21" s="2417" t="s">
        <v>1054</v>
      </c>
      <c r="F21" s="2429"/>
      <c r="G21" s="2440"/>
      <c r="H21" s="2440"/>
      <c r="I21" s="2440"/>
      <c r="J21" s="2245"/>
      <c r="K21" s="326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4"/>
      <c r="N21" s="2182"/>
      <c r="O21" s="1466"/>
      <c r="P21" s="2182"/>
      <c r="Q21" s="2182"/>
      <c r="R21" s="2182"/>
      <c r="S21" s="2182"/>
      <c r="T21" s="2182"/>
      <c r="U21" s="2182"/>
      <c r="V21" s="2182"/>
      <c r="W21" s="1618"/>
      <c r="X21" s="1618"/>
      <c r="Y21" s="1618"/>
      <c r="Z21" s="1618"/>
      <c r="AA21" s="1618"/>
      <c r="AB21" s="1618"/>
    </row>
    <row r="22" spans="1:28" ht="26.5" thickBot="1">
      <c r="A22" s="2415"/>
      <c r="B22" s="2418" t="s">
        <v>2205</v>
      </c>
      <c r="C22" s="2294" t="s">
        <v>1055</v>
      </c>
      <c r="D22" s="2440"/>
      <c r="E22" s="2440"/>
      <c r="F22" s="2440"/>
      <c r="G22" s="2440"/>
      <c r="H22" s="2440"/>
      <c r="I22" s="2440"/>
      <c r="J22" s="2245"/>
      <c r="K22" s="326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19" t="s">
        <v>2206</v>
      </c>
      <c r="B23" s="2291" t="s">
        <v>2207</v>
      </c>
      <c r="C23" s="2420"/>
      <c r="D23" s="2421" t="s">
        <v>2207</v>
      </c>
      <c r="E23" s="2422"/>
      <c r="F23" s="2440"/>
      <c r="G23" s="2440"/>
      <c r="H23" s="2440"/>
      <c r="I23" s="2440"/>
      <c r="J23" s="2245"/>
      <c r="K23" s="2399"/>
      <c r="L23" s="121"/>
      <c r="M23" s="2397"/>
      <c r="N23" s="2245"/>
      <c r="O23" s="1670"/>
      <c r="P23" s="2245"/>
      <c r="Q23" s="2245"/>
      <c r="R23" s="2245"/>
      <c r="S23" s="2245"/>
      <c r="T23" s="2245"/>
      <c r="U23" s="2245"/>
      <c r="V23" s="2245"/>
    </row>
    <row r="24" spans="1:28" ht="13">
      <c r="A24" s="2419"/>
      <c r="B24" s="2291" t="s">
        <v>1056</v>
      </c>
      <c r="C24" s="2270"/>
      <c r="D24" s="2419" t="s">
        <v>1056</v>
      </c>
      <c r="E24" s="2423"/>
      <c r="F24" s="2440"/>
      <c r="G24" s="2440"/>
      <c r="H24" s="2440"/>
      <c r="I24" s="2440"/>
      <c r="J24" s="2245"/>
      <c r="K24" s="2399"/>
      <c r="L24" s="121"/>
      <c r="M24" s="2397"/>
      <c r="N24" s="2245"/>
      <c r="O24" s="1670"/>
      <c r="P24" s="2245"/>
      <c r="Q24" s="2245"/>
      <c r="R24" s="2245"/>
      <c r="S24" s="2245"/>
      <c r="T24" s="2245"/>
      <c r="U24" s="2245"/>
      <c r="V24" s="2245"/>
    </row>
    <row r="25" spans="1:28" ht="13">
      <c r="A25" s="2419"/>
      <c r="B25" s="2291" t="s">
        <v>1057</v>
      </c>
      <c r="C25" s="2270"/>
      <c r="D25" s="2419" t="s">
        <v>1057</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1058</v>
      </c>
      <c r="C26" s="2426"/>
      <c r="D26" s="2424" t="s">
        <v>1058</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54" t="s">
        <v>2208</v>
      </c>
      <c r="B27" s="312" t="s">
        <v>2209</v>
      </c>
      <c r="C27" s="2225" t="s">
        <v>3412</v>
      </c>
      <c r="D27" s="2226"/>
      <c r="E27" s="2440"/>
      <c r="F27" s="2440"/>
      <c r="G27" s="2440"/>
      <c r="H27" s="2440"/>
      <c r="I27" s="2440"/>
      <c r="J27" s="2245"/>
      <c r="K27" s="2401"/>
      <c r="L27" s="1670"/>
      <c r="M27" s="1670"/>
      <c r="N27" s="2245"/>
      <c r="O27" s="1670"/>
      <c r="P27" s="2245"/>
      <c r="Q27" s="2245"/>
      <c r="R27" s="2245"/>
      <c r="S27" s="2245"/>
      <c r="T27" s="2245"/>
      <c r="U27" s="2245"/>
      <c r="V27" s="2245"/>
    </row>
    <row r="28" spans="1:28" ht="13">
      <c r="A28" s="3254"/>
      <c r="B28" s="294" t="s">
        <v>2210</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ht="13">
      <c r="A29" s="3254"/>
      <c r="B29" s="294" t="s">
        <v>2211</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ht="13">
      <c r="A30" s="3255"/>
      <c r="B30" s="294" t="s">
        <v>2212</v>
      </c>
      <c r="C30" s="3256"/>
      <c r="D30" s="3257"/>
      <c r="E30" s="2440"/>
      <c r="F30" s="2440"/>
      <c r="G30" s="2440"/>
      <c r="H30" s="2440"/>
      <c r="I30" s="2440"/>
      <c r="J30" s="2245"/>
      <c r="K30" s="2400"/>
      <c r="L30" s="2397"/>
      <c r="M30" s="2397"/>
      <c r="N30" s="2245"/>
      <c r="O30" s="1670"/>
      <c r="P30" s="2245"/>
      <c r="Q30" s="2245"/>
      <c r="R30" s="2245"/>
      <c r="S30" s="2245"/>
      <c r="T30" s="2245"/>
      <c r="U30" s="2245"/>
      <c r="V30" s="2245"/>
    </row>
    <row r="31" spans="1:28">
      <c r="A31" s="3258" t="s">
        <v>2213</v>
      </c>
      <c r="B31" s="2231" t="s">
        <v>3413</v>
      </c>
      <c r="C31" s="12" t="str">
        <f>IF(B31="现房","成新及维护状况正常否",IF(B31="在建","工程状态是否正常",IF(B31="土地","是否闲置","-")))</f>
        <v>成新及维护状况正常否</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59"/>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59"/>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ht="13">
      <c r="A34" s="294" t="s">
        <v>2214</v>
      </c>
      <c r="B34" s="1870"/>
      <c r="C34" s="1870"/>
      <c r="D34" s="1870"/>
      <c r="E34" s="1870"/>
      <c r="F34" s="1870"/>
      <c r="G34" s="1870"/>
      <c r="H34" s="1870"/>
      <c r="I34" s="2440"/>
      <c r="J34" s="2245"/>
      <c r="K34" s="8">
        <f>COUNTIF(B34:H34,"——")</f>
        <v>0</v>
      </c>
      <c r="L34" s="315" t="s">
        <v>2215</v>
      </c>
      <c r="M34" s="315" t="s">
        <v>2216</v>
      </c>
      <c r="N34" s="315" t="s">
        <v>2217</v>
      </c>
      <c r="O34" s="315" t="s">
        <v>2218</v>
      </c>
      <c r="P34" s="315" t="s">
        <v>2219</v>
      </c>
      <c r="Q34" s="315" t="s">
        <v>2220</v>
      </c>
      <c r="R34" s="315" t="s">
        <v>2221</v>
      </c>
      <c r="S34" s="3253" t="s">
        <v>2222</v>
      </c>
      <c r="T34" s="315" t="str">
        <f>NUMBERSTRING(7-K34,1)&amp;"通"</f>
        <v>七通</v>
      </c>
      <c r="U34" s="2245"/>
      <c r="V34" s="2245"/>
    </row>
    <row r="35" spans="1:30">
      <c r="A35" s="2236"/>
      <c r="B35" s="3253" t="s">
        <v>2223</v>
      </c>
      <c r="C35" s="3253"/>
      <c r="D35" s="3253"/>
      <c r="E35" s="3253"/>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53"/>
      <c r="T35" s="138" t="str">
        <f>IF(T34="一通",L35,IF(T34="二通",M35,IF(T34="三通",N35,IF(T34="四通",O35,IF(T34="五通",P35,IF(T34="六通",Q35,R35))))))</f>
        <v>、、、、、、</v>
      </c>
      <c r="U35" s="2245"/>
      <c r="V35" s="2245"/>
    </row>
    <row r="36" spans="1:30" ht="13">
      <c r="A36" s="2183"/>
      <c r="B36" s="8" t="s">
        <v>2179</v>
      </c>
      <c r="C36" s="8" t="s">
        <v>2180</v>
      </c>
      <c r="D36" s="8" t="s">
        <v>2178</v>
      </c>
      <c r="E36" s="8" t="s">
        <v>2183</v>
      </c>
      <c r="F36" s="2799" t="s">
        <v>2570</v>
      </c>
      <c r="G36" s="2440"/>
      <c r="H36" s="2440"/>
      <c r="I36" s="2440"/>
      <c r="J36" s="2245"/>
      <c r="K36" s="2400"/>
      <c r="L36" s="2397"/>
      <c r="M36" s="2397"/>
      <c r="N36" s="2245"/>
      <c r="O36" s="1670"/>
      <c r="P36" s="2245"/>
      <c r="Q36" s="2245"/>
      <c r="R36" s="2245"/>
      <c r="S36" s="2245"/>
      <c r="T36" s="2245"/>
      <c r="U36" s="2245"/>
      <c r="V36" s="2245"/>
    </row>
    <row r="37" spans="1:30" ht="13">
      <c r="A37" s="2413" t="s">
        <v>2224</v>
      </c>
      <c r="B37" s="2237"/>
      <c r="C37" s="2237"/>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2225</v>
      </c>
      <c r="B38" s="2238"/>
      <c r="C38" s="2238"/>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 thickTop="1" thickBot="1">
      <c r="A39" s="2239" t="s">
        <v>2226</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ht="13">
      <c r="A41" s="2242" t="s">
        <v>2227</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6">
      <c r="A42" s="315" t="s">
        <v>2228</v>
      </c>
      <c r="B42" s="8" t="s">
        <v>2229</v>
      </c>
      <c r="C42" s="8" t="s">
        <v>2230</v>
      </c>
      <c r="D42" s="8" t="s">
        <v>2231</v>
      </c>
      <c r="E42" s="8" t="s">
        <v>2232</v>
      </c>
      <c r="F42" s="8" t="s">
        <v>2233</v>
      </c>
      <c r="G42" s="8" t="s">
        <v>2234</v>
      </c>
      <c r="H42" s="8" t="s">
        <v>2235</v>
      </c>
      <c r="I42" s="8" t="s">
        <v>2236</v>
      </c>
      <c r="J42" s="2409" t="s">
        <v>2237</v>
      </c>
      <c r="K42" s="2410" t="s">
        <v>2238</v>
      </c>
      <c r="L42" s="2410" t="s">
        <v>2239</v>
      </c>
      <c r="M42" s="2410" t="s">
        <v>2240</v>
      </c>
      <c r="N42" s="2403" t="s">
        <v>2241</v>
      </c>
      <c r="O42" s="2403" t="s">
        <v>2242</v>
      </c>
      <c r="P42" s="2403" t="s">
        <v>2243</v>
      </c>
      <c r="Q42" s="2404" t="s">
        <v>2244</v>
      </c>
      <c r="R42" s="2404" t="s">
        <v>2245</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8" sqref="M18"/>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3"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1059</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1060</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1061</v>
      </c>
      <c r="B2" s="8" t="s">
        <v>1062</v>
      </c>
      <c r="C2" s="8" t="s">
        <v>1063</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1064</v>
      </c>
      <c r="AZ2" s="987" t="s">
        <v>1065</v>
      </c>
      <c r="BA2" s="8" t="s">
        <v>1066</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3730.1800000000003</v>
      </c>
      <c r="C3" s="1469" t="s">
        <v>1067</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1068</v>
      </c>
      <c r="B5" s="1259"/>
      <c r="C5" s="1259"/>
      <c r="D5" s="1260"/>
      <c r="E5" s="13" t="s">
        <v>0</v>
      </c>
      <c r="F5" s="13">
        <f>SUM(F13:F587)</f>
        <v>0</v>
      </c>
      <c r="G5" s="13">
        <f>SUM(G13:G587)</f>
        <v>3730.1800000000003</v>
      </c>
      <c r="H5" s="13">
        <f t="shared" ref="H5:AT5" si="0">SUM(H13:H656)</f>
        <v>3730.1800000000003</v>
      </c>
      <c r="I5" s="13">
        <f t="shared" si="0"/>
        <v>2343.7800000000002</v>
      </c>
      <c r="J5" s="13">
        <f t="shared" si="0"/>
        <v>0</v>
      </c>
      <c r="K5" s="13">
        <f t="shared" si="0"/>
        <v>1386.4</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1068</v>
      </c>
      <c r="AW5" s="1259"/>
      <c r="AX5" s="1259"/>
      <c r="AY5" s="14" t="s">
        <v>2</v>
      </c>
      <c r="AZ5" s="15">
        <f t="shared" ref="AZ5:BT5" si="1">SUM(AZ13:AZ656)</f>
        <v>3730.1800000000003</v>
      </c>
      <c r="BA5" s="15">
        <f t="shared" si="1"/>
        <v>3730.1800000000003</v>
      </c>
      <c r="BB5" s="15">
        <f t="shared" si="1"/>
        <v>2343.7800000000002</v>
      </c>
      <c r="BC5" s="15">
        <f t="shared" si="1"/>
        <v>1386.4</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1069</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1069</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1070</v>
      </c>
      <c r="B7" s="1461" t="s">
        <v>1071</v>
      </c>
      <c r="C7" s="1461" t="s">
        <v>1072</v>
      </c>
      <c r="D7" s="1461" t="s">
        <v>1073</v>
      </c>
      <c r="E7" s="1461" t="s">
        <v>1074</v>
      </c>
      <c r="F7" s="1461" t="s">
        <v>1075</v>
      </c>
      <c r="G7" s="1478" t="s">
        <v>1076</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1077</v>
      </c>
      <c r="AV7" s="20" t="s">
        <v>1078</v>
      </c>
      <c r="AW7" s="1466" t="s">
        <v>1079</v>
      </c>
      <c r="AX7" s="20" t="s">
        <v>1072</v>
      </c>
      <c r="AY7" s="1259" t="s">
        <v>1080</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1081</v>
      </c>
      <c r="H8" s="1484" t="s">
        <v>1082</v>
      </c>
      <c r="I8" s="1485"/>
      <c r="J8" s="1269"/>
      <c r="K8" s="1269"/>
      <c r="L8" s="1269"/>
      <c r="M8" s="1269"/>
      <c r="N8" s="1269"/>
      <c r="O8" s="1269"/>
      <c r="P8" s="1269"/>
      <c r="Q8" s="1269"/>
      <c r="R8" s="1269"/>
      <c r="S8" s="1269"/>
      <c r="T8" s="1269"/>
      <c r="U8" s="1269"/>
      <c r="V8" s="1486"/>
      <c r="W8" s="1269"/>
      <c r="X8" s="1269"/>
      <c r="Y8" s="1269"/>
      <c r="Z8" s="1269"/>
      <c r="AA8" s="1486"/>
      <c r="AB8" s="1487"/>
      <c r="AC8" s="761" t="s">
        <v>1083</v>
      </c>
      <c r="AD8" s="1488"/>
      <c r="AE8" s="1480"/>
      <c r="AF8" s="1269"/>
      <c r="AG8" s="1269"/>
      <c r="AH8" s="1269"/>
      <c r="AI8" s="1269"/>
      <c r="AJ8" s="1269"/>
      <c r="AK8" s="1269"/>
      <c r="AL8" s="1269"/>
      <c r="AM8" s="1269"/>
      <c r="AN8" s="1269"/>
      <c r="AO8" s="1269"/>
      <c r="AP8" s="1269"/>
      <c r="AQ8" s="1269"/>
      <c r="AR8" s="1269"/>
      <c r="AS8" s="1269"/>
      <c r="AT8" s="1007" t="s">
        <v>1084</v>
      </c>
      <c r="AU8" s="1482" t="s">
        <v>1085</v>
      </c>
      <c r="AV8" s="1007"/>
      <c r="AW8" s="1467"/>
      <c r="AX8" s="1007"/>
      <c r="AY8" s="1466" t="s">
        <v>1086</v>
      </c>
      <c r="AZ8" s="1268" t="s">
        <v>1087</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1088</v>
      </c>
      <c r="I9" s="1491" t="s">
        <v>3419</v>
      </c>
      <c r="J9" s="761"/>
      <c r="K9" s="1491" t="s">
        <v>3420</v>
      </c>
      <c r="L9" s="761"/>
      <c r="M9" s="1491"/>
      <c r="N9" s="761"/>
      <c r="O9" s="1491"/>
      <c r="P9" s="761"/>
      <c r="Q9" s="1491"/>
      <c r="R9" s="761"/>
      <c r="S9" s="1491"/>
      <c r="T9" s="761"/>
      <c r="U9" s="1491"/>
      <c r="V9" s="761"/>
      <c r="W9" s="1491"/>
      <c r="X9" s="1492"/>
      <c r="Y9" s="1491"/>
      <c r="Z9" s="761"/>
      <c r="AA9" s="1491"/>
      <c r="AB9" s="761"/>
      <c r="AC9" s="1483" t="s">
        <v>1088</v>
      </c>
      <c r="AD9" s="12" t="s">
        <v>1089</v>
      </c>
      <c r="AE9" s="1013"/>
      <c r="AF9" s="12" t="s">
        <v>1090</v>
      </c>
      <c r="AG9" s="1013"/>
      <c r="AH9" s="12" t="s">
        <v>1089</v>
      </c>
      <c r="AI9" s="1013"/>
      <c r="AJ9" s="12" t="s">
        <v>1090</v>
      </c>
      <c r="AK9" s="1013"/>
      <c r="AL9" s="12" t="s">
        <v>1089</v>
      </c>
      <c r="AM9" s="1013"/>
      <c r="AN9" s="12" t="s">
        <v>1090</v>
      </c>
      <c r="AO9" s="1013"/>
      <c r="AP9" s="12" t="s">
        <v>1089</v>
      </c>
      <c r="AQ9" s="1013"/>
      <c r="AR9" s="12" t="s">
        <v>1090</v>
      </c>
      <c r="AS9" s="1493"/>
      <c r="AT9" s="1482"/>
      <c r="AU9" s="1482" t="s">
        <v>1091</v>
      </c>
      <c r="AV9" s="1007"/>
      <c r="AW9" s="1467"/>
      <c r="AX9" s="1007"/>
      <c r="AY9" s="25"/>
      <c r="AZ9" s="25" t="s">
        <v>1081</v>
      </c>
      <c r="BA9" s="1494" t="s">
        <v>1092</v>
      </c>
      <c r="BB9" s="1495"/>
      <c r="BC9" s="1025"/>
      <c r="BD9" s="1025"/>
      <c r="BE9" s="1025"/>
      <c r="BF9" s="1025"/>
      <c r="BG9" s="1025"/>
      <c r="BH9" s="1025"/>
      <c r="BI9" s="1025"/>
      <c r="BJ9" s="1025"/>
      <c r="BK9" s="1496"/>
      <c r="BL9" s="12" t="s">
        <v>1093</v>
      </c>
      <c r="BM9" s="1269"/>
      <c r="BN9" s="1485"/>
      <c r="BO9" s="1269"/>
      <c r="BP9" s="1269"/>
      <c r="BQ9" s="1269"/>
      <c r="BR9" s="1269"/>
      <c r="BS9" s="1269"/>
      <c r="BT9" s="23"/>
    </row>
    <row r="10" spans="1:72" s="1489" customFormat="1" ht="13">
      <c r="A10" s="1482"/>
      <c r="B10" s="1482"/>
      <c r="C10" s="1482"/>
      <c r="D10" s="1482"/>
      <c r="E10" s="1482"/>
      <c r="F10" s="1482"/>
      <c r="G10" s="1007"/>
      <c r="H10" s="25"/>
      <c r="I10" s="1491" t="s">
        <v>670</v>
      </c>
      <c r="J10" s="761"/>
      <c r="K10" s="1497" t="s">
        <v>670</v>
      </c>
      <c r="L10" s="761"/>
      <c r="M10" s="1497"/>
      <c r="N10" s="761"/>
      <c r="O10" s="1497"/>
      <c r="P10" s="761"/>
      <c r="Q10" s="1497"/>
      <c r="R10" s="761"/>
      <c r="S10" s="1497"/>
      <c r="T10" s="761"/>
      <c r="U10" s="1497"/>
      <c r="V10" s="761"/>
      <c r="W10" s="1497"/>
      <c r="X10" s="761"/>
      <c r="Y10" s="1497"/>
      <c r="Z10" s="761"/>
      <c r="AA10" s="1497"/>
      <c r="AB10" s="761"/>
      <c r="AC10" s="1007"/>
      <c r="AD10" s="12" t="s">
        <v>1094</v>
      </c>
      <c r="AE10" s="1498"/>
      <c r="AF10" s="12" t="s">
        <v>1094</v>
      </c>
      <c r="AG10" s="1498"/>
      <c r="AH10" s="12" t="s">
        <v>1095</v>
      </c>
      <c r="AI10" s="1498"/>
      <c r="AJ10" s="12" t="s">
        <v>1095</v>
      </c>
      <c r="AK10" s="1498"/>
      <c r="AL10" s="12" t="s">
        <v>1096</v>
      </c>
      <c r="AM10" s="1013"/>
      <c r="AN10" s="12" t="s">
        <v>1096</v>
      </c>
      <c r="AO10" s="1013"/>
      <c r="AP10" s="12" t="s">
        <v>1097</v>
      </c>
      <c r="AQ10" s="1013"/>
      <c r="AR10" s="12" t="s">
        <v>1097</v>
      </c>
      <c r="AS10" s="1013"/>
      <c r="AT10" s="1482"/>
      <c r="AU10" s="1482"/>
      <c r="AV10" s="1007"/>
      <c r="AW10" s="1467"/>
      <c r="AX10" s="1007"/>
      <c r="AY10" s="25"/>
      <c r="AZ10" s="25"/>
      <c r="BA10" s="1499" t="s">
        <v>1088</v>
      </c>
      <c r="BB10" s="1500" t="str">
        <f>I9</f>
        <v>地上</v>
      </c>
      <c r="BC10" s="26" t="str">
        <f>K9</f>
        <v>地下</v>
      </c>
      <c r="BD10" s="26">
        <f>M9</f>
        <v>0</v>
      </c>
      <c r="BE10" s="26">
        <f>O9</f>
        <v>0</v>
      </c>
      <c r="BF10" s="26">
        <f>Q9</f>
        <v>0</v>
      </c>
      <c r="BG10" s="26">
        <f>S9</f>
        <v>0</v>
      </c>
      <c r="BH10" s="26">
        <f>U9</f>
        <v>0</v>
      </c>
      <c r="BI10" s="26">
        <f>W9</f>
        <v>0</v>
      </c>
      <c r="BJ10" s="26">
        <f>Y9</f>
        <v>0</v>
      </c>
      <c r="BK10" s="26">
        <f>AA9</f>
        <v>0</v>
      </c>
      <c r="BL10" s="22" t="s">
        <v>1088</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1098</v>
      </c>
      <c r="AE11" s="1270"/>
      <c r="AF11" s="1504" t="s">
        <v>1098</v>
      </c>
      <c r="AG11" s="1270"/>
      <c r="AH11" s="1504" t="s">
        <v>1099</v>
      </c>
      <c r="AI11" s="1505"/>
      <c r="AJ11" s="1504" t="s">
        <v>1099</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258" t="s">
        <v>1101</v>
      </c>
      <c r="W12" s="8" t="s">
        <v>1100</v>
      </c>
      <c r="X12" s="8" t="s">
        <v>1101</v>
      </c>
      <c r="Y12" s="8" t="s">
        <v>1100</v>
      </c>
      <c r="Z12" s="8" t="s">
        <v>1101</v>
      </c>
      <c r="AA12" s="8" t="s">
        <v>1100</v>
      </c>
      <c r="AB12" s="8" t="s">
        <v>1101</v>
      </c>
      <c r="AC12" s="1509"/>
      <c r="AD12" s="1260"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507" t="s">
        <v>1101</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
      <c r="A13" s="628"/>
      <c r="B13" s="628"/>
      <c r="C13" s="628" t="s">
        <v>3434</v>
      </c>
      <c r="D13" s="1513" t="s">
        <v>3433</v>
      </c>
      <c r="E13" s="13">
        <f>IF($C$3="是",ROUND($A$3*G13/$B$3,2),ROUND($A$3*(G13-AT13)/$B$3,2))</f>
        <v>0</v>
      </c>
      <c r="F13" s="29"/>
      <c r="G13" s="30">
        <f>H13+AC13+AT13</f>
        <v>905.30000000000018</v>
      </c>
      <c r="H13" s="17">
        <f>SUMIF(I$12:AB$12,"总值",I13:AB13)</f>
        <v>905.30000000000018</v>
      </c>
      <c r="I13" s="1514">
        <f>面积表!D34</f>
        <v>905.30000000000018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1层商业</v>
      </c>
      <c r="AY13" s="1260">
        <f>ROUND($AY$6*AZ13/$AZ$5,2)</f>
        <v>0</v>
      </c>
      <c r="AZ13" s="13">
        <f>BA13+BL13</f>
        <v>905.30000000000018</v>
      </c>
      <c r="BA13" s="13">
        <f>SUM(BB13:BK13)</f>
        <v>905.30000000000018</v>
      </c>
      <c r="BB13" s="13">
        <f>IF($D13="是",I13-J13,0)</f>
        <v>905.30000000000018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
      <c r="A14" s="628"/>
      <c r="B14" s="628"/>
      <c r="C14" s="1462" t="s">
        <v>3612</v>
      </c>
      <c r="D14" s="1513" t="s">
        <v>3433</v>
      </c>
      <c r="E14" s="13">
        <f>IF($C$3="是",ROUND($A$3*G14/$B$3,2),ROUND($A$3*(G14-AT14)/$B$3,2))</f>
        <v>0</v>
      </c>
      <c r="F14" s="29"/>
      <c r="G14" s="30">
        <f>H14+AC14+AT14</f>
        <v>1438.48</v>
      </c>
      <c r="H14" s="17">
        <f>SUMIF(I$12:AB$12,"总值",I14:AB14)</f>
        <v>1438.48</v>
      </c>
      <c r="I14" s="1514">
        <f>面积表!D35</f>
        <v>1438.48</v>
      </c>
      <c r="J14" s="1514"/>
      <c r="K14" s="3168"/>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2层商业</v>
      </c>
      <c r="AY14" s="1260">
        <f>ROUND($AY$6*AZ14/$AZ$5,2)</f>
        <v>0</v>
      </c>
      <c r="AZ14" s="13">
        <f>BA14+BL14</f>
        <v>1438.48</v>
      </c>
      <c r="BA14" s="13">
        <f>SUM(BB14:BK14)</f>
        <v>1438.48</v>
      </c>
      <c r="BB14" s="13">
        <f>IF($D14="是",I14-J14,0)</f>
        <v>1438.48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26">
      <c r="A15" s="628"/>
      <c r="B15" s="628"/>
      <c r="C15" s="3169" t="s">
        <v>3435</v>
      </c>
      <c r="D15" s="1513" t="s">
        <v>3433</v>
      </c>
      <c r="E15" s="13">
        <f>IF($C$3="是",ROUND($A$3*G15/$B$3,2),ROUND($A$3*(G15-AT15)/$B$3,2))</f>
        <v>0</v>
      </c>
      <c r="F15" s="29"/>
      <c r="G15" s="30">
        <f>H15+AC15+AT15</f>
        <v>1386.4</v>
      </c>
      <c r="H15" s="17">
        <f>SUMIF(I$12:AB$12,"总值",I15:AB15)</f>
        <v>1386.4</v>
      </c>
      <c r="I15" s="1514"/>
      <c r="J15" s="1514"/>
      <c r="K15" s="1514">
        <f>面积表!B22</f>
        <v>1386.4</v>
      </c>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地下1层商业</v>
      </c>
      <c r="AY15" s="1260">
        <f>ROUND($AY$6*AZ15/$AZ$5,2)</f>
        <v>0</v>
      </c>
      <c r="AZ15" s="13">
        <f>BA15+BL15</f>
        <v>1386.4</v>
      </c>
      <c r="BA15" s="13">
        <f>SUM(BB15:BK15)</f>
        <v>1386.4</v>
      </c>
      <c r="BB15" s="13">
        <f>IF($D15="是",I15-J15,0)</f>
        <v>0</v>
      </c>
      <c r="BC15" s="13">
        <f>IF($D15="是",K15-L15,0)</f>
        <v>1386.4</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1127</v>
      </c>
      <c r="B1" s="1071"/>
      <c r="C1" s="1071"/>
      <c r="D1" s="1071"/>
      <c r="E1" s="1071"/>
      <c r="F1" s="1071"/>
      <c r="G1" s="1071"/>
      <c r="H1" s="1071"/>
      <c r="I1" s="1071"/>
      <c r="J1" s="1071"/>
      <c r="K1" s="1071"/>
      <c r="L1" s="1071"/>
      <c r="M1" s="1071"/>
      <c r="N1" s="1071"/>
      <c r="O1" s="1071"/>
      <c r="P1" s="1071"/>
    </row>
    <row r="2" spans="1:16">
      <c r="A2" s="3291" t="s">
        <v>1128</v>
      </c>
      <c r="B2" s="3291"/>
      <c r="C2" s="3291"/>
      <c r="D2" s="748" t="s">
        <v>1104</v>
      </c>
      <c r="E2" s="1523" t="s">
        <v>1105</v>
      </c>
      <c r="F2" s="2437"/>
      <c r="G2" s="2430"/>
      <c r="H2" s="2431"/>
      <c r="I2" s="2146" t="s">
        <v>1129</v>
      </c>
      <c r="J2" s="2437"/>
      <c r="K2" s="2437"/>
      <c r="L2" s="2437"/>
      <c r="M2" s="2437"/>
      <c r="N2" s="2438"/>
      <c r="O2" s="2437"/>
      <c r="P2" s="2437"/>
    </row>
    <row r="3" spans="1:16" ht="14.5" thickBot="1">
      <c r="A3" s="3292" t="s">
        <v>1102</v>
      </c>
      <c r="B3" s="3292"/>
      <c r="C3" s="3292"/>
      <c r="D3" s="41">
        <f>'数据-基础表'!AY6</f>
        <v>0</v>
      </c>
      <c r="E3" s="3177">
        <f>'数据-基础表'!AZ5</f>
        <v>3730.1800000000003</v>
      </c>
      <c r="F3" s="2437"/>
      <c r="G3" s="42"/>
      <c r="H3" s="43" t="s">
        <v>1103</v>
      </c>
      <c r="I3" s="802" t="e">
        <f>ROUND('数据-基础表'!B3/'数据-基础表'!A3,2)</f>
        <v>#DIV/0!</v>
      </c>
      <c r="J3" s="2437"/>
      <c r="K3" s="2437"/>
      <c r="L3" s="2437"/>
      <c r="M3" s="2437"/>
      <c r="N3" s="2438"/>
      <c r="O3" s="2437"/>
      <c r="P3" s="2437"/>
    </row>
    <row r="4" spans="1:16">
      <c r="A4" s="3293"/>
      <c r="B4" s="3294"/>
      <c r="C4" s="3295"/>
      <c r="D4" s="1524" t="s">
        <v>1104</v>
      </c>
      <c r="E4" s="1525" t="s">
        <v>1105</v>
      </c>
      <c r="F4" s="2437"/>
      <c r="G4" s="2432" t="s">
        <v>1130</v>
      </c>
      <c r="H4" s="43" t="s">
        <v>1110</v>
      </c>
      <c r="I4" s="802" t="e">
        <f>ROUND(SUMIF('数据-基础表'!I9:AS9,"地上",'数据-基础表'!I5:AS5)/'数据-基础表'!A3,2)</f>
        <v>#DIV/0!</v>
      </c>
      <c r="J4" s="2437"/>
      <c r="K4" s="2437"/>
      <c r="L4" s="2437"/>
      <c r="M4" s="2437"/>
      <c r="N4" s="2438"/>
      <c r="O4" s="2437"/>
      <c r="P4" s="2437"/>
    </row>
    <row r="5" spans="1:16">
      <c r="A5" s="42" t="s">
        <v>1106</v>
      </c>
      <c r="B5" s="3296" t="s">
        <v>1107</v>
      </c>
      <c r="C5" s="3296"/>
      <c r="D5" s="43">
        <f>ROUND($D$3*E5/$E$3,2)</f>
        <v>0</v>
      </c>
      <c r="E5" s="44">
        <f>SUMIF('数据-基础表'!$11:$11,"住宅",'数据-基础表'!$5:$5)</f>
        <v>0</v>
      </c>
      <c r="F5" s="2437"/>
      <c r="G5" s="42"/>
      <c r="H5" s="43" t="s">
        <v>1103</v>
      </c>
      <c r="I5" s="802" t="e">
        <f>ROUND(E31/D31,2)</f>
        <v>#DIV/0!</v>
      </c>
      <c r="J5" s="2437"/>
      <c r="K5" s="2437"/>
      <c r="L5" s="2437"/>
      <c r="M5" s="2437"/>
      <c r="N5" s="2437"/>
      <c r="O5" s="2437"/>
      <c r="P5" s="2437"/>
    </row>
    <row r="6" spans="1:16" ht="14.5" thickBot="1">
      <c r="A6" s="1527"/>
      <c r="B6" s="3296" t="s">
        <v>1108</v>
      </c>
      <c r="C6" s="3296"/>
      <c r="D6" s="43">
        <f>ROUND($D$3*E6/$E$3,2)</f>
        <v>0</v>
      </c>
      <c r="E6" s="44">
        <f>E3-E5</f>
        <v>3730.1800000000003</v>
      </c>
      <c r="F6" s="2437"/>
      <c r="G6" s="1529" t="s">
        <v>1109</v>
      </c>
      <c r="H6" s="45" t="s">
        <v>1110</v>
      </c>
      <c r="I6" s="2433" t="e">
        <f>ROUND(F31/D31,2)</f>
        <v>#DIV/0!</v>
      </c>
      <c r="J6" s="2437"/>
      <c r="K6" s="2437"/>
      <c r="L6" s="2437"/>
      <c r="M6" s="2437"/>
      <c r="N6" s="2437"/>
      <c r="O6" s="2437"/>
      <c r="P6" s="2437"/>
    </row>
    <row r="7" spans="1:16" ht="14.5" thickBot="1">
      <c r="A7" s="3288"/>
      <c r="B7" s="3289"/>
      <c r="C7" s="3290"/>
      <c r="D7" s="1524" t="s">
        <v>1104</v>
      </c>
      <c r="E7" s="1528" t="s">
        <v>1111</v>
      </c>
      <c r="F7" s="2437"/>
      <c r="G7" s="2434" t="s">
        <v>1112</v>
      </c>
      <c r="H7" s="95"/>
      <c r="I7" s="2435"/>
      <c r="J7" s="2437"/>
      <c r="K7" s="2437"/>
      <c r="L7" s="2437"/>
      <c r="M7" s="2437"/>
      <c r="N7" s="2437"/>
      <c r="O7" s="2437"/>
      <c r="P7" s="2437"/>
    </row>
    <row r="8" spans="1:16">
      <c r="A8" s="42" t="s">
        <v>1113</v>
      </c>
      <c r="B8" s="45" t="s">
        <v>1114</v>
      </c>
      <c r="C8" s="43" t="s">
        <v>1115</v>
      </c>
      <c r="D8" s="43">
        <f t="shared" ref="D8:D15" si="0">ROUND($D$3*E8/$E$3,2)</f>
        <v>0</v>
      </c>
      <c r="E8" s="3178">
        <f>SUMIF('数据-基础表'!BB10:BK10,"地上",'数据-基础表'!BB5:BK5)</f>
        <v>2343.7800000000002</v>
      </c>
      <c r="F8" s="2437"/>
      <c r="G8" s="2437"/>
      <c r="H8" s="2437"/>
      <c r="I8" s="2437"/>
      <c r="J8" s="2437"/>
      <c r="K8" s="2437"/>
      <c r="L8" s="2437"/>
      <c r="M8" s="2437"/>
      <c r="N8" s="2437"/>
      <c r="O8" s="2437"/>
      <c r="P8" s="2437"/>
    </row>
    <row r="9" spans="1:16">
      <c r="A9" s="1529"/>
      <c r="B9" s="1530"/>
      <c r="C9" s="43" t="s">
        <v>1116</v>
      </c>
      <c r="D9" s="43">
        <f t="shared" si="0"/>
        <v>0</v>
      </c>
      <c r="E9" s="47">
        <v>0</v>
      </c>
      <c r="F9" s="2437"/>
      <c r="G9" s="2437"/>
      <c r="H9" s="2437"/>
      <c r="I9" s="2437"/>
      <c r="J9" s="2437"/>
      <c r="K9" s="2437"/>
      <c r="L9" s="2437"/>
      <c r="M9" s="2437"/>
      <c r="N9" s="2437"/>
      <c r="O9" s="2437"/>
      <c r="P9" s="2437"/>
    </row>
    <row r="10" spans="1:16">
      <c r="A10" s="1529"/>
      <c r="B10" s="1530"/>
      <c r="C10" s="43" t="s">
        <v>1125</v>
      </c>
      <c r="D10" s="43">
        <f t="shared" si="0"/>
        <v>0</v>
      </c>
      <c r="E10" s="46">
        <f>SUMPRODUCT(('数据-基础表'!BB10:BK10="地下")*('数据-基础表'!BB11:BK11="商业")*('数据-基础表'!BB5:BK5))</f>
        <v>1386.4</v>
      </c>
      <c r="F10" s="2437"/>
      <c r="G10" s="2437"/>
      <c r="H10" s="2437"/>
      <c r="I10" s="2437"/>
      <c r="J10" s="2437"/>
      <c r="K10" s="2437"/>
      <c r="L10" s="2437"/>
      <c r="M10" s="2437"/>
      <c r="N10" s="2437"/>
      <c r="O10" s="2437"/>
      <c r="P10" s="2437"/>
    </row>
    <row r="11" spans="1:16">
      <c r="A11" s="1529"/>
      <c r="B11" s="1530"/>
      <c r="C11" s="43" t="s">
        <v>1117</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1118</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1119</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1131</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4.5" thickBot="1">
      <c r="A15" s="1529"/>
      <c r="B15" s="1530"/>
      <c r="C15" s="43" t="s">
        <v>1126</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4.5" thickBot="1">
      <c r="A16" s="1527"/>
      <c r="B16" s="1530"/>
      <c r="C16" s="45" t="s">
        <v>1120</v>
      </c>
      <c r="D16" s="45">
        <f>SUM(D8:D15)</f>
        <v>0</v>
      </c>
      <c r="E16" s="48">
        <f>SUM(E8:E15)</f>
        <v>3730.1800000000003</v>
      </c>
      <c r="F16" s="2437"/>
      <c r="G16" s="2437"/>
      <c r="H16" s="1531" t="s">
        <v>1132</v>
      </c>
      <c r="I16" s="1532"/>
      <c r="J16" s="1071"/>
      <c r="K16" s="3285" t="s">
        <v>1132</v>
      </c>
      <c r="L16" s="3286"/>
      <c r="M16" s="3286"/>
      <c r="N16" s="3286"/>
      <c r="O16" s="3286"/>
      <c r="P16" s="3287"/>
    </row>
    <row r="17" spans="1:19">
      <c r="A17" s="1533" t="s">
        <v>1133</v>
      </c>
      <c r="B17" s="1534" t="s">
        <v>1134</v>
      </c>
      <c r="C17" s="1535" t="s">
        <v>1135</v>
      </c>
      <c r="D17" s="1536" t="s">
        <v>1123</v>
      </c>
      <c r="E17" s="1537" t="s">
        <v>1124</v>
      </c>
      <c r="F17" s="1538"/>
      <c r="G17" s="1539"/>
      <c r="H17" s="1540" t="s">
        <v>1136</v>
      </c>
      <c r="I17" s="1541" t="s">
        <v>1121</v>
      </c>
      <c r="J17" s="1071"/>
      <c r="K17" s="3282" t="s">
        <v>1137</v>
      </c>
      <c r="L17" s="3283"/>
      <c r="M17" s="3284"/>
      <c r="N17" s="3282" t="s">
        <v>1138</v>
      </c>
      <c r="O17" s="3283"/>
      <c r="P17" s="3284"/>
      <c r="R17" s="769" t="s">
        <v>1139</v>
      </c>
      <c r="S17" s="54"/>
    </row>
    <row r="18" spans="1:19">
      <c r="A18" s="1529"/>
      <c r="B18" s="1526"/>
      <c r="C18" s="1542"/>
      <c r="D18" s="1543"/>
      <c r="E18" s="1544" t="s">
        <v>1140</v>
      </c>
      <c r="F18" s="1545" t="s">
        <v>1141</v>
      </c>
      <c r="G18" s="1546" t="s">
        <v>1142</v>
      </c>
      <c r="H18" s="980" t="s">
        <v>1143</v>
      </c>
      <c r="I18" s="1547" t="s">
        <v>1144</v>
      </c>
      <c r="J18" s="1071"/>
      <c r="K18" s="980" t="s">
        <v>1145</v>
      </c>
      <c r="L18" s="1548" t="s">
        <v>1146</v>
      </c>
      <c r="M18" s="802" t="s">
        <v>1147</v>
      </c>
      <c r="N18" s="980" t="s">
        <v>1145</v>
      </c>
      <c r="O18" s="1548" t="s">
        <v>1146</v>
      </c>
      <c r="P18" s="802" t="s">
        <v>1147</v>
      </c>
      <c r="R18" s="43" t="s">
        <v>1148</v>
      </c>
      <c r="S18" s="43" t="s">
        <v>1149</v>
      </c>
    </row>
    <row r="19" spans="1:19">
      <c r="A19" s="1549"/>
      <c r="B19" s="45" t="s">
        <v>1122</v>
      </c>
      <c r="C19" s="3114" t="s">
        <v>3437</v>
      </c>
      <c r="D19" s="43">
        <f>ROUND($D$3*E19/$E$3,2)</f>
        <v>0</v>
      </c>
      <c r="E19" s="3176">
        <f t="shared" ref="E19:E26" si="1">SUM(F19:G19)</f>
        <v>905.30000000000018</v>
      </c>
      <c r="F19" s="2556">
        <f>'数据-基础表'!I13</f>
        <v>905.30000000000018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905.30000000000018</v>
      </c>
    </row>
    <row r="20" spans="1:19">
      <c r="A20" s="1549"/>
      <c r="B20" s="45" t="s">
        <v>1150</v>
      </c>
      <c r="C20" s="3114" t="s">
        <v>3611</v>
      </c>
      <c r="D20" s="43">
        <f t="shared" ref="D20:D26" si="6">ROUND($D$3*E20/$E$3,2)</f>
        <v>0</v>
      </c>
      <c r="E20" s="3176">
        <f t="shared" si="1"/>
        <v>1438.48</v>
      </c>
      <c r="F20" s="2556">
        <f>'数据-基础表'!G14</f>
        <v>1438.48</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1438.48</v>
      </c>
    </row>
    <row r="21" spans="1:19">
      <c r="A21" s="1549"/>
      <c r="B21" s="45" t="s">
        <v>1150</v>
      </c>
      <c r="C21" s="3114" t="s">
        <v>3439</v>
      </c>
      <c r="D21" s="43">
        <f t="shared" si="6"/>
        <v>0</v>
      </c>
      <c r="E21" s="51">
        <f t="shared" si="1"/>
        <v>1386.4</v>
      </c>
      <c r="F21" s="2556"/>
      <c r="G21" s="1243">
        <f>'数据-基础表'!G15</f>
        <v>1386.4</v>
      </c>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1386.4</v>
      </c>
    </row>
    <row r="22" spans="1:19">
      <c r="A22" s="1549"/>
      <c r="B22" s="45" t="s">
        <v>1150</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1150</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1150</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1150</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1150</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1151</v>
      </c>
      <c r="D27" s="1072">
        <f>SUM(D19:D26)</f>
        <v>0</v>
      </c>
      <c r="E27" s="1073">
        <f>IF(SUM(E19:E26)='数据-基础表'!BA5,SUM(E19:E26),IF(F27="地上面积有误","面积有误","地下面积有误"))</f>
        <v>3730.1800000000003</v>
      </c>
      <c r="F27" s="1072">
        <f>IF(SUM(F19:F26)=E8,SUM(F19:F26),"地上面积有误")</f>
        <v>2343.7800000000002</v>
      </c>
      <c r="G27" s="1074">
        <f>SUM(G19:G26)</f>
        <v>1386.4</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3730.1800000000003</v>
      </c>
    </row>
    <row r="28" spans="1:19">
      <c r="A28" s="1549"/>
      <c r="B28" s="45" t="s">
        <v>1152</v>
      </c>
      <c r="C28" s="54" t="s">
        <v>1153</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1152</v>
      </c>
      <c r="C29" s="1555" t="s">
        <v>1154</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c r="A30" s="1549"/>
      <c r="B30" s="45"/>
      <c r="C30" s="1556" t="s">
        <v>1151</v>
      </c>
      <c r="D30" s="1072">
        <f>SUM(D28:D29)</f>
        <v>0</v>
      </c>
      <c r="E30" s="1072">
        <f>SUM(E28:E29)</f>
        <v>0</v>
      </c>
      <c r="F30" s="1072">
        <f>SUM(F28:F29)</f>
        <v>0</v>
      </c>
      <c r="G30" s="1074">
        <f>SUM(G28:G29)</f>
        <v>0</v>
      </c>
      <c r="H30" s="2437"/>
      <c r="I30" s="2437"/>
      <c r="J30" s="2437"/>
      <c r="K30" s="2437"/>
      <c r="L30" s="2437"/>
      <c r="M30" s="2437"/>
      <c r="N30" s="2437"/>
      <c r="O30" s="2437"/>
      <c r="P30" s="2437"/>
    </row>
    <row r="31" spans="1:19" ht="14.5" thickBot="1">
      <c r="A31" s="1557"/>
      <c r="B31" s="96"/>
      <c r="C31" s="785" t="s">
        <v>1155</v>
      </c>
      <c r="D31" s="643">
        <f>D27+D30</f>
        <v>0</v>
      </c>
      <c r="E31" s="643">
        <f>E27+E30</f>
        <v>3730.1800000000003</v>
      </c>
      <c r="F31" s="644">
        <f>F27+F30</f>
        <v>2343.7800000000002</v>
      </c>
      <c r="G31" s="645">
        <f>G27+G30</f>
        <v>1386.4</v>
      </c>
      <c r="H31" s="2437"/>
      <c r="I31" s="2437"/>
      <c r="J31" s="2437"/>
      <c r="K31" s="2437"/>
      <c r="L31" s="2437"/>
      <c r="M31" s="2437"/>
      <c r="N31" s="2437"/>
      <c r="O31" s="2437"/>
      <c r="P31" s="2437"/>
    </row>
    <row r="32" spans="1:19">
      <c r="A32" s="1526"/>
      <c r="B32" s="1526" t="s">
        <v>1156</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7" sqref="C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1157</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1158</v>
      </c>
      <c r="B2" s="984">
        <f>项目基本情况!D3</f>
        <v>45957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1159</v>
      </c>
      <c r="B4" s="1564"/>
      <c r="C4" s="1565"/>
      <c r="D4" s="1566"/>
      <c r="E4" s="1565" t="s">
        <v>1160</v>
      </c>
      <c r="F4" s="1565"/>
      <c r="G4" s="1565"/>
      <c r="H4" s="1565"/>
      <c r="I4" s="1565"/>
      <c r="J4" s="1567"/>
      <c r="K4" s="1568"/>
      <c r="L4" s="1569"/>
      <c r="M4" s="1565"/>
      <c r="N4" s="1565" t="s">
        <v>1161</v>
      </c>
      <c r="O4" s="1565"/>
      <c r="P4" s="1565"/>
      <c r="Q4" s="1565"/>
      <c r="R4" s="1565"/>
      <c r="S4" s="1567"/>
      <c r="T4" s="2436" t="str">
        <f>'数据-汇总表'!I17</f>
        <v>按面积比例</v>
      </c>
      <c r="U4" s="1564" t="s">
        <v>1162</v>
      </c>
      <c r="V4" s="1565"/>
      <c r="W4" s="1565"/>
      <c r="X4" s="1565"/>
      <c r="Y4" s="1567"/>
      <c r="Z4" s="1535" t="s">
        <v>1163</v>
      </c>
      <c r="AA4" s="1535"/>
      <c r="AB4" s="1535"/>
      <c r="AC4" s="1535"/>
      <c r="AD4" s="1535"/>
      <c r="AE4" s="1533" t="s">
        <v>1164</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1165</v>
      </c>
      <c r="B5" s="1572" t="s">
        <v>1166</v>
      </c>
      <c r="C5" s="1573" t="s">
        <v>1167</v>
      </c>
      <c r="D5" s="1574" t="s">
        <v>1168</v>
      </c>
      <c r="E5" s="504" t="s">
        <v>1169</v>
      </c>
      <c r="F5" s="1575" t="s">
        <v>1170</v>
      </c>
      <c r="G5" s="504" t="s">
        <v>1171</v>
      </c>
      <c r="H5" s="504" t="s">
        <v>1172</v>
      </c>
      <c r="I5" s="504" t="s">
        <v>1173</v>
      </c>
      <c r="J5" s="1247" t="s">
        <v>1174</v>
      </c>
      <c r="K5" s="1576" t="s">
        <v>1175</v>
      </c>
      <c r="L5" s="1577" t="s">
        <v>1176</v>
      </c>
      <c r="M5" s="1578" t="s">
        <v>1177</v>
      </c>
      <c r="N5" s="1579" t="s">
        <v>3440</v>
      </c>
      <c r="O5" s="1577" t="s">
        <v>1178</v>
      </c>
      <c r="P5" s="1580" t="s">
        <v>1179</v>
      </c>
      <c r="Q5" s="58" t="s">
        <v>1180</v>
      </c>
      <c r="R5" s="1581" t="s">
        <v>1181</v>
      </c>
      <c r="S5" s="1582" t="s">
        <v>1182</v>
      </c>
      <c r="T5" s="1583" t="s">
        <v>1183</v>
      </c>
      <c r="U5" s="985" t="s">
        <v>1184</v>
      </c>
      <c r="V5" s="504" t="s">
        <v>1185</v>
      </c>
      <c r="W5" s="504" t="s">
        <v>1186</v>
      </c>
      <c r="X5" s="60"/>
      <c r="Y5" s="59" t="s">
        <v>1187</v>
      </c>
      <c r="Z5" s="1101" t="s">
        <v>1184</v>
      </c>
      <c r="AA5" s="504" t="s">
        <v>1185</v>
      </c>
      <c r="AB5" s="504" t="s">
        <v>1186</v>
      </c>
      <c r="AC5" s="60"/>
      <c r="AD5" s="60" t="s">
        <v>1187</v>
      </c>
      <c r="AE5" s="985" t="s">
        <v>1188</v>
      </c>
      <c r="AF5" s="504" t="s">
        <v>1189</v>
      </c>
      <c r="AG5" s="59" t="s">
        <v>1190</v>
      </c>
      <c r="AH5" s="985" t="s">
        <v>1191</v>
      </c>
      <c r="AI5" s="1101" t="s">
        <v>1192</v>
      </c>
      <c r="AJ5" s="1101" t="s">
        <v>1193</v>
      </c>
      <c r="AK5" s="504" t="s">
        <v>1194</v>
      </c>
      <c r="AL5" s="504" t="s">
        <v>1195</v>
      </c>
      <c r="AM5" s="59" t="s">
        <v>1196</v>
      </c>
      <c r="AN5" s="1584" t="s">
        <v>1197</v>
      </c>
      <c r="AO5" s="1454" t="s">
        <v>1198</v>
      </c>
      <c r="AP5" s="968" t="s">
        <v>1199</v>
      </c>
      <c r="AQ5" s="1585" t="s">
        <v>1200</v>
      </c>
      <c r="AR5" s="1585" t="s">
        <v>1201</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1层商业</v>
      </c>
      <c r="B6" s="1587" t="str">
        <f>IF(A6=0,"","经营性")</f>
        <v>经营性</v>
      </c>
      <c r="C6" s="1588" t="s">
        <v>670</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905.30000000000018</v>
      </c>
      <c r="L6" s="692"/>
      <c r="M6" s="64">
        <f t="shared" ref="M6:M14" si="0">ROUND(K6*L6/10000,0)</f>
        <v>0</v>
      </c>
      <c r="N6" s="690">
        <f>M19</f>
        <v>0.98</v>
      </c>
      <c r="O6" s="64" t="str">
        <f>IF($N$5="成新度","——",ROUND(M6*N6,0))</f>
        <v>——</v>
      </c>
      <c r="P6" s="65" t="str">
        <f>IF($N$5="成新度","——",M6-O6)</f>
        <v>——</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t="str">
        <f>'数据-汇总表'!C20</f>
        <v>2层商业</v>
      </c>
      <c r="B7" s="1587" t="str">
        <f t="shared" ref="B7:B13" si="1">IF(A7=0,"","经营性")</f>
        <v>经营性</v>
      </c>
      <c r="C7" s="1588" t="s">
        <v>670</v>
      </c>
      <c r="D7" s="805">
        <f>SUMIF(项目基本情况!C$12:I$12,C7,项目基本情况!C$14:I$14)</f>
        <v>0</v>
      </c>
      <c r="E7" s="804">
        <f>IF(B7="","",SUMIF(项目基本情况!C$12:I$12,C7,项目基本情况!C$13:I$13))</f>
        <v>0</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1438.48</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t="str">
        <f>'数据-汇总表'!C21</f>
        <v>地下1层商业</v>
      </c>
      <c r="B8" s="1587" t="str">
        <f t="shared" si="1"/>
        <v>经营性</v>
      </c>
      <c r="C8" s="1588" t="s">
        <v>670</v>
      </c>
      <c r="D8" s="805">
        <f>SUMIF(项目基本情况!C$12:I$12,C8,项目基本情况!C$14:I$14)</f>
        <v>0</v>
      </c>
      <c r="E8" s="804">
        <f>IF(B8="","",SUMIF(项目基本情况!C$12:I$12,C8,项目基本情况!C$13:I$13))</f>
        <v>0</v>
      </c>
      <c r="F8" s="61">
        <f>SUMIF(项目基本情况!C$12:I$12,C8,项目基本情况!C$15:I$15)</f>
        <v>0</v>
      </c>
      <c r="G8" s="62">
        <f t="shared" si="2"/>
        <v>0</v>
      </c>
      <c r="H8" s="691"/>
      <c r="I8" s="691"/>
      <c r="J8" s="63"/>
      <c r="K8" s="970">
        <f>SUMIF('数据-汇总表'!C$19:C$33,A8,'数据-汇总表'!E$19:E$33)</f>
        <v>1386.4</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1202</v>
      </c>
      <c r="B14" s="1587" t="s">
        <v>1203</v>
      </c>
      <c r="C14" s="1592" t="s">
        <v>1202</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1204</v>
      </c>
      <c r="B15" s="1587" t="s">
        <v>1203</v>
      </c>
      <c r="C15" s="1592" t="s">
        <v>1205</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1206</v>
      </c>
      <c r="B16" s="82"/>
      <c r="C16" s="783"/>
      <c r="D16" s="1594"/>
      <c r="E16" s="82"/>
      <c r="F16" s="82"/>
      <c r="G16" s="83" t="e">
        <f>ROUND(SUMPRODUCT(G6:G13,K6:K13)/SUMPRODUCT((G6:G13&gt;0)*(K6:K13)),3)</f>
        <v>#DIV/0!</v>
      </c>
      <c r="H16" s="84" t="e">
        <f>ROUND(SUMPRODUCT(H6:H13,K6:K13)/SUMPRODUCT((H6:H13&gt;0)*(K6:K13)),3)</f>
        <v>#DIV/0!</v>
      </c>
      <c r="I16" s="85"/>
      <c r="J16" s="85"/>
      <c r="K16" s="86">
        <f>SUM(K6:K15)</f>
        <v>3730.1800000000003</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1207</v>
      </c>
      <c r="B18" s="2459"/>
      <c r="C18" s="2437"/>
      <c r="D18" s="2450"/>
      <c r="E18" s="2437"/>
      <c r="F18" s="2437"/>
      <c r="G18" s="2437"/>
      <c r="H18" s="2437"/>
      <c r="I18" s="2437"/>
      <c r="J18" s="2437"/>
      <c r="K18" s="2448"/>
      <c r="L18" s="2448"/>
      <c r="M18" s="2447">
        <v>2024</v>
      </c>
      <c r="N18" s="3170" t="s">
        <v>3441</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1208</v>
      </c>
      <c r="B19" s="97">
        <v>0</v>
      </c>
      <c r="C19" s="2559" t="s">
        <v>2293</v>
      </c>
      <c r="D19" s="2450"/>
      <c r="E19" s="2437"/>
      <c r="F19" s="2437"/>
      <c r="G19" s="2437"/>
      <c r="H19" s="2437"/>
      <c r="I19" s="2437"/>
      <c r="J19" s="2437"/>
      <c r="K19" s="2448"/>
      <c r="L19" s="2448"/>
      <c r="M19" s="2447">
        <f>ROUND(1-(1-0)*(2025-M18)/60,2)</f>
        <v>0.98</v>
      </c>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1209</v>
      </c>
      <c r="B20" s="98"/>
      <c r="C20" s="2560" t="s">
        <v>2291</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1210</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1211</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1212</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1213</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1214</v>
      </c>
      <c r="B26" s="1600" t="s">
        <v>1215</v>
      </c>
      <c r="C26" s="2451" t="s">
        <v>1216</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1217</v>
      </c>
      <c r="B27" s="101"/>
      <c r="C27" s="2561" t="s">
        <v>2295</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1218</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1219</v>
      </c>
      <c r="B29" s="105"/>
      <c r="C29" s="2562" t="s">
        <v>2285</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1220</v>
      </c>
      <c r="B30" s="638"/>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1221</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1222</v>
      </c>
      <c r="B32" s="639"/>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1223</v>
      </c>
      <c r="B33" s="640"/>
      <c r="C33" s="2563" t="s">
        <v>3372</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1224</v>
      </c>
      <c r="B34" s="106"/>
      <c r="C34" s="2563" t="s">
        <v>2286</v>
      </c>
      <c r="D34" s="2458" t="s">
        <v>2292</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1225</v>
      </c>
      <c r="B35" s="103"/>
      <c r="C35" s="2563" t="s">
        <v>2287</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1226</v>
      </c>
      <c r="B36" s="107"/>
      <c r="C36" s="2563" t="s">
        <v>3390</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1227</v>
      </c>
      <c r="B37" s="108"/>
      <c r="C37" s="2563" t="s">
        <v>3373</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1228</v>
      </c>
      <c r="B38" s="106"/>
      <c r="C38" s="2563" t="s">
        <v>3374</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1229</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2301</v>
      </c>
      <c r="B40" s="1015" t="e">
        <f ca="1">IF(A40="利息：取LPR",存贷款利率!G1,存贷款利率!G1+C40)</f>
        <v>#VALUE!</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1230</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1231</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1232</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1233</v>
      </c>
      <c r="B44" s="112"/>
      <c r="C44" s="2563" t="s">
        <v>3375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1234</v>
      </c>
      <c r="B45" s="110"/>
      <c r="C45" s="2562" t="s">
        <v>2288</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1235</v>
      </c>
      <c r="B46" s="110"/>
      <c r="C46" s="2562" t="s">
        <v>2289</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1236</v>
      </c>
      <c r="B47" s="113"/>
      <c r="C47" s="2565" t="s">
        <v>2296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1237</v>
      </c>
      <c r="B48" s="114"/>
      <c r="C48" s="2562" t="s">
        <v>2288</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1238</v>
      </c>
      <c r="B49" s="110"/>
      <c r="C49" s="2562" t="s">
        <v>2290</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1239</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1240</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1241</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1242</v>
      </c>
      <c r="B53" s="1611"/>
      <c r="C53" s="2438" t="s">
        <v>1243</v>
      </c>
      <c r="D53" s="2564" t="s">
        <v>2294</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1244</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1245</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1246</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1247</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1248</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1249</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1250</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1251</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1252</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1253</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4" sqref="C4"/>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5" customWidth="1"/>
    <col min="9" max="9" width="16.7265625" style="2275" customWidth="1"/>
    <col min="10" max="10" width="2.6328125" style="2275" customWidth="1"/>
    <col min="11" max="11" width="11.90625" style="2275" customWidth="1"/>
    <col min="12" max="12" width="16.7265625" style="2275" customWidth="1"/>
    <col min="13" max="13" width="2.6328125" style="2275" customWidth="1"/>
    <col min="14" max="14" width="11.90625" style="2275" customWidth="1"/>
    <col min="15" max="15" width="16.7265625" style="2275" customWidth="1"/>
    <col min="16" max="16" width="2.6328125" style="2275" customWidth="1"/>
    <col min="17" max="17" width="11.90625" style="2275" customWidth="1"/>
    <col min="18" max="18" width="16.7265625" style="751" customWidth="1"/>
    <col min="19" max="29" width="9" style="751"/>
    <col min="30" max="16384" width="9" style="1522"/>
  </cols>
  <sheetData>
    <row r="1" spans="1:29" s="2259" customFormat="1" ht="18.5" thickBot="1">
      <c r="A1" s="3297" t="s">
        <v>2277</v>
      </c>
      <c r="B1" s="3298"/>
      <c r="C1" s="3298"/>
      <c r="D1" s="3298"/>
      <c r="E1" s="3298"/>
      <c r="F1" s="3298"/>
      <c r="G1" s="329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2272</v>
      </c>
      <c r="D2" s="1595"/>
      <c r="E2" s="2260"/>
      <c r="F2" s="2263"/>
      <c r="G2" s="2262" t="s">
        <v>2273</v>
      </c>
      <c r="H2" s="751"/>
      <c r="I2" s="751"/>
      <c r="J2" s="751"/>
      <c r="K2" s="751"/>
      <c r="L2" s="751"/>
      <c r="M2" s="751"/>
      <c r="N2" s="751"/>
      <c r="O2" s="751"/>
      <c r="P2" s="751"/>
      <c r="Q2" s="751"/>
    </row>
    <row r="3" spans="1:29" ht="52">
      <c r="A3" s="2247" t="s">
        <v>2274</v>
      </c>
      <c r="B3" s="2264" t="s">
        <v>2246</v>
      </c>
      <c r="C3" s="2265" t="s">
        <v>2275</v>
      </c>
      <c r="D3" s="2266"/>
      <c r="E3" s="2248" t="s">
        <v>2274</v>
      </c>
      <c r="F3" s="2267" t="s">
        <v>2247</v>
      </c>
      <c r="G3" s="2268" t="s">
        <v>2276</v>
      </c>
      <c r="H3" s="751"/>
      <c r="I3" s="751"/>
      <c r="J3" s="751"/>
      <c r="K3" s="751"/>
      <c r="L3" s="751"/>
      <c r="M3" s="751"/>
      <c r="N3" s="751"/>
      <c r="O3" s="751"/>
      <c r="P3" s="751"/>
      <c r="Q3" s="751"/>
    </row>
    <row r="4" spans="1:29" ht="52">
      <c r="A4" s="2248"/>
      <c r="B4" s="315" t="s">
        <v>2248</v>
      </c>
      <c r="C4" s="3185" t="s">
        <v>3653</v>
      </c>
      <c r="D4" s="2266"/>
      <c r="E4" s="2269"/>
      <c r="F4" s="1281" t="s">
        <v>2249</v>
      </c>
      <c r="G4" s="2270" t="s">
        <v>2250</v>
      </c>
      <c r="H4" s="751"/>
      <c r="I4" s="751"/>
      <c r="J4" s="751"/>
      <c r="K4" s="751"/>
      <c r="L4" s="751"/>
      <c r="M4" s="751"/>
      <c r="N4" s="751"/>
      <c r="O4" s="751"/>
      <c r="P4" s="751"/>
      <c r="Q4" s="751"/>
    </row>
    <row r="5" spans="1:29" ht="52">
      <c r="A5" s="2248"/>
      <c r="B5" s="315" t="s">
        <v>2251</v>
      </c>
      <c r="C5" s="3185" t="s">
        <v>3544</v>
      </c>
      <c r="D5" s="2266"/>
      <c r="E5" s="2269"/>
      <c r="F5" s="315" t="s">
        <v>2252</v>
      </c>
      <c r="G5" s="2270" t="s">
        <v>2253</v>
      </c>
      <c r="H5" s="751"/>
      <c r="I5" s="751"/>
      <c r="J5" s="751"/>
      <c r="K5" s="751"/>
      <c r="L5" s="751"/>
      <c r="M5" s="751"/>
      <c r="N5" s="751"/>
      <c r="O5" s="751"/>
      <c r="P5" s="751"/>
      <c r="Q5" s="751"/>
    </row>
    <row r="6" spans="1:29" ht="104">
      <c r="A6" s="2248"/>
      <c r="B6" s="315" t="s">
        <v>2254</v>
      </c>
      <c r="C6" s="3184" t="s">
        <v>3654</v>
      </c>
      <c r="D6" s="2266"/>
      <c r="E6" s="2269"/>
      <c r="F6" s="315" t="s">
        <v>2255</v>
      </c>
      <c r="G6" s="2270" t="s">
        <v>2256</v>
      </c>
      <c r="H6" s="751"/>
      <c r="I6" s="751"/>
      <c r="J6" s="751"/>
      <c r="K6" s="751"/>
      <c r="L6" s="751"/>
      <c r="M6" s="751"/>
      <c r="N6" s="751"/>
      <c r="O6" s="751"/>
      <c r="P6" s="751"/>
      <c r="Q6" s="751"/>
    </row>
    <row r="7" spans="1:29" ht="130.5" thickBot="1">
      <c r="A7" s="2248"/>
      <c r="B7" s="315" t="s">
        <v>2252</v>
      </c>
      <c r="C7" s="3184" t="s">
        <v>3540</v>
      </c>
      <c r="D7" s="2245"/>
      <c r="E7" s="2271"/>
      <c r="F7" s="2272" t="s">
        <v>2257</v>
      </c>
      <c r="G7" s="2273" t="s">
        <v>2258</v>
      </c>
      <c r="H7" s="751"/>
      <c r="I7" s="751"/>
      <c r="J7" s="751"/>
      <c r="K7" s="751"/>
      <c r="L7" s="751"/>
      <c r="M7" s="751"/>
      <c r="N7" s="751"/>
      <c r="O7" s="751"/>
      <c r="P7" s="751"/>
      <c r="Q7" s="751"/>
    </row>
    <row r="8" spans="1:29" ht="26">
      <c r="A8" s="2248"/>
      <c r="B8" s="315" t="s">
        <v>2255</v>
      </c>
      <c r="C8" s="3184" t="s">
        <v>3541</v>
      </c>
      <c r="D8" s="2245"/>
      <c r="E8" s="2245"/>
      <c r="F8" s="121"/>
      <c r="G8" s="121"/>
      <c r="H8" s="751"/>
      <c r="I8" s="751"/>
      <c r="J8" s="751"/>
      <c r="K8" s="751"/>
      <c r="L8" s="751"/>
      <c r="M8" s="751"/>
      <c r="N8" s="751"/>
      <c r="O8" s="751"/>
      <c r="P8" s="751"/>
      <c r="Q8" s="751"/>
    </row>
    <row r="9" spans="1:29" ht="78">
      <c r="A9" s="2248"/>
      <c r="B9" s="315" t="s">
        <v>2259</v>
      </c>
      <c r="C9" s="3185" t="s">
        <v>3542</v>
      </c>
      <c r="D9" s="2266"/>
      <c r="E9" s="2245"/>
      <c r="F9" s="121"/>
      <c r="G9" s="121"/>
      <c r="H9" s="751"/>
      <c r="I9" s="751"/>
      <c r="J9" s="751"/>
      <c r="K9" s="751"/>
      <c r="L9" s="751"/>
      <c r="M9" s="751"/>
      <c r="N9" s="751"/>
      <c r="O9" s="751"/>
      <c r="P9" s="751"/>
      <c r="Q9" s="751"/>
    </row>
    <row r="10" spans="1:29" ht="14.5" thickBot="1">
      <c r="A10" s="2249"/>
      <c r="B10" s="2274" t="s">
        <v>2260</v>
      </c>
      <c r="C10" s="3186" t="s">
        <v>3543</v>
      </c>
      <c r="D10" s="2266"/>
      <c r="E10" s="2266"/>
      <c r="F10" s="121"/>
      <c r="G10" s="121"/>
      <c r="J10" s="2276"/>
      <c r="M10" s="2276"/>
      <c r="P10" s="2276"/>
      <c r="R10" s="2275"/>
    </row>
    <row r="11" spans="1:29">
      <c r="A11" s="2277"/>
      <c r="B11" s="2245"/>
      <c r="C11" s="2266"/>
      <c r="D11" s="2266"/>
      <c r="E11" s="2266"/>
      <c r="F11" s="2245"/>
      <c r="G11" s="2245"/>
      <c r="J11" s="2276"/>
      <c r="M11" s="2276"/>
      <c r="P11" s="2276"/>
      <c r="R11" s="2275"/>
    </row>
    <row r="12" spans="1:29" s="2259" customFormat="1" ht="18">
      <c r="A12" s="2277"/>
      <c r="B12" s="2245"/>
      <c r="C12" s="2266"/>
      <c r="D12" s="2278"/>
      <c r="E12" s="2266"/>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4.5" thickBot="1">
      <c r="A13" s="2282" t="s">
        <v>2278</v>
      </c>
      <c r="B13" s="2278"/>
      <c r="C13" s="2278"/>
      <c r="D13" s="2277"/>
      <c r="E13" s="2278"/>
      <c r="F13" s="2278"/>
      <c r="G13" s="2278"/>
    </row>
    <row r="14" spans="1:29" ht="14.5" thickBot="1">
      <c r="A14" s="2283"/>
      <c r="B14" s="2283"/>
      <c r="C14" s="2284" t="s">
        <v>2261</v>
      </c>
      <c r="D14" s="2266"/>
      <c r="E14" s="2285"/>
      <c r="F14" s="2285"/>
      <c r="G14" s="2262" t="s">
        <v>2262</v>
      </c>
    </row>
    <row r="15" spans="1:29" ht="50">
      <c r="A15" s="2250" t="s">
        <v>2263</v>
      </c>
      <c r="B15" s="2286" t="s">
        <v>2246</v>
      </c>
      <c r="C15" s="2287" t="str">
        <f>C3</f>
        <v>估价对象周边居住用地比例、居住小区规模和社区发展完善程度，综合评价居住社区成熟度一般</v>
      </c>
      <c r="D15" s="2266"/>
      <c r="E15" s="2251" t="s">
        <v>2264</v>
      </c>
      <c r="F15" s="2286" t="s">
        <v>2265</v>
      </c>
      <c r="G15" s="2288" t="str">
        <f>G3</f>
        <v>估价对象位于XX开发区，园区建设成熟度XX，产业集聚程度XX</v>
      </c>
    </row>
    <row r="16" spans="1:29" ht="37.5">
      <c r="A16" s="2252"/>
      <c r="B16" s="2289" t="s">
        <v>2248</v>
      </c>
      <c r="C16" s="2290" t="str">
        <f>C4</f>
        <v>咨询对象位于大兴区西红门镇大白楼村，周边多为大白楼村村民居住用房，人流量小，商业繁华度较差</v>
      </c>
      <c r="D16" s="2266"/>
      <c r="E16" s="2253"/>
      <c r="F16" s="2291" t="s">
        <v>2249</v>
      </c>
      <c r="G16" s="2292" t="str">
        <f>G4</f>
        <v>估价对象周边道路状况、公共交通通达情况、停车便捷程度，综合评价交通便捷度较好</v>
      </c>
    </row>
    <row r="17" spans="1:17" ht="50">
      <c r="A17" s="2252"/>
      <c r="B17" s="2289" t="s">
        <v>2251</v>
      </c>
      <c r="C17" s="2290" t="str">
        <f>C5</f>
        <v>估价对象位于大兴区西红门大白楼村，周边办公楼项目较多，入驻率高，办公集聚程度较好</v>
      </c>
      <c r="D17" s="2245"/>
      <c r="E17" s="2253"/>
      <c r="F17" s="2291" t="s">
        <v>2266</v>
      </c>
      <c r="G17" s="2293"/>
    </row>
    <row r="18" spans="1:17" ht="100">
      <c r="A18" s="2252"/>
      <c r="B18" s="2291" t="s">
        <v>2254</v>
      </c>
      <c r="C18" s="2292" t="str">
        <f>C6</f>
        <v>咨询对象北侧临城市支路——大金北路，西侧距城市次干道——团河路直线距离约110米，周边1公里范围内有369、485、676等多条线路经过，2公里范围内无地铁，项目内部有地面停车位，综合评价交通便捷度一般</v>
      </c>
      <c r="D18" s="2245"/>
      <c r="E18" s="2253"/>
      <c r="F18" s="2291" t="s">
        <v>2257</v>
      </c>
      <c r="G18" s="2292" t="str">
        <f>G7</f>
        <v>该园区内是否有污染型企业，绿化情况，卫生条件，整体环境状况判断</v>
      </c>
    </row>
    <row r="19" spans="1:17" ht="25">
      <c r="A19" s="2252"/>
      <c r="B19" s="2291" t="s">
        <v>2267</v>
      </c>
      <c r="C19" s="2293"/>
      <c r="D19" s="2266"/>
      <c r="E19" s="2253"/>
      <c r="F19" s="315" t="s">
        <v>2252</v>
      </c>
      <c r="G19" s="2292" t="str">
        <f>G5</f>
        <v>估价对象所在区域公共配套设施齐备情况</v>
      </c>
    </row>
    <row r="20" spans="1:17" ht="75">
      <c r="A20" s="2252"/>
      <c r="B20" s="2291" t="s">
        <v>2268</v>
      </c>
      <c r="C20" s="2290" t="str">
        <f>C9</f>
        <v>区域自然环境：寿保庄公园、敬贤公园、新三余公园、星光·视界公园；人文环境：中国人民公安大学（团河校区）、民政职业大学（大兴校区）；综合评价环境状况较好</v>
      </c>
      <c r="D20" s="2245"/>
      <c r="E20" s="2253"/>
      <c r="F20" s="315" t="s">
        <v>2255</v>
      </c>
      <c r="G20" s="2292" t="str">
        <f>G6</f>
        <v>估价对象所在区域基础设施水平</v>
      </c>
    </row>
    <row r="21" spans="1:17" ht="125">
      <c r="A21" s="2252"/>
      <c r="B21" s="315" t="s">
        <v>2252</v>
      </c>
      <c r="C21" s="2292" t="str">
        <f>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21" s="2266"/>
      <c r="E21" s="2253"/>
      <c r="F21" s="2291" t="s">
        <v>2269</v>
      </c>
      <c r="G21" s="2294"/>
    </row>
    <row r="22" spans="1:17" ht="13.5" customHeight="1">
      <c r="A22" s="2252"/>
      <c r="B22" s="315" t="s">
        <v>2255</v>
      </c>
      <c r="C22" s="2292" t="str">
        <f>C8</f>
        <v>估价对象所在区域基础设施水平：七通</v>
      </c>
      <c r="D22" s="2266"/>
      <c r="E22" s="2253"/>
      <c r="F22" s="2291" t="s">
        <v>2260</v>
      </c>
      <c r="G22" s="2293"/>
    </row>
    <row r="23" spans="1:17" s="751" customFormat="1" ht="14.5" thickBot="1">
      <c r="A23" s="2252"/>
      <c r="B23" s="2291" t="s">
        <v>2269</v>
      </c>
      <c r="C23" s="2294"/>
      <c r="D23" s="1614"/>
      <c r="E23" s="2254"/>
      <c r="F23" s="2295" t="s">
        <v>2270</v>
      </c>
      <c r="G23" s="2296"/>
      <c r="H23" s="2275"/>
      <c r="I23" s="2275"/>
      <c r="J23" s="2275"/>
      <c r="K23" s="2275"/>
      <c r="L23" s="2275"/>
      <c r="M23" s="2275"/>
      <c r="N23" s="2275"/>
      <c r="O23" s="2275"/>
      <c r="P23" s="2275"/>
      <c r="Q23" s="2275"/>
    </row>
    <row r="24" spans="1:17" s="751" customFormat="1" ht="14.5" thickBot="1">
      <c r="A24" s="2255"/>
      <c r="B24" s="2295" t="s">
        <v>2271</v>
      </c>
      <c r="C24" s="2297" t="str">
        <f>C10</f>
        <v>城市支路——大金北路</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0" sqref="G10"/>
    </sheetView>
  </sheetViews>
  <sheetFormatPr defaultColWidth="9" defaultRowHeight="14"/>
  <cols>
    <col min="1" max="1" width="25" style="2299" customWidth="1"/>
    <col min="2" max="9" width="15.7265625" style="2299" customWidth="1"/>
    <col min="10" max="16384" width="9" style="2299"/>
  </cols>
  <sheetData>
    <row r="1" spans="1:11" ht="16.5">
      <c r="A1" s="2298" t="s">
        <v>662</v>
      </c>
      <c r="B1" s="2298">
        <f>SUM(B14:B23)</f>
        <v>3730.1800000000003</v>
      </c>
      <c r="C1" s="2460"/>
      <c r="D1" s="2460"/>
      <c r="E1" s="2460"/>
      <c r="F1" s="2460"/>
      <c r="G1" s="2461"/>
      <c r="H1" s="2461"/>
      <c r="I1" s="2461"/>
      <c r="J1" s="2461"/>
      <c r="K1" s="2461"/>
    </row>
    <row r="2" spans="1:11" ht="16.5">
      <c r="A2" s="2298" t="s">
        <v>650</v>
      </c>
      <c r="B2" s="2298">
        <f>SUM(C14:C23)</f>
        <v>0</v>
      </c>
      <c r="C2" s="2460"/>
      <c r="D2" s="2460"/>
      <c r="E2" s="2460"/>
      <c r="F2" s="2460"/>
      <c r="G2" s="2461"/>
      <c r="H2" s="2461"/>
      <c r="I2" s="2461"/>
      <c r="J2" s="2461"/>
      <c r="K2" s="2461"/>
    </row>
    <row r="3" spans="1:11" ht="16.5">
      <c r="A3" s="2298" t="s">
        <v>659</v>
      </c>
      <c r="B3" s="2300">
        <f>项目基本情况!D3</f>
        <v>45957</v>
      </c>
      <c r="C3" s="2460"/>
      <c r="D3" s="2460"/>
      <c r="E3" s="2460"/>
      <c r="F3" s="2460"/>
      <c r="G3" s="2461"/>
      <c r="H3" s="2461"/>
      <c r="I3" s="2461"/>
      <c r="J3" s="2461"/>
      <c r="K3" s="2461"/>
    </row>
    <row r="4" spans="1:11" ht="33">
      <c r="A4" s="2298" t="s">
        <v>658</v>
      </c>
      <c r="B4" s="2298" t="s">
        <v>657</v>
      </c>
      <c r="C4" s="2298" t="s">
        <v>656</v>
      </c>
      <c r="D4" s="2298" t="s">
        <v>655</v>
      </c>
      <c r="E4" s="2460"/>
      <c r="F4" s="2461"/>
      <c r="G4" s="2461"/>
      <c r="H4" s="2461"/>
      <c r="I4" s="2461"/>
      <c r="J4" s="2461"/>
      <c r="K4" s="2461"/>
    </row>
    <row r="5" spans="1:11" ht="16.5">
      <c r="A5" s="2298" t="s">
        <v>654</v>
      </c>
      <c r="B5" s="2298">
        <f>SUM(D14:D23)</f>
        <v>0</v>
      </c>
      <c r="C5" s="2298">
        <f ca="1">IF(B5=D14,结果表!H102,ROUND(B5*10000/$B$1,0))</f>
        <v>0</v>
      </c>
      <c r="D5" s="2298" t="e">
        <f>ROUND(B5*10000/$B$2,0)</f>
        <v>#DIV/0!</v>
      </c>
      <c r="E5" s="2460"/>
      <c r="F5" s="2461"/>
      <c r="G5" s="2461"/>
      <c r="H5" s="2461"/>
      <c r="I5" s="2461"/>
      <c r="J5" s="2461"/>
      <c r="K5" s="2461"/>
    </row>
    <row r="6" spans="1:11" ht="16.5">
      <c r="A6" s="2298" t="s">
        <v>653</v>
      </c>
      <c r="B6" s="2298">
        <f>SUM(G14:G23)</f>
        <v>0</v>
      </c>
      <c r="C6" s="2298">
        <f ca="1">IF(B6=G14,结果表!H108,ROUND(B6*10000/$B$1,0))</f>
        <v>0</v>
      </c>
      <c r="D6" s="2298" t="e">
        <f>ROUND(B6*10000/$B$2,0)</f>
        <v>#DIV/0!</v>
      </c>
      <c r="E6" s="2460"/>
      <c r="F6" s="2461"/>
      <c r="G6" s="2461"/>
      <c r="H6" s="2461"/>
      <c r="I6" s="2461"/>
      <c r="J6" s="2461"/>
      <c r="K6" s="2461"/>
    </row>
    <row r="7" spans="1:11" ht="16.5">
      <c r="A7" s="2298" t="s">
        <v>661</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652</v>
      </c>
      <c r="B9" s="1244"/>
      <c r="C9" s="2460"/>
      <c r="D9" s="2460"/>
      <c r="E9" s="2460"/>
      <c r="F9" s="2461"/>
      <c r="G9" s="2461"/>
      <c r="H9" s="2461"/>
      <c r="I9" s="2461"/>
      <c r="J9" s="2461"/>
      <c r="K9" s="2461"/>
    </row>
    <row r="10" spans="1:11" ht="16.5">
      <c r="A10" s="2298" t="s">
        <v>651</v>
      </c>
      <c r="B10" s="2298">
        <f>IF(E10="",0,ROUND(B1*(E10*365/G10)/10000,0))</f>
        <v>1848</v>
      </c>
      <c r="C10" s="2298" t="s">
        <v>3345</v>
      </c>
      <c r="D10" s="2298" t="s">
        <v>3346</v>
      </c>
      <c r="E10" s="3135">
        <f>典型户型修正!V21</f>
        <v>0.95</v>
      </c>
      <c r="F10" s="3139" t="s">
        <v>3347</v>
      </c>
      <c r="G10" s="3136">
        <v>7.0000000000000007E-2</v>
      </c>
      <c r="H10" s="2461"/>
      <c r="I10" s="2461"/>
      <c r="J10" s="2461"/>
      <c r="K10" s="2461"/>
    </row>
    <row r="11" spans="1:11" ht="16.5">
      <c r="A11" s="2298" t="s">
        <v>667</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666</v>
      </c>
      <c r="B13" s="2302" t="s">
        <v>663</v>
      </c>
      <c r="C13" s="2302" t="s">
        <v>665</v>
      </c>
      <c r="D13" s="2302" t="s">
        <v>664</v>
      </c>
      <c r="E13" s="2298" t="s">
        <v>656</v>
      </c>
      <c r="F13" s="2298" t="s">
        <v>655</v>
      </c>
      <c r="G13" s="2302" t="s">
        <v>649</v>
      </c>
      <c r="H13" s="2302" t="s">
        <v>660</v>
      </c>
      <c r="I13" s="2302" t="s">
        <v>648</v>
      </c>
      <c r="J13" s="2461"/>
      <c r="K13" s="2461"/>
    </row>
    <row r="14" spans="1:11" ht="16.5">
      <c r="A14" s="2303" t="s">
        <v>3576</v>
      </c>
      <c r="B14" s="2304">
        <f>典型户型修正!B22</f>
        <v>3730.1800000000003</v>
      </c>
      <c r="C14" s="2304"/>
      <c r="D14" s="2304"/>
      <c r="E14" s="2304">
        <f>ROUND(D14*10000/B14,0)</f>
        <v>0</v>
      </c>
      <c r="F14" s="2304" t="e">
        <f>ROUND(D14*10000/C14,0)</f>
        <v>#DIV/0!</v>
      </c>
      <c r="G14" s="2304"/>
      <c r="H14" s="2304"/>
      <c r="I14" s="2304"/>
      <c r="J14" s="2461"/>
      <c r="K14" s="2461"/>
    </row>
    <row r="15" spans="1:11" ht="16.5">
      <c r="A15" s="2303" t="s">
        <v>3577</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3578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59" sqref="D59"/>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1259</v>
      </c>
      <c r="B1" s="646"/>
      <c r="C1" s="1620"/>
      <c r="D1" s="646"/>
      <c r="E1" s="646"/>
      <c r="F1" s="1621" t="s">
        <v>1260</v>
      </c>
      <c r="G1" s="1453"/>
      <c r="H1" s="1621" t="str">
        <f>IF(G1="现房","——","估价对象范围")</f>
        <v>估价对象范围</v>
      </c>
      <c r="I1" s="1622"/>
    </row>
    <row r="2" spans="1:12" ht="21.75" customHeight="1" thickBot="1">
      <c r="A2" s="3333" t="str">
        <f>项目基本情况!S2</f>
        <v>北京市房地产</v>
      </c>
      <c r="B2" s="3334"/>
      <c r="C2" s="3334"/>
      <c r="D2" s="3334"/>
      <c r="E2" s="3334"/>
      <c r="F2" s="3334"/>
      <c r="G2" s="3334"/>
      <c r="H2" s="3334"/>
      <c r="I2" s="3335"/>
    </row>
    <row r="3" spans="1:12" ht="13">
      <c r="A3" s="3337" t="s">
        <v>1261</v>
      </c>
      <c r="B3" s="3338"/>
      <c r="C3" s="3338"/>
      <c r="D3" s="3338"/>
      <c r="E3" s="3338"/>
      <c r="F3" s="3338"/>
      <c r="G3" s="3338"/>
      <c r="H3" s="3338"/>
      <c r="I3" s="3338"/>
    </row>
    <row r="4" spans="1:12" ht="14">
      <c r="A4" s="1624" t="s">
        <v>1262</v>
      </c>
      <c r="B4" s="1625" t="s">
        <v>1263</v>
      </c>
      <c r="C4" s="1626"/>
      <c r="D4" s="1626"/>
      <c r="E4" s="3339" t="s">
        <v>1264</v>
      </c>
      <c r="F4" s="3340"/>
      <c r="G4" s="3340"/>
      <c r="H4" s="3340"/>
      <c r="I4" s="334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313" t="s">
        <v>1265</v>
      </c>
      <c r="B5" s="3300">
        <v>25</v>
      </c>
      <c r="C5" s="3316"/>
      <c r="D5" s="3336"/>
      <c r="E5" s="123" t="s">
        <v>1266</v>
      </c>
      <c r="F5" s="1627"/>
      <c r="G5" s="1627"/>
      <c r="H5" s="1627"/>
      <c r="I5" s="1281"/>
    </row>
    <row r="6" spans="1:12" ht="13">
      <c r="A6" s="3313"/>
      <c r="B6" s="3300"/>
      <c r="C6" s="3317"/>
      <c r="D6" s="3336"/>
      <c r="E6" s="123" t="s">
        <v>1267</v>
      </c>
      <c r="F6" s="1627"/>
      <c r="G6" s="1627"/>
      <c r="H6" s="1627"/>
      <c r="I6" s="1281"/>
    </row>
    <row r="7" spans="1:12" ht="13">
      <c r="A7" s="3313"/>
      <c r="B7" s="3300"/>
      <c r="C7" s="3318"/>
      <c r="D7" s="3336"/>
      <c r="E7" s="123" t="s">
        <v>1268</v>
      </c>
      <c r="F7" s="1627"/>
      <c r="G7" s="1627"/>
      <c r="H7" s="1627"/>
      <c r="I7" s="1281"/>
    </row>
    <row r="8" spans="1:12" ht="13">
      <c r="A8" s="3313" t="s">
        <v>1269</v>
      </c>
      <c r="B8" s="3300">
        <v>15</v>
      </c>
      <c r="C8" s="3316"/>
      <c r="D8" s="3336"/>
      <c r="E8" s="123" t="s">
        <v>1270</v>
      </c>
      <c r="F8" s="1627"/>
      <c r="G8" s="1627"/>
      <c r="H8" s="1627"/>
      <c r="I8" s="1281"/>
    </row>
    <row r="9" spans="1:12" ht="13">
      <c r="A9" s="3313"/>
      <c r="B9" s="3300"/>
      <c r="C9" s="3318"/>
      <c r="D9" s="3336"/>
      <c r="E9" s="123" t="s">
        <v>1271</v>
      </c>
      <c r="F9" s="1627"/>
      <c r="G9" s="1627"/>
      <c r="H9" s="1627"/>
      <c r="I9" s="1281"/>
    </row>
    <row r="10" spans="1:12" ht="13">
      <c r="A10" s="3313" t="s">
        <v>1272</v>
      </c>
      <c r="B10" s="3300">
        <v>15</v>
      </c>
      <c r="C10" s="3316"/>
      <c r="D10" s="3336"/>
      <c r="E10" s="123" t="s">
        <v>1273</v>
      </c>
      <c r="F10" s="1627"/>
      <c r="G10" s="1627"/>
      <c r="H10" s="1627"/>
      <c r="I10" s="1281"/>
    </row>
    <row r="11" spans="1:12" ht="13">
      <c r="A11" s="3313"/>
      <c r="B11" s="3300"/>
      <c r="C11" s="3318"/>
      <c r="D11" s="3336"/>
      <c r="E11" s="123" t="s">
        <v>1274</v>
      </c>
      <c r="F11" s="1627"/>
      <c r="G11" s="1627"/>
      <c r="H11" s="1627"/>
      <c r="I11" s="1281"/>
    </row>
    <row r="12" spans="1:12" ht="13">
      <c r="A12" s="3313" t="s">
        <v>1275</v>
      </c>
      <c r="B12" s="3300">
        <v>15</v>
      </c>
      <c r="C12" s="3316"/>
      <c r="D12" s="3336"/>
      <c r="E12" s="123" t="s">
        <v>1276</v>
      </c>
      <c r="F12" s="1627"/>
      <c r="G12" s="1627"/>
      <c r="H12" s="1627"/>
      <c r="I12" s="1281"/>
    </row>
    <row r="13" spans="1:12" ht="13">
      <c r="A13" s="3313"/>
      <c r="B13" s="3300"/>
      <c r="C13" s="3318"/>
      <c r="D13" s="3336"/>
      <c r="E13" s="123" t="s">
        <v>1277</v>
      </c>
      <c r="F13" s="1627"/>
      <c r="G13" s="1627"/>
      <c r="H13" s="1627"/>
      <c r="I13" s="1281"/>
    </row>
    <row r="14" spans="1:12" ht="13">
      <c r="A14" s="3313" t="s">
        <v>1278</v>
      </c>
      <c r="B14" s="3300">
        <v>30</v>
      </c>
      <c r="C14" s="3316"/>
      <c r="D14" s="3336"/>
      <c r="E14" s="123" t="s">
        <v>1279</v>
      </c>
      <c r="F14" s="1627"/>
      <c r="G14" s="1627"/>
      <c r="H14" s="1627"/>
      <c r="I14" s="1281"/>
    </row>
    <row r="15" spans="1:12" ht="13">
      <c r="A15" s="3313"/>
      <c r="B15" s="3300"/>
      <c r="C15" s="3317"/>
      <c r="D15" s="3336"/>
      <c r="E15" s="123" t="s">
        <v>1280</v>
      </c>
      <c r="F15" s="1627"/>
      <c r="G15" s="1627"/>
      <c r="H15" s="1627"/>
      <c r="I15" s="1281"/>
    </row>
    <row r="16" spans="1:12" ht="13">
      <c r="A16" s="3313"/>
      <c r="B16" s="3300"/>
      <c r="C16" s="3318"/>
      <c r="D16" s="3336"/>
      <c r="E16" s="123" t="s">
        <v>1281</v>
      </c>
      <c r="F16" s="1627"/>
      <c r="G16" s="1627"/>
      <c r="H16" s="1627"/>
      <c r="I16" s="1281"/>
    </row>
    <row r="17" spans="1:36" ht="14">
      <c r="A17" s="1628" t="s">
        <v>1282</v>
      </c>
      <c r="B17" s="54"/>
      <c r="C17" s="124">
        <f>SUM(C5:C16)</f>
        <v>0</v>
      </c>
      <c r="D17" s="124">
        <f>SUM(D5:D16)</f>
        <v>0</v>
      </c>
      <c r="E17" s="121"/>
      <c r="F17" s="121"/>
      <c r="G17" s="121"/>
      <c r="H17" s="121"/>
      <c r="I17" s="121"/>
      <c r="K17" s="294"/>
      <c r="L17" s="294" t="s">
        <v>1283</v>
      </c>
      <c r="M17" s="294" t="s">
        <v>1284</v>
      </c>
    </row>
    <row r="18" spans="1:36" ht="31.9" customHeight="1" thickBot="1">
      <c r="A18" s="1629" t="s">
        <v>1285</v>
      </c>
      <c r="B18" s="1542"/>
      <c r="C18" s="125" t="e">
        <f>ROUND(C17/SUM(C17:D17),2)</f>
        <v>#DIV/0!</v>
      </c>
      <c r="D18" s="125" t="e">
        <f>1-C18</f>
        <v>#DIV/0!</v>
      </c>
      <c r="E18" s="3323" t="s">
        <v>2125</v>
      </c>
      <c r="F18" s="3324"/>
      <c r="G18" s="3324"/>
      <c r="H18" s="3324"/>
      <c r="I18" s="3324"/>
      <c r="K18" s="294" t="s">
        <v>1286</v>
      </c>
      <c r="L18" s="294">
        <f>IF(C1="",'数据-汇总表'!E3,SUMIF(项目类型,C1,'数据-汇总表'!E17:E26)+SUMIF(项目类型,C1,'数据-汇总表'!I17:I26))</f>
        <v>3730.1800000000003</v>
      </c>
      <c r="M18" s="294">
        <f>IF(C1="",'数据-汇总表'!E3,SUMIF(项目类型,C1,'数据-汇总表'!E17:E26))</f>
        <v>3730.1800000000003</v>
      </c>
    </row>
    <row r="19" spans="1:36" ht="14">
      <c r="A19" s="1630" t="s">
        <v>1287</v>
      </c>
      <c r="B19" s="1631" t="s">
        <v>1288</v>
      </c>
      <c r="C19" s="126" t="e">
        <f ca="1">SUMIF(INDIRECT("'"&amp;C4&amp;"'"&amp;"!A:A"),结果表!B19,INDIRECT("'"&amp;C4&amp;"'"&amp;"!B:B"))</f>
        <v>#REF!</v>
      </c>
      <c r="D19" s="127" t="e">
        <f ca="1">SUMIF(INDIRECT("'"&amp;D4&amp;"'"&amp;"!A:A"),结果表!B19,INDIRECT("'"&amp;D4&amp;"'"&amp;"!B:B"))</f>
        <v>#REF!</v>
      </c>
      <c r="E19" s="1630" t="s">
        <v>1289</v>
      </c>
      <c r="F19" s="1631" t="s">
        <v>1288</v>
      </c>
      <c r="G19" s="128" t="e">
        <f ca="1">ROUND(C19*$C$18+D19*$D$18,0)</f>
        <v>#REF!</v>
      </c>
      <c r="H19" s="1632" t="s">
        <v>1290</v>
      </c>
      <c r="I19" s="121"/>
      <c r="K19" s="294" t="s">
        <v>1291</v>
      </c>
      <c r="L19" s="294">
        <f>IF(C1="",'数据-汇总表'!D3,SUMIF(项目类型,C1,'数据-汇总表'!D17:D26)+SUMIF(项目类型,C1,'数据-汇总表'!H17:H27))</f>
        <v>0</v>
      </c>
      <c r="M19" s="294">
        <f>IF(C1="",'数据-汇总表'!D3,SUMIF(项目类型,C1,'数据-汇总表'!D17:D26))</f>
        <v>0</v>
      </c>
    </row>
    <row r="20" spans="1:36" ht="14">
      <c r="A20" s="1633"/>
      <c r="B20" s="43" t="s">
        <v>1292</v>
      </c>
      <c r="C20" s="129" t="e">
        <f ca="1">SUMIF(INDIRECT("'"&amp;C4&amp;"'"&amp;"!A:A"),结果表!B20,INDIRECT("'"&amp;C4&amp;"'"&amp;"!B:B"))</f>
        <v>#REF!</v>
      </c>
      <c r="D20" s="130" t="e">
        <f ca="1">SUMIF(INDIRECT("'"&amp;D4&amp;"'"&amp;"!A:A"),结果表!B20,INDIRECT("'"&amp;D4&amp;"'"&amp;"!B:B"))</f>
        <v>#REF!</v>
      </c>
      <c r="E20" s="1633"/>
      <c r="F20" s="43" t="s">
        <v>1292</v>
      </c>
      <c r="G20" s="131" t="e">
        <f ca="1">ROUND(C20*$C$18+D20*$D$18,0)</f>
        <v>#REF!</v>
      </c>
      <c r="H20" s="760" t="s">
        <v>1293</v>
      </c>
      <c r="I20" s="121"/>
    </row>
    <row r="21" spans="1:36" ht="15" customHeight="1" thickBot="1">
      <c r="A21" s="449"/>
      <c r="B21" s="93" t="s">
        <v>1294</v>
      </c>
      <c r="C21" s="678" t="e">
        <f ca="1">ROUND(C19*10000/L19,0)</f>
        <v>#REF!</v>
      </c>
      <c r="D21" s="679" t="e">
        <f ca="1">ROUND(D19*10000/L19,0)</f>
        <v>#REF!</v>
      </c>
      <c r="E21" s="449"/>
      <c r="F21" s="93" t="s">
        <v>1294</v>
      </c>
      <c r="G21" s="132" t="e">
        <f ca="1">ROUND(G19*10000/L19,0)</f>
        <v>#REF!</v>
      </c>
      <c r="H21" s="1634" t="s">
        <v>1293</v>
      </c>
      <c r="I21" s="121"/>
    </row>
    <row r="22" spans="1:36" ht="14.5" thickBot="1">
      <c r="A22" s="1564" t="s">
        <v>1295</v>
      </c>
      <c r="B22" s="1635"/>
      <c r="C22" s="1636"/>
      <c r="D22" s="680" t="e">
        <f ca="1">IF(C19&lt;D19,D19/C19-1,C19/D19-1)</f>
        <v>#REF!</v>
      </c>
      <c r="E22" s="121"/>
      <c r="F22" s="121"/>
      <c r="G22" s="121"/>
      <c r="H22" s="121"/>
      <c r="I22" s="121"/>
    </row>
    <row r="23" spans="1:36" ht="13" thickBot="1">
      <c r="A23" s="646"/>
      <c r="B23" s="646"/>
      <c r="C23" s="646"/>
      <c r="D23" s="646"/>
      <c r="E23" s="121"/>
      <c r="F23" s="121"/>
      <c r="G23" s="121"/>
      <c r="H23" s="121"/>
      <c r="I23" s="121"/>
    </row>
    <row r="24" spans="1:36" ht="14">
      <c r="A24" s="3307" t="s">
        <v>1296</v>
      </c>
      <c r="B24" s="1631" t="s">
        <v>1288</v>
      </c>
      <c r="C24" s="128">
        <f>IF(B30=0,0,D30)</f>
        <v>0</v>
      </c>
      <c r="D24" s="1637"/>
      <c r="E24" s="121"/>
      <c r="F24" s="121"/>
      <c r="G24" s="121"/>
      <c r="H24" s="121"/>
      <c r="I24" s="121"/>
    </row>
    <row r="25" spans="1:36" ht="14">
      <c r="A25" s="3308"/>
      <c r="B25" s="43" t="s">
        <v>1292</v>
      </c>
      <c r="C25" s="133">
        <f>IF(B30=0,0,C30)</f>
        <v>0</v>
      </c>
      <c r="D25" s="1638"/>
      <c r="E25" s="121"/>
      <c r="F25" s="121"/>
      <c r="G25" s="121"/>
      <c r="H25" s="121"/>
      <c r="I25" s="121"/>
    </row>
    <row r="26" spans="1:36" ht="13.5" customHeight="1">
      <c r="A26" s="1639" t="s">
        <v>1297</v>
      </c>
      <c r="B26" s="134" t="s">
        <v>1298</v>
      </c>
      <c r="C26" s="134" t="s">
        <v>1299</v>
      </c>
      <c r="D26" s="135" t="s">
        <v>1300</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1301</v>
      </c>
      <c r="B30" s="134"/>
      <c r="C30" s="134"/>
      <c r="D30" s="134"/>
      <c r="E30" s="2127" t="s">
        <v>2126</v>
      </c>
      <c r="F30" s="121"/>
      <c r="G30" s="121"/>
      <c r="H30" s="121"/>
      <c r="I30" s="121"/>
    </row>
    <row r="31" spans="1:36" s="2133" customFormat="1" ht="26.5" customHeight="1" thickTop="1" thickBot="1">
      <c r="A31" s="2128"/>
      <c r="B31" s="2129"/>
      <c r="C31" s="2129"/>
      <c r="D31" s="2129"/>
      <c r="E31" s="2129"/>
      <c r="F31" s="2129"/>
      <c r="G31" s="2129"/>
      <c r="H31" s="2129"/>
      <c r="I31" s="2130" t="s">
        <v>2127</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1302</v>
      </c>
      <c r="B32" s="1535"/>
      <c r="C32" s="136" t="e">
        <f ca="1">IF(D32="总价",G19-C24,G20-C25)</f>
        <v>#REF!</v>
      </c>
      <c r="D32" s="1641"/>
      <c r="E32" s="121"/>
      <c r="F32" s="121"/>
      <c r="G32" s="121"/>
      <c r="H32" s="121"/>
      <c r="I32" s="121"/>
    </row>
    <row r="33" spans="1:15" ht="14">
      <c r="A33" s="740" t="s">
        <v>1303</v>
      </c>
      <c r="B33" s="123"/>
      <c r="C33" s="1642"/>
      <c r="D33" s="1643"/>
      <c r="E33" s="1644" t="s">
        <v>1304</v>
      </c>
      <c r="F33" s="1645" t="str">
        <f>IF(D32="楼面单价","取值（单价）","取值（总价）")</f>
        <v>取值（总价）</v>
      </c>
      <c r="G33" s="121"/>
      <c r="H33" s="121"/>
      <c r="I33" s="121"/>
    </row>
    <row r="34" spans="1:15" ht="14">
      <c r="A34" s="1646"/>
      <c r="B34" s="1647" t="s">
        <v>1305</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1306</v>
      </c>
      <c r="F34" s="1243"/>
      <c r="G34" s="121"/>
      <c r="H34" s="121"/>
      <c r="I34" s="121"/>
    </row>
    <row r="35" spans="1:15" ht="14.5" thickBot="1">
      <c r="A35" s="1649"/>
      <c r="B35" s="1650" t="s">
        <v>1307</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1308</v>
      </c>
      <c r="F35" s="146"/>
      <c r="G35" s="121"/>
      <c r="H35" s="121"/>
      <c r="I35" s="121"/>
    </row>
    <row r="36" spans="1:15" ht="14.5" thickBot="1">
      <c r="A36" s="3327" t="s">
        <v>1309</v>
      </c>
      <c r="B36" s="1652" t="s">
        <v>1310</v>
      </c>
      <c r="C36" s="137"/>
      <c r="D36" s="1653"/>
      <c r="E36" s="1567"/>
      <c r="F36" s="1654"/>
      <c r="G36" s="121"/>
      <c r="H36" s="121"/>
      <c r="I36" s="121"/>
    </row>
    <row r="37" spans="1:15" ht="14.5" thickBot="1">
      <c r="A37" s="3328"/>
      <c r="B37" s="1555" t="s">
        <v>1311</v>
      </c>
      <c r="C37" s="139"/>
      <c r="D37" s="1071"/>
      <c r="E37" s="1071"/>
      <c r="F37" s="1654"/>
      <c r="G37" s="121"/>
      <c r="H37" s="121"/>
      <c r="I37" s="121"/>
    </row>
    <row r="38" spans="1:15" ht="14.5" thickBot="1">
      <c r="A38" s="3329"/>
      <c r="B38" s="1655" t="s">
        <v>1312</v>
      </c>
      <c r="C38" s="641"/>
      <c r="D38" s="1656" t="s">
        <v>1313</v>
      </c>
      <c r="E38" s="1071"/>
      <c r="F38" s="1654"/>
      <c r="G38" s="121"/>
      <c r="H38" s="121"/>
      <c r="I38" s="121"/>
    </row>
    <row r="39" spans="1:15" ht="14">
      <c r="A39" s="1633" t="s">
        <v>1314</v>
      </c>
      <c r="B39" s="1657" t="s">
        <v>1315</v>
      </c>
      <c r="C39" s="1658" t="s">
        <v>1316</v>
      </c>
      <c r="D39" s="1658" t="s">
        <v>1317</v>
      </c>
      <c r="E39" s="1659" t="s">
        <v>1318</v>
      </c>
      <c r="F39" s="1654"/>
      <c r="G39" s="121"/>
      <c r="H39" s="121"/>
      <c r="I39" s="121"/>
    </row>
    <row r="40" spans="1:15" ht="14">
      <c r="A40" s="1660" t="s">
        <v>1319</v>
      </c>
      <c r="B40" s="141"/>
      <c r="C40" s="142"/>
      <c r="D40" s="142"/>
      <c r="E40" s="143"/>
      <c r="F40" s="1654"/>
      <c r="G40" s="121"/>
      <c r="H40" s="121"/>
      <c r="I40" s="121"/>
    </row>
    <row r="41" spans="1:15" ht="14">
      <c r="A41" s="1660" t="s">
        <v>1320</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1321</v>
      </c>
      <c r="B44" s="1664"/>
      <c r="C44" s="1664"/>
      <c r="D44" s="1665"/>
      <c r="E44" s="1665"/>
      <c r="F44" s="1666"/>
      <c r="G44" s="1666"/>
      <c r="H44" s="1666"/>
      <c r="I44" s="1666"/>
      <c r="J44" s="1667" t="s">
        <v>1322</v>
      </c>
      <c r="K44" s="4"/>
      <c r="L44" s="4"/>
      <c r="M44" s="4"/>
      <c r="N44" s="4"/>
      <c r="O44" s="4"/>
    </row>
    <row r="45" spans="1:15" ht="14.25" customHeight="1" thickBot="1">
      <c r="A45" s="3304" t="s">
        <v>1323</v>
      </c>
      <c r="B45" s="3305"/>
      <c r="C45" s="3306"/>
      <c r="D45" s="147" t="e">
        <f ca="1">ROUND(H101*F45,0)</f>
        <v>#REF!</v>
      </c>
      <c r="E45" s="148" t="s">
        <v>1324</v>
      </c>
      <c r="F45" s="149">
        <v>1</v>
      </c>
      <c r="G45" s="150" t="s">
        <v>1325</v>
      </c>
      <c r="H45" s="121"/>
      <c r="I45" s="121"/>
      <c r="J45" s="3382" t="s">
        <v>1326</v>
      </c>
      <c r="K45" s="3382"/>
      <c r="L45" s="3382"/>
      <c r="M45" s="3382"/>
      <c r="N45" s="3382"/>
      <c r="O45" s="3382"/>
    </row>
    <row r="46" spans="1:15" ht="14.25" customHeight="1">
      <c r="A46" s="3301" t="s">
        <v>1327</v>
      </c>
      <c r="B46" s="3302"/>
      <c r="C46" s="3302"/>
      <c r="D46" s="3302"/>
      <c r="E46" s="3302"/>
      <c r="F46" s="3302"/>
      <c r="G46" s="3303"/>
      <c r="H46" s="1668"/>
      <c r="I46" s="151"/>
      <c r="J46" s="2308">
        <v>1</v>
      </c>
      <c r="K46" s="3363" t="s">
        <v>1328</v>
      </c>
      <c r="L46" s="3363"/>
      <c r="M46" s="3383"/>
      <c r="N46" s="3383"/>
      <c r="O46" s="3383"/>
    </row>
    <row r="47" spans="1:15" ht="12" customHeight="1">
      <c r="A47" s="152" t="s">
        <v>1329</v>
      </c>
      <c r="B47" s="153"/>
      <c r="C47" s="154"/>
      <c r="D47" s="1024" t="s">
        <v>1330</v>
      </c>
      <c r="E47" s="294" t="s">
        <v>1331</v>
      </c>
      <c r="F47" s="155" t="s">
        <v>1332</v>
      </c>
      <c r="G47" s="2331" t="s">
        <v>1333</v>
      </c>
      <c r="H47" s="2332"/>
      <c r="I47" s="151"/>
      <c r="J47" s="2308">
        <v>2</v>
      </c>
      <c r="K47" s="3363" t="s">
        <v>1334</v>
      </c>
      <c r="L47" s="3363"/>
      <c r="M47" s="3384">
        <f>'数据-取费表'!B2</f>
        <v>45957</v>
      </c>
      <c r="N47" s="3384"/>
      <c r="O47" s="3384"/>
    </row>
    <row r="48" spans="1:15" ht="26">
      <c r="A48" s="3332" t="s">
        <v>1335</v>
      </c>
      <c r="B48" s="3315"/>
      <c r="C48" s="3315"/>
      <c r="D48" s="12" t="b">
        <f>IF(H48="情况1",0,IF(H48="情况2",D52,IF(H48="情况3",D53,IF(H48="情况4",D54))))</f>
        <v>0</v>
      </c>
      <c r="E48" s="1256" t="str">
        <f>IF(H48="情况4","(销售额-原购置价)×税（费）率","销售额×税（费）率")</f>
        <v>销售额×税（费）率</v>
      </c>
      <c r="F48" s="2333">
        <f>IF(H48="情况1","免征",'数据-取费表'!B41)</f>
        <v>0</v>
      </c>
      <c r="G48" s="2334" t="s">
        <v>1336</v>
      </c>
      <c r="H48" s="2335"/>
      <c r="I48" s="1668"/>
      <c r="J48" s="2308">
        <v>3</v>
      </c>
      <c r="K48" s="3363" t="s">
        <v>1337</v>
      </c>
      <c r="L48" s="3363"/>
      <c r="M48" s="3385" t="e">
        <f ca="1">H101</f>
        <v>#REF!</v>
      </c>
      <c r="N48" s="3385"/>
      <c r="O48" s="3385"/>
    </row>
    <row r="49" spans="1:35" ht="25.5" customHeight="1">
      <c r="A49" s="2152" t="s">
        <v>1338</v>
      </c>
      <c r="B49" s="3299" t="s">
        <v>1339</v>
      </c>
      <c r="C49" s="3299"/>
      <c r="D49" s="1478">
        <v>0</v>
      </c>
      <c r="E49" s="316" t="s">
        <v>1340</v>
      </c>
      <c r="F49" s="2233" t="s">
        <v>28</v>
      </c>
      <c r="G49" s="3369"/>
      <c r="H49" s="2134" t="s">
        <v>2128</v>
      </c>
      <c r="I49" s="2135"/>
      <c r="J49" s="2308">
        <v>4</v>
      </c>
      <c r="K49" s="3363" t="str">
        <f>IF(项目基本情况!E8="房地产抵押价值","房地产抵押价值","抵押担保权已注销时的房地产抵押价值")</f>
        <v>抵押担保权已注销时的房地产抵押价值</v>
      </c>
      <c r="L49" s="3363"/>
      <c r="M49" s="3385" t="str">
        <f>IF(项目基本情况!E8="房地产抵押价值",H107,H109)</f>
        <v>——</v>
      </c>
      <c r="N49" s="3385"/>
      <c r="O49" s="3385"/>
    </row>
    <row r="50" spans="1:35" ht="25.5" customHeight="1">
      <c r="A50" s="2336"/>
      <c r="B50" s="3299" t="s">
        <v>1341</v>
      </c>
      <c r="C50" s="3299"/>
      <c r="D50" s="2189"/>
      <c r="E50" s="323"/>
      <c r="F50" s="2233"/>
      <c r="G50" s="3370"/>
      <c r="H50" s="2136" t="s">
        <v>2129</v>
      </c>
      <c r="I50" s="2135"/>
      <c r="J50" s="3382" t="s">
        <v>1342</v>
      </c>
      <c r="K50" s="3382"/>
      <c r="L50" s="3382"/>
      <c r="M50" s="3382"/>
      <c r="N50" s="3382"/>
      <c r="O50" s="3382"/>
    </row>
    <row r="51" spans="1:35" ht="20.5" customHeight="1">
      <c r="A51" s="2337"/>
      <c r="B51" s="3299" t="s">
        <v>1343</v>
      </c>
      <c r="C51" s="3299"/>
      <c r="D51" s="1024"/>
      <c r="E51" s="319"/>
      <c r="F51" s="2233"/>
      <c r="G51" s="3371"/>
      <c r="H51" s="2136" t="s">
        <v>2130</v>
      </c>
      <c r="I51" s="2135"/>
      <c r="J51" s="2309" t="s">
        <v>1344</v>
      </c>
      <c r="K51" s="3363" t="s">
        <v>1345</v>
      </c>
      <c r="L51" s="3363"/>
      <c r="M51" s="2309" t="s">
        <v>1346</v>
      </c>
      <c r="N51" s="2309" t="s">
        <v>1347</v>
      </c>
      <c r="O51" s="2309" t="s">
        <v>1348</v>
      </c>
    </row>
    <row r="52" spans="1:35" ht="24" customHeight="1">
      <c r="A52" s="2153" t="s">
        <v>1349</v>
      </c>
      <c r="B52" s="3299" t="s">
        <v>1350</v>
      </c>
      <c r="C52" s="3299"/>
      <c r="D52" s="1024" t="e">
        <f ca="1">ROUND(D45*'数据-取费表'!B41/(1+'数据-取费表'!C42),0)</f>
        <v>#REF!</v>
      </c>
      <c r="E52" s="1256" t="s">
        <v>1351</v>
      </c>
      <c r="F52" s="2338">
        <f>'数据-取费表'!B41</f>
        <v>0</v>
      </c>
      <c r="G52" s="2339"/>
      <c r="H52" s="2329"/>
      <c r="I52" s="1669"/>
      <c r="J52" s="2308">
        <v>1</v>
      </c>
      <c r="K52" s="3364" t="s">
        <v>1352</v>
      </c>
      <c r="L52" s="3364"/>
      <c r="M52" s="2310" t="b">
        <f>D48</f>
        <v>0</v>
      </c>
      <c r="N52" s="2308" t="str">
        <f>E48</f>
        <v>销售额×税（费）率</v>
      </c>
      <c r="O52" s="2311">
        <f>F48</f>
        <v>0</v>
      </c>
    </row>
    <row r="53" spans="1:35" ht="12" customHeight="1">
      <c r="A53" s="2153" t="s">
        <v>1353</v>
      </c>
      <c r="B53" s="3325" t="s">
        <v>2282</v>
      </c>
      <c r="C53" s="3326"/>
      <c r="D53" s="1024" t="e">
        <f ca="1">ROUND(D45*'数据-取费表'!B41/(1+'数据-取费表'!C42),0)</f>
        <v>#REF!</v>
      </c>
      <c r="E53" s="1256" t="s">
        <v>1351</v>
      </c>
      <c r="F53" s="2338">
        <f>'数据-取费表'!B41</f>
        <v>0</v>
      </c>
      <c r="G53" s="2339"/>
      <c r="H53" s="2329"/>
      <c r="I53" s="1669"/>
      <c r="J53" s="2308">
        <v>2</v>
      </c>
      <c r="K53" s="3364" t="s">
        <v>1354</v>
      </c>
      <c r="L53" s="3364"/>
      <c r="M53" s="2310" t="e">
        <f t="shared" ref="M53:O54" ca="1" si="0">D55</f>
        <v>#REF!</v>
      </c>
      <c r="N53" s="2308" t="str">
        <f t="shared" si="0"/>
        <v>销售额×税（费）率</v>
      </c>
      <c r="O53" s="2311" t="str">
        <f t="shared" si="0"/>
        <v>免征</v>
      </c>
    </row>
    <row r="54" spans="1:35" ht="12" customHeight="1">
      <c r="A54" s="2153" t="s">
        <v>1355</v>
      </c>
      <c r="B54" s="3325" t="s">
        <v>2283</v>
      </c>
      <c r="C54" s="3326"/>
      <c r="D54" s="1024" t="e">
        <f ca="1">C68</f>
        <v>#REF!</v>
      </c>
      <c r="E54" s="319" t="s">
        <v>1356</v>
      </c>
      <c r="F54" s="2338">
        <f>'数据-取费表'!B41</f>
        <v>0</v>
      </c>
      <c r="G54" s="2339"/>
      <c r="H54" s="2340"/>
      <c r="I54" s="1669"/>
      <c r="J54" s="2308">
        <v>3</v>
      </c>
      <c r="K54" s="3364" t="s">
        <v>1357</v>
      </c>
      <c r="L54" s="3364"/>
      <c r="M54" s="2310" t="e">
        <f t="shared" ca="1" si="0"/>
        <v>#REF!</v>
      </c>
      <c r="N54" s="2308" t="str">
        <f t="shared" si="0"/>
        <v>增值额×税（费）率</v>
      </c>
      <c r="O54" s="2312" t="str">
        <f t="shared" si="0"/>
        <v>免征</v>
      </c>
    </row>
    <row r="55" spans="1:35" ht="24" customHeight="1">
      <c r="A55" s="3314" t="s">
        <v>1358</v>
      </c>
      <c r="B55" s="3315"/>
      <c r="C55" s="3315"/>
      <c r="D55" s="12" t="e">
        <f ca="1">IF(H55="个人住宅",0,ROUND(D45*I55,0))</f>
        <v>#REF!</v>
      </c>
      <c r="E55" s="1256" t="s">
        <v>1359</v>
      </c>
      <c r="F55" s="2338" t="str">
        <f>IF(H55="正常",I55,"免征")</f>
        <v>免征</v>
      </c>
      <c r="G55" s="2339"/>
      <c r="H55" s="2335"/>
      <c r="I55" s="157">
        <f>'数据-取费表'!B49</f>
        <v>0</v>
      </c>
      <c r="J55" s="2308">
        <f>IF(H59="非个人房产","",4)</f>
        <v>4</v>
      </c>
      <c r="K55" s="3364" t="str">
        <f>IF(H59="非个人房产","——","个人所得税")</f>
        <v>个人所得税</v>
      </c>
      <c r="L55" s="3364"/>
      <c r="M55" s="2313" t="e">
        <f ca="1">D59</f>
        <v>#REF!</v>
      </c>
      <c r="N55" s="1883" t="str">
        <f>E59</f>
        <v>差额计税</v>
      </c>
      <c r="O55" s="2314">
        <f>F59</f>
        <v>0.01</v>
      </c>
    </row>
    <row r="56" spans="1:35" ht="26">
      <c r="A56" s="3314" t="s">
        <v>1360</v>
      </c>
      <c r="B56" s="3315"/>
      <c r="C56" s="3315"/>
      <c r="D56" s="12" t="e">
        <f ca="1">IF(H56="个人住宅",D57,D58)</f>
        <v>#REF!</v>
      </c>
      <c r="E56" s="1256" t="s">
        <v>1361</v>
      </c>
      <c r="F56" s="2338" t="str">
        <f>IF(H56="正常",F58,"免征")</f>
        <v>免征</v>
      </c>
      <c r="G56" s="2341" t="s">
        <v>1362</v>
      </c>
      <c r="H56" s="2342"/>
      <c r="I56" s="1670"/>
      <c r="J56" s="2308" t="str">
        <f>IF(项目基本情况!K6="上海银行",IF(J55="",4,J55+1),"")</f>
        <v/>
      </c>
      <c r="K56" s="3387" t="str">
        <f>IF(项目基本情况!K6="上海银行","其他处置费用","")</f>
        <v/>
      </c>
      <c r="L56" s="3388"/>
      <c r="M56" s="2310" t="str">
        <f>IF(项目基本情况!K6="上海银行",M69,"")</f>
        <v/>
      </c>
      <c r="N56" s="3387" t="str">
        <f>IF(项目基本情况!K6="上海银行","包含处置中涉及的律师、诉讼、拍卖、评估等费用","")</f>
        <v/>
      </c>
      <c r="O56" s="3390"/>
    </row>
    <row r="57" spans="1:35" ht="13">
      <c r="A57" s="2153" t="s">
        <v>1338</v>
      </c>
      <c r="B57" s="3325" t="s">
        <v>1363</v>
      </c>
      <c r="C57" s="3326"/>
      <c r="D57" s="1478">
        <v>0</v>
      </c>
      <c r="E57" s="316" t="s">
        <v>1340</v>
      </c>
      <c r="F57" s="294"/>
      <c r="G57" s="2339"/>
      <c r="H57" s="2343"/>
      <c r="I57" s="1670"/>
      <c r="J57" s="3364">
        <f>IF(AND(J55="",J56=""),4,IF(项目基本情况!K6="上海银行",结果表!J56+1,结果表!J55+1))</f>
        <v>5</v>
      </c>
      <c r="K57" s="3364" t="s">
        <v>1364</v>
      </c>
      <c r="L57" s="2315" t="s">
        <v>1365</v>
      </c>
      <c r="M57" s="2316"/>
      <c r="N57" s="2317">
        <f ca="1">SUMIF(M52:M56,"&lt;9e307")</f>
        <v>0</v>
      </c>
      <c r="O57" s="2318"/>
      <c r="P57" s="2463" t="e">
        <f ca="1">N57/M49</f>
        <v>#VALUE!</v>
      </c>
    </row>
    <row r="58" spans="1:35" ht="26">
      <c r="A58" s="2153" t="s">
        <v>1349</v>
      </c>
      <c r="B58" s="3325" t="s">
        <v>1366</v>
      </c>
      <c r="C58" s="3299"/>
      <c r="D58" s="12" t="e">
        <f ca="1">IF(H58="转让取得",C81,C97)</f>
        <v>#REF!</v>
      </c>
      <c r="E58" s="1256" t="s">
        <v>1361</v>
      </c>
      <c r="F58" s="294" t="s">
        <v>28</v>
      </c>
      <c r="G58" s="2339"/>
      <c r="H58" s="2342"/>
      <c r="I58" s="1670"/>
      <c r="J58" s="3364"/>
      <c r="K58" s="3364"/>
      <c r="L58" s="2315" t="s">
        <v>1367</v>
      </c>
      <c r="M58" s="2319"/>
      <c r="N58" s="2320" t="str">
        <f ca="1">NUMBERSTRING(INT(N57*10000),2)&amp;"元整"</f>
        <v>零元整</v>
      </c>
      <c r="O58" s="2321"/>
    </row>
    <row r="59" spans="1:35" ht="26.5" thickBot="1">
      <c r="A59" s="3367" t="s">
        <v>1368</v>
      </c>
      <c r="B59" s="3368"/>
      <c r="C59" s="3368"/>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1362</v>
      </c>
      <c r="H59" s="2138"/>
      <c r="I59" s="2137" t="s">
        <v>2131</v>
      </c>
      <c r="J59" s="3365">
        <f>J57+1</f>
        <v>6</v>
      </c>
      <c r="K59" s="3364" t="s">
        <v>1369</v>
      </c>
      <c r="L59" s="2308" t="s">
        <v>1365</v>
      </c>
      <c r="M59" s="2322"/>
      <c r="N59" s="2323" t="e">
        <f ca="1">M49-N57</f>
        <v>#VALUE!</v>
      </c>
      <c r="O59" s="2324"/>
    </row>
    <row r="60" spans="1:35" ht="12" customHeight="1">
      <c r="A60" s="1671"/>
      <c r="B60" s="646"/>
      <c r="C60" s="646"/>
      <c r="D60" s="646"/>
      <c r="E60" s="1466"/>
      <c r="F60" s="1670"/>
      <c r="G60" s="1670"/>
      <c r="H60" s="151"/>
      <c r="I60" s="121"/>
      <c r="J60" s="3366"/>
      <c r="K60" s="3364"/>
      <c r="L60" s="2315" t="s">
        <v>1367</v>
      </c>
      <c r="M60" s="2319"/>
      <c r="N60" s="2320" t="e">
        <f ca="1">NUMBERSTRING(INT(N59*10000),2)&amp;"元整"</f>
        <v>#VALUE!</v>
      </c>
      <c r="O60" s="2321"/>
    </row>
    <row r="61" spans="1:35" ht="13.5" thickBot="1">
      <c r="A61" s="3312" t="s">
        <v>1370</v>
      </c>
      <c r="B61" s="3312"/>
      <c r="C61" s="3312"/>
      <c r="D61" s="3312"/>
      <c r="E61" s="3312"/>
      <c r="F61" s="1670"/>
      <c r="G61" s="1670"/>
      <c r="H61" s="151"/>
      <c r="I61" s="121"/>
      <c r="J61" s="2308">
        <f>J59+1</f>
        <v>7</v>
      </c>
      <c r="K61" s="3364" t="s">
        <v>1371</v>
      </c>
      <c r="L61" s="3364"/>
      <c r="M61" s="2325"/>
      <c r="N61" s="2326" t="e">
        <f ca="1">ROUND(N59*10000/'数据-汇总表'!E3,0)</f>
        <v>#VALUE!</v>
      </c>
      <c r="O61" s="2327"/>
    </row>
    <row r="62" spans="1:35" ht="13">
      <c r="A62" s="3330" t="s">
        <v>1372</v>
      </c>
      <c r="B62" s="3331"/>
      <c r="C62" s="1865"/>
      <c r="D62" s="1865" t="s">
        <v>1373</v>
      </c>
      <c r="E62" s="158" t="s">
        <v>1374</v>
      </c>
      <c r="F62" s="1670"/>
      <c r="G62" s="1670"/>
      <c r="H62" s="151"/>
      <c r="I62" s="121"/>
    </row>
    <row r="63" spans="1:35" ht="13">
      <c r="A63" s="165" t="s">
        <v>330</v>
      </c>
      <c r="B63" s="159" t="s">
        <v>1375</v>
      </c>
      <c r="C63" s="2348" t="e">
        <f ca="1">ROUND((C64+C65)/(1+'数据-取费表'!C42),0)</f>
        <v>#REF!</v>
      </c>
      <c r="D63" s="159"/>
      <c r="E63" s="160"/>
      <c r="F63" s="1670"/>
      <c r="G63" s="1670"/>
      <c r="H63" s="151"/>
      <c r="I63" s="121"/>
      <c r="J63" s="3389" t="s">
        <v>1376</v>
      </c>
      <c r="K63" s="1245" t="s">
        <v>1377</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1378</v>
      </c>
      <c r="C64" s="2349" t="e">
        <f ca="1">D45</f>
        <v>#REF!</v>
      </c>
      <c r="D64" s="162" t="s">
        <v>26</v>
      </c>
      <c r="E64" s="164"/>
      <c r="F64" s="1670"/>
      <c r="G64" s="1670"/>
      <c r="H64" s="151"/>
      <c r="I64" s="121"/>
      <c r="J64" s="3389"/>
      <c r="K64" s="1245" t="s">
        <v>1379</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1380</v>
      </c>
      <c r="Z64" s="1623"/>
      <c r="AI64" s="1561"/>
    </row>
    <row r="65" spans="1:35" ht="14.25" customHeight="1">
      <c r="A65" s="161" t="s">
        <v>326</v>
      </c>
      <c r="B65" s="162" t="s">
        <v>1381</v>
      </c>
      <c r="C65" s="2350"/>
      <c r="D65" s="162"/>
      <c r="E65" s="164"/>
      <c r="F65" s="1670"/>
      <c r="G65" s="1670"/>
      <c r="H65" s="151"/>
      <c r="I65" s="121"/>
      <c r="J65" s="3389"/>
      <c r="K65" s="1245" t="s">
        <v>1382</v>
      </c>
      <c r="L65" s="1245" t="e">
        <f>IF(M49&gt;1000,M49*0.1%,IF(AND(M49&gt;500,M49&lt;=1000),M49*0.5%,IF(AND(M49&gt;50,M49&lt;=500),M49*1%,IF(AND(M49&gt;1,M49&lt;=50),M49*1.5%))))</f>
        <v>#VALUE!</v>
      </c>
      <c r="M65" s="294" t="e">
        <f t="shared" si="1"/>
        <v>#VALUE!</v>
      </c>
      <c r="N65" s="2329" t="s">
        <v>1380</v>
      </c>
      <c r="Z65" s="1623"/>
      <c r="AI65" s="1561"/>
    </row>
    <row r="66" spans="1:35" ht="14.25" customHeight="1">
      <c r="A66" s="165" t="s">
        <v>327</v>
      </c>
      <c r="B66" s="166" t="s">
        <v>1383</v>
      </c>
      <c r="C66" s="2351"/>
      <c r="D66" s="166" t="s">
        <v>26</v>
      </c>
      <c r="E66" s="1251" t="s">
        <v>668</v>
      </c>
      <c r="F66" s="1670"/>
      <c r="G66" s="1670"/>
      <c r="H66" s="151"/>
      <c r="I66" s="121"/>
      <c r="J66" s="3389"/>
      <c r="K66" s="1245" t="s">
        <v>1384</v>
      </c>
      <c r="L66" s="1245" t="e">
        <f>M49*0.5%</f>
        <v>#VALUE!</v>
      </c>
      <c r="M66" s="294" t="e">
        <f>IF(L66&gt;0.5,0.5,ROUND(L66,0))</f>
        <v>#VALUE!</v>
      </c>
      <c r="N66" s="2329" t="s">
        <v>1385</v>
      </c>
      <c r="Z66" s="1623"/>
      <c r="AI66" s="1561"/>
    </row>
    <row r="67" spans="1:35" ht="14.25" customHeight="1">
      <c r="A67" s="165" t="s">
        <v>328</v>
      </c>
      <c r="B67" s="166" t="s">
        <v>1386</v>
      </c>
      <c r="C67" s="2352" t="e">
        <f ca="1">C63-C66</f>
        <v>#REF!</v>
      </c>
      <c r="D67" s="162" t="s">
        <v>26</v>
      </c>
      <c r="E67" s="164"/>
      <c r="F67" s="1670"/>
      <c r="G67" s="1670"/>
      <c r="H67" s="151"/>
      <c r="I67" s="121"/>
      <c r="J67" s="3389"/>
      <c r="K67" s="1245" t="s">
        <v>1387</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1388</v>
      </c>
      <c r="C68" s="2353" t="e">
        <f ca="1">IF(C67&lt;=0,0,ROUND(C67*D68,0))</f>
        <v>#REF!</v>
      </c>
      <c r="D68" s="2354">
        <f>'数据-取费表'!B41</f>
        <v>0</v>
      </c>
      <c r="E68" s="170"/>
      <c r="F68" s="1670"/>
      <c r="G68" s="1670"/>
      <c r="H68" s="151"/>
      <c r="I68" s="121"/>
      <c r="J68" s="3389"/>
      <c r="K68" s="1245" t="s">
        <v>1389</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89"/>
      <c r="K69" s="1245" t="s">
        <v>1390</v>
      </c>
      <c r="L69" s="1245"/>
      <c r="M69" s="294" t="e">
        <f>ROUND(SUM(M63:M68),0)</f>
        <v>#VALUE!</v>
      </c>
      <c r="N69" s="2330" t="e">
        <f>M69/M49</f>
        <v>#VALUE!</v>
      </c>
      <c r="Z69" s="1623"/>
      <c r="AI69" s="1561"/>
    </row>
    <row r="70" spans="1:35" s="642" customFormat="1" ht="14.5" thickBot="1">
      <c r="A70" s="3351" t="s">
        <v>1391</v>
      </c>
      <c r="B70" s="3352"/>
      <c r="C70" s="3352"/>
      <c r="D70" s="3352"/>
      <c r="E70" s="3352"/>
      <c r="F70" s="3352"/>
      <c r="G70" s="3352"/>
      <c r="H70" s="335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30" t="s">
        <v>1372</v>
      </c>
      <c r="B71" s="3331"/>
      <c r="C71" s="1865"/>
      <c r="D71" s="1865" t="s">
        <v>1373</v>
      </c>
      <c r="E71" s="171" t="s">
        <v>1374</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1392</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1393</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1394</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1395</v>
      </c>
      <c r="C75" s="2355"/>
      <c r="D75" s="162" t="s">
        <v>26</v>
      </c>
      <c r="E75" s="176" t="s">
        <v>1396</v>
      </c>
      <c r="F75" s="2356"/>
      <c r="G75" s="176" t="s">
        <v>1397</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1398</v>
      </c>
      <c r="C76" s="162">
        <f>IF(F75="购房发票",ROUND(C75*H75*D76,0),0)</f>
        <v>0</v>
      </c>
      <c r="D76" s="2358">
        <v>0.05</v>
      </c>
      <c r="E76" s="3325" t="s">
        <v>1399</v>
      </c>
      <c r="F76" s="3299"/>
      <c r="G76" s="3299"/>
      <c r="H76" s="335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1400</v>
      </c>
      <c r="C77" s="162">
        <f>ROUND(IF(G77="个人住宅",0,IF(G77="2016年5月1日前购买",C75*D77,C75*D77/(1+'数据-取费表'!C42))),0)</f>
        <v>0</v>
      </c>
      <c r="D77" s="2359">
        <f>'数据-取费表'!B48+'数据-取费表'!B49</f>
        <v>0</v>
      </c>
      <c r="E77" s="12" t="s">
        <v>1401</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1402</v>
      </c>
      <c r="C78" s="2360" t="e">
        <f ca="1">ROUND(D45*D78/(1+'数据-取费表'!C42),0)</f>
        <v>#REF!</v>
      </c>
      <c r="D78" s="2361">
        <f>'数据-取费表'!B43</f>
        <v>0</v>
      </c>
      <c r="E78" s="3309" t="s">
        <v>1403</v>
      </c>
      <c r="F78" s="3310"/>
      <c r="G78" s="3310"/>
      <c r="H78" s="33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1404</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1405</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1406</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51" t="s">
        <v>1407</v>
      </c>
      <c r="B83" s="3352"/>
      <c r="C83" s="3352"/>
      <c r="D83" s="3352"/>
      <c r="E83" s="3352"/>
      <c r="F83" s="3352"/>
      <c r="G83" s="3352"/>
      <c r="H83" s="335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30" t="s">
        <v>1372</v>
      </c>
      <c r="B84" s="3331"/>
      <c r="C84" s="1865"/>
      <c r="D84" s="1865" t="s">
        <v>1373</v>
      </c>
      <c r="E84" s="171" t="s">
        <v>1374</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1392</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1393</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1408</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1409</v>
      </c>
      <c r="C88" s="2366"/>
      <c r="D88" s="2361"/>
      <c r="E88" s="185" t="s">
        <v>1410</v>
      </c>
      <c r="F88" s="2148"/>
      <c r="G88" s="186" t="s">
        <v>1411</v>
      </c>
      <c r="H88" s="1684"/>
      <c r="I88" s="1681"/>
      <c r="J88" s="2306"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1400</v>
      </c>
      <c r="C89" s="2360">
        <f>ROUND(C88*D89,0)</f>
        <v>0</v>
      </c>
      <c r="D89" s="2361">
        <f>'数据-取费表'!B48+'数据-取费表'!B49</f>
        <v>0</v>
      </c>
      <c r="E89" s="185" t="s">
        <v>1412</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1413</v>
      </c>
      <c r="C90" s="2366"/>
      <c r="D90" s="2361"/>
      <c r="E90" s="185" t="str">
        <f>IF(H88="-","土地取得成本中已包含该笔费用"," ")</f>
        <v xml:space="preserve"> </v>
      </c>
      <c r="F90" s="2148"/>
      <c r="G90" s="3391" t="s">
        <v>2123</v>
      </c>
      <c r="H90" s="3392"/>
      <c r="I90" s="1681"/>
      <c r="J90" s="2306"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1414</v>
      </c>
      <c r="B91" s="162" t="s">
        <v>1415</v>
      </c>
      <c r="C91" s="2360">
        <f>IF(H91="——",成本法!C33,I91)</f>
        <v>0</v>
      </c>
      <c r="D91" s="2361"/>
      <c r="E91" s="3309" t="s">
        <v>1416</v>
      </c>
      <c r="F91" s="3310"/>
      <c r="G91" s="33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1417</v>
      </c>
      <c r="B92" s="162" t="s">
        <v>1418</v>
      </c>
      <c r="C92" s="2360">
        <f>ROUND((C87+C90+C91)*D92,0)</f>
        <v>0</v>
      </c>
      <c r="D92" s="2367"/>
      <c r="E92" s="3309" t="s">
        <v>1419</v>
      </c>
      <c r="F92" s="3310"/>
      <c r="G92" s="3310"/>
      <c r="H92" s="3319"/>
      <c r="I92" s="1681"/>
      <c r="J92" s="2307"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1420</v>
      </c>
      <c r="B93" s="162" t="s">
        <v>1402</v>
      </c>
      <c r="C93" s="2360" t="e">
        <f ca="1">ROUND(D45*D93/(1+'数据-取费表'!C42),0)</f>
        <v>#REF!</v>
      </c>
      <c r="D93" s="2361">
        <f>'数据-取费表'!B43</f>
        <v>0</v>
      </c>
      <c r="E93" s="3309" t="s">
        <v>1403</v>
      </c>
      <c r="F93" s="3310"/>
      <c r="G93" s="3310"/>
      <c r="H93" s="33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1421</v>
      </c>
      <c r="B94" s="162" t="s">
        <v>1422</v>
      </c>
      <c r="C94" s="2366">
        <f>ROUND((C87+C90+C91)*D94,0)</f>
        <v>0</v>
      </c>
      <c r="D94" s="2361">
        <v>0.2</v>
      </c>
      <c r="E94" s="3320" t="s">
        <v>1423</v>
      </c>
      <c r="F94" s="3321"/>
      <c r="G94" s="3321"/>
      <c r="H94" s="332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1404</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1405</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1406</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1424</v>
      </c>
      <c r="B99" s="646"/>
      <c r="C99" s="646"/>
      <c r="D99" s="646"/>
      <c r="E99" s="1466"/>
      <c r="F99" s="1466"/>
      <c r="G99" s="1466"/>
      <c r="H99" s="1467"/>
      <c r="I99" s="121"/>
    </row>
    <row r="100" spans="1:35" ht="18.75" customHeight="1">
      <c r="A100" s="3293" t="s">
        <v>1425</v>
      </c>
      <c r="B100" s="3294"/>
      <c r="C100" s="3294"/>
      <c r="D100" s="3311"/>
      <c r="E100" s="3294" t="s">
        <v>1426</v>
      </c>
      <c r="F100" s="3294"/>
      <c r="G100" s="3294"/>
      <c r="H100" s="3311"/>
      <c r="I100" s="121"/>
    </row>
    <row r="101" spans="1:35" ht="18.75" customHeight="1">
      <c r="A101" s="3372" t="s">
        <v>1427</v>
      </c>
      <c r="B101" s="3373"/>
      <c r="C101" s="2369">
        <f>C4</f>
        <v>0</v>
      </c>
      <c r="D101" s="2370">
        <f>D4</f>
        <v>0</v>
      </c>
      <c r="E101" s="3386" t="s">
        <v>1428</v>
      </c>
      <c r="F101" s="3343"/>
      <c r="G101" s="1687" t="s">
        <v>1429</v>
      </c>
      <c r="H101" s="2379" t="e">
        <f ca="1">H118</f>
        <v>#REF!</v>
      </c>
      <c r="I101" s="121"/>
    </row>
    <row r="102" spans="1:35" ht="18.75" customHeight="1">
      <c r="A102" s="3345" t="s">
        <v>1430</v>
      </c>
      <c r="B102" s="2368" t="s">
        <v>1429</v>
      </c>
      <c r="C102" s="2369" t="e">
        <f ca="1">IF(D32="楼面单价",ROUND(C19,0),C19)</f>
        <v>#REF!</v>
      </c>
      <c r="D102" s="2370" t="e">
        <f ca="1">IF(D32="楼面单价",ROUND(D19,0),D19)</f>
        <v>#REF!</v>
      </c>
      <c r="E102" s="3386"/>
      <c r="F102" s="3343"/>
      <c r="G102" s="1687" t="s">
        <v>1431</v>
      </c>
      <c r="H102" s="2339" t="e">
        <f ca="1">I118</f>
        <v>#REF!</v>
      </c>
      <c r="I102" s="121"/>
    </row>
    <row r="103" spans="1:35" ht="42.75" customHeight="1">
      <c r="A103" s="3345"/>
      <c r="B103" s="2368" t="s">
        <v>1431</v>
      </c>
      <c r="C103" s="2371" t="e">
        <f ca="1">C20</f>
        <v>#REF!</v>
      </c>
      <c r="D103" s="2372" t="e">
        <f ca="1">D20</f>
        <v>#REF!</v>
      </c>
      <c r="E103" s="3380" t="s">
        <v>1432</v>
      </c>
      <c r="F103" s="3381"/>
      <c r="G103" s="1688" t="s">
        <v>1433</v>
      </c>
      <c r="H103" s="2379">
        <f>IF(D36="正常操作",H104+H105+H106,H105+H106)</f>
        <v>0</v>
      </c>
      <c r="I103" s="121"/>
    </row>
    <row r="104" spans="1:35" ht="18.75" customHeight="1">
      <c r="A104" s="3345" t="s">
        <v>1434</v>
      </c>
      <c r="B104" s="2373" t="s">
        <v>1429</v>
      </c>
      <c r="C104" s="2374" t="e">
        <f ca="1">H118</f>
        <v>#REF!</v>
      </c>
      <c r="D104" s="2375"/>
      <c r="E104" s="1555" t="s">
        <v>1435</v>
      </c>
      <c r="F104" s="1548"/>
      <c r="G104" s="1688" t="s">
        <v>1433</v>
      </c>
      <c r="H104" s="2380">
        <f>IF(D36="同一抵押权人同一抵押物续贷",C36&amp;"（续贷，未扣减，详见特别提示）",C36)</f>
        <v>0</v>
      </c>
      <c r="I104" s="121"/>
    </row>
    <row r="105" spans="1:35" ht="18.75" customHeight="1" thickBot="1">
      <c r="A105" s="3346"/>
      <c r="B105" s="2376" t="s">
        <v>1431</v>
      </c>
      <c r="C105" s="2377" t="e">
        <f ca="1">I118</f>
        <v>#REF!</v>
      </c>
      <c r="D105" s="2378"/>
      <c r="E105" s="1555" t="s">
        <v>1436</v>
      </c>
      <c r="F105" s="1548"/>
      <c r="G105" s="1688" t="s">
        <v>1433</v>
      </c>
      <c r="H105" s="2381">
        <f>C37</f>
        <v>0</v>
      </c>
      <c r="I105" s="121"/>
    </row>
    <row r="106" spans="1:35" ht="18.75" customHeight="1">
      <c r="A106" s="646" t="s">
        <v>1437</v>
      </c>
      <c r="B106" s="646"/>
      <c r="C106" s="646"/>
      <c r="D106" s="646"/>
      <c r="E106" s="1689" t="s">
        <v>1438</v>
      </c>
      <c r="F106" s="1548"/>
      <c r="G106" s="1688" t="s">
        <v>1433</v>
      </c>
      <c r="H106" s="2381">
        <f>C38</f>
        <v>0</v>
      </c>
      <c r="I106" s="121"/>
    </row>
    <row r="107" spans="1:35" ht="18.75" customHeight="1">
      <c r="A107" s="121"/>
      <c r="B107" s="121"/>
      <c r="C107" s="121"/>
      <c r="D107" s="121"/>
      <c r="E107" s="3342" t="str">
        <f>IF(项目基本情况!E8="已注销","——","3.房地产抵押价值")</f>
        <v>3.房地产抵押价值</v>
      </c>
      <c r="F107" s="3343"/>
      <c r="G107" s="1687" t="s">
        <v>1429</v>
      </c>
      <c r="H107" s="2379" t="e">
        <f ca="1">IF(E107="——","——",H101-H103)</f>
        <v>#REF!</v>
      </c>
      <c r="I107" s="121"/>
    </row>
    <row r="108" spans="1:35" ht="18.75" customHeight="1">
      <c r="A108" s="121"/>
      <c r="B108" s="121"/>
      <c r="C108" s="121"/>
      <c r="D108" s="121"/>
      <c r="E108" s="3342"/>
      <c r="F108" s="3343"/>
      <c r="G108" s="1687" t="s">
        <v>1431</v>
      </c>
      <c r="H108" s="2339">
        <f ca="1">IF(H107=H101,H102,ROUND(H107*10000/'数据-汇总表'!E3,0))</f>
        <v>0</v>
      </c>
      <c r="I108" s="121"/>
    </row>
    <row r="109" spans="1:35" ht="18.75" customHeight="1">
      <c r="A109" s="121"/>
      <c r="B109" s="121"/>
      <c r="C109" s="121"/>
      <c r="D109" s="121"/>
      <c r="E109" s="3342" t="str">
        <f>IF(项目基本情况!E8="已注销及未注销","4.抵押担保权已注销时的房地产抵押价值",IF(项目基本情况!E8="已注销","3.抵押担保权已注销时的房地产抵押价值","——"))</f>
        <v>——</v>
      </c>
      <c r="F109" s="3343"/>
      <c r="G109" s="1687" t="s">
        <v>1429</v>
      </c>
      <c r="H109" s="2382" t="str">
        <f>IF(E109="——","——",H101-H105-H106)</f>
        <v>——</v>
      </c>
      <c r="I109" s="121"/>
    </row>
    <row r="110" spans="1:35" ht="18.75" customHeight="1">
      <c r="A110" s="121"/>
      <c r="B110" s="121"/>
      <c r="C110" s="121"/>
      <c r="D110" s="121"/>
      <c r="E110" s="3342"/>
      <c r="F110" s="3343"/>
      <c r="G110" s="1687" t="s">
        <v>1431</v>
      </c>
      <c r="H110" s="2339" t="str">
        <f>IF(H109="——","——",ROUND(H109*10000/'数据-汇总表'!E3,0))</f>
        <v>——</v>
      </c>
      <c r="I110" s="121"/>
    </row>
    <row r="111" spans="1:35" ht="18.75" customHeight="1">
      <c r="A111" s="121"/>
      <c r="B111" s="121"/>
      <c r="C111" s="121"/>
      <c r="D111" s="121"/>
      <c r="E111" s="3374" t="str">
        <f>IF(项目基本情况!E9="抵押净值",IF(OR(项目基本情况!E8="已注销",项目基本情况!E8="房地产抵押价值"),"4.抵押净值","5.抵押净值"),"——")</f>
        <v>——</v>
      </c>
      <c r="F111" s="3344"/>
      <c r="G111" s="1687" t="s">
        <v>1429</v>
      </c>
      <c r="H111" s="2379" t="str">
        <f>IF(E111="——","——",N59)</f>
        <v>——</v>
      </c>
      <c r="I111" s="121"/>
    </row>
    <row r="112" spans="1:35" ht="18.75" customHeight="1" thickBot="1">
      <c r="A112" s="121"/>
      <c r="B112" s="121"/>
      <c r="C112" s="121"/>
      <c r="D112" s="121"/>
      <c r="E112" s="3375"/>
      <c r="F112" s="3376"/>
      <c r="G112" s="1690" t="s">
        <v>1431</v>
      </c>
      <c r="H112" s="2383" t="str">
        <f>IF(E111="——","——",N61)</f>
        <v>——</v>
      </c>
      <c r="I112" s="121"/>
    </row>
    <row r="113" spans="1:27" ht="18.75" customHeight="1">
      <c r="A113" s="121"/>
      <c r="B113" s="121"/>
      <c r="C113" s="121"/>
      <c r="D113" s="121"/>
      <c r="E113" s="3347" t="s">
        <v>1437</v>
      </c>
      <c r="F113" s="3347"/>
      <c r="G113" s="3347"/>
      <c r="H113" s="3347"/>
      <c r="I113" s="121"/>
    </row>
    <row r="114" spans="1:27" ht="3.75" customHeight="1">
      <c r="A114" s="646"/>
      <c r="B114" s="646"/>
      <c r="C114" s="646"/>
      <c r="D114" s="646"/>
      <c r="E114" s="1671"/>
      <c r="F114" s="1671"/>
      <c r="G114" s="1671"/>
      <c r="H114" s="1671"/>
      <c r="I114" s="646"/>
    </row>
    <row r="115" spans="1:27" ht="18.75" customHeight="1">
      <c r="A115" s="3357" t="s">
        <v>1439</v>
      </c>
      <c r="B115" s="3358"/>
      <c r="C115" s="3358"/>
      <c r="D115" s="3358"/>
      <c r="E115" s="3358"/>
      <c r="F115" s="3358"/>
      <c r="G115" s="3358"/>
      <c r="H115" s="3358"/>
      <c r="I115" s="3359"/>
    </row>
    <row r="116" spans="1:27" ht="27" customHeight="1">
      <c r="A116" s="3313" t="s">
        <v>1440</v>
      </c>
      <c r="B116" s="3348" t="s">
        <v>1441</v>
      </c>
      <c r="C116" s="3348" t="s">
        <v>1442</v>
      </c>
      <c r="D116" s="3361" t="s">
        <v>1443</v>
      </c>
      <c r="E116" s="3362"/>
      <c r="F116" s="3356" t="s">
        <v>1444</v>
      </c>
      <c r="G116" s="3356"/>
      <c r="H116" s="3313" t="s">
        <v>1445</v>
      </c>
      <c r="I116" s="3313"/>
    </row>
    <row r="117" spans="1:27" ht="18.75" customHeight="1">
      <c r="A117" s="3313"/>
      <c r="B117" s="3349"/>
      <c r="C117" s="3349"/>
      <c r="D117" s="2150" t="s">
        <v>1446</v>
      </c>
      <c r="E117" s="2150" t="s">
        <v>1447</v>
      </c>
      <c r="F117" s="2150" t="s">
        <v>1446</v>
      </c>
      <c r="G117" s="2150" t="s">
        <v>1448</v>
      </c>
      <c r="H117" s="2150" t="s">
        <v>1446</v>
      </c>
      <c r="I117" s="2150" t="s">
        <v>1448</v>
      </c>
    </row>
    <row r="118" spans="1:27" ht="24.75" customHeight="1">
      <c r="A118" s="2384" t="str">
        <f>项目基本情况!S2</f>
        <v>北京市房地产</v>
      </c>
      <c r="B118" s="2150">
        <f>M18</f>
        <v>3730.1800000000003</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13" t="s">
        <v>1449</v>
      </c>
      <c r="B119" s="3313"/>
      <c r="C119" s="3313"/>
      <c r="D119" s="3353" t="e">
        <f ca="1">NUMBERSTRING(INT(D118*10000),2)&amp;"元整"</f>
        <v>#REF!</v>
      </c>
      <c r="E119" s="3355"/>
      <c r="F119" s="3353" t="e">
        <f ca="1">NUMBERSTRING(INT(F118*10000),2)&amp;"元整"</f>
        <v>#REF!</v>
      </c>
      <c r="G119" s="3355"/>
      <c r="H119" s="3353" t="e">
        <f ca="1">NUMBERSTRING(INT(H118*10000),2)&amp;"元整"</f>
        <v>#REF!</v>
      </c>
      <c r="I119" s="3355"/>
    </row>
    <row r="120" spans="1:27" ht="18.75" customHeight="1">
      <c r="A120" s="3377" t="str">
        <f>IF(项目基本情况!B9="房地产市场价值","",MID(E103,3,LEN(E103)-2))</f>
        <v>估价师知悉的法定优先受偿款</v>
      </c>
      <c r="B120" s="3378"/>
      <c r="C120" s="3379"/>
      <c r="D120" s="3377">
        <f>H103</f>
        <v>0</v>
      </c>
      <c r="E120" s="3378"/>
      <c r="F120" s="3378"/>
      <c r="G120" s="3378"/>
      <c r="H120" s="3378"/>
      <c r="I120" s="33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3" t="s">
        <v>1449</v>
      </c>
      <c r="B121" s="3354"/>
      <c r="C121" s="3355"/>
      <c r="D121" s="3353" t="str">
        <f>IF(D120=0,"零元整",NUMBERSTRING(INT(D120*10000),2)&amp;"元整")</f>
        <v>零元整</v>
      </c>
      <c r="E121" s="3354"/>
      <c r="F121" s="3354"/>
      <c r="G121" s="3354"/>
      <c r="H121" s="3354"/>
      <c r="I121" s="3355"/>
      <c r="AA121" s="684"/>
    </row>
    <row r="122" spans="1:27" ht="18.75" customHeight="1">
      <c r="A122" s="3344" t="str">
        <f>IF(项目基本情况!B9="房地产市场价值","",MID(E107,3,LEN(E107)-2))</f>
        <v>房地产抵押价值</v>
      </c>
      <c r="B122" s="3344"/>
      <c r="C122" s="3344"/>
      <c r="D122" s="3377" t="e">
        <f ca="1">H107</f>
        <v>#REF!</v>
      </c>
      <c r="E122" s="3378"/>
      <c r="F122" s="3378"/>
      <c r="G122" s="3378"/>
      <c r="H122" s="3378"/>
      <c r="I122" s="3379"/>
      <c r="AA122" s="684"/>
    </row>
    <row r="123" spans="1:27" ht="18.75" customHeight="1">
      <c r="A123" s="3313" t="s">
        <v>1449</v>
      </c>
      <c r="B123" s="3313"/>
      <c r="C123" s="3313"/>
      <c r="D123" s="3353" t="e">
        <f ca="1">NUMBERSTRING(INT(D122*10000),2)&amp;"元整"</f>
        <v>#REF!</v>
      </c>
      <c r="E123" s="3354"/>
      <c r="F123" s="3354"/>
      <c r="G123" s="3354"/>
      <c r="H123" s="3354"/>
      <c r="I123" s="3355"/>
      <c r="AA123" s="684"/>
    </row>
    <row r="124" spans="1:27" ht="18.75" customHeight="1">
      <c r="A124" s="3344" t="str">
        <f>IF(项目基本情况!B9="房地产市场价值","",MID(E109,3,LEN(E109)-2))</f>
        <v/>
      </c>
      <c r="B124" s="3344"/>
      <c r="C124" s="3344"/>
      <c r="D124" s="3377" t="str">
        <f>H109</f>
        <v>——</v>
      </c>
      <c r="E124" s="3378"/>
      <c r="F124" s="3378"/>
      <c r="G124" s="3378"/>
      <c r="H124" s="3378"/>
      <c r="I124" s="3379"/>
      <c r="AA124" s="684"/>
    </row>
    <row r="125" spans="1:27" ht="18.75" customHeight="1">
      <c r="A125" s="3313" t="s">
        <v>1449</v>
      </c>
      <c r="B125" s="3313"/>
      <c r="C125" s="3313"/>
      <c r="D125" s="3353" t="e">
        <f>NUMBERSTRING(INT(D124*10000),2)&amp;"元整"</f>
        <v>#VALUE!</v>
      </c>
      <c r="E125" s="3354"/>
      <c r="F125" s="3354"/>
      <c r="G125" s="3354"/>
      <c r="H125" s="3354"/>
      <c r="I125" s="3355"/>
      <c r="AA125" s="684"/>
    </row>
    <row r="126" spans="1:27" ht="18.75" customHeight="1">
      <c r="A126" s="3344" t="str">
        <f>IF(项目基本情况!B9="房地产市场价值","",MID(E111,3,LEN(E111)-2))</f>
        <v/>
      </c>
      <c r="B126" s="3344"/>
      <c r="C126" s="3344"/>
      <c r="D126" s="3377" t="str">
        <f>H111</f>
        <v>——</v>
      </c>
      <c r="E126" s="3378"/>
      <c r="F126" s="3378"/>
      <c r="G126" s="3378"/>
      <c r="H126" s="3378"/>
      <c r="I126" s="3379"/>
      <c r="AA126" s="684"/>
    </row>
    <row r="127" spans="1:27" ht="18.75" customHeight="1">
      <c r="A127" s="3313" t="s">
        <v>1449</v>
      </c>
      <c r="B127" s="3313"/>
      <c r="C127" s="3313"/>
      <c r="D127" s="3353" t="e">
        <f>NUMBERSTRING(INT(D126*10000),2)&amp;"元整"</f>
        <v>#VALUE!</v>
      </c>
      <c r="E127" s="3354"/>
      <c r="F127" s="3354"/>
      <c r="G127" s="3354"/>
      <c r="H127" s="3354"/>
      <c r="I127" s="3355"/>
      <c r="AA127" s="684"/>
    </row>
    <row r="128" spans="1:27" ht="21.75" customHeight="1">
      <c r="A128" s="3360" t="s">
        <v>1450</v>
      </c>
      <c r="B128" s="3360"/>
      <c r="C128" s="3360"/>
      <c r="D128" s="3360"/>
      <c r="E128" s="3360"/>
      <c r="F128" s="3360"/>
      <c r="G128" s="3360"/>
      <c r="H128" s="3360"/>
      <c r="I128" s="3360"/>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1458</v>
      </c>
      <c r="B1" s="1374"/>
      <c r="C1" s="190"/>
      <c r="D1" s="190"/>
      <c r="E1" s="190"/>
      <c r="F1" s="190"/>
      <c r="G1" s="1062">
        <f>MATCH(B1,'数据-取费表'!A6:A16,0)+5</f>
        <v>9</v>
      </c>
    </row>
    <row r="2" spans="1:9" s="192" customFormat="1" ht="18" customHeight="1">
      <c r="A2" s="193" t="s">
        <v>1459</v>
      </c>
      <c r="B2" s="194" t="e">
        <f ca="1">IF(D2="——",C52,C52-E2)</f>
        <v>#VALUE!</v>
      </c>
      <c r="C2" s="191" t="s">
        <v>1460</v>
      </c>
      <c r="D2" s="1711" t="s">
        <v>43</v>
      </c>
      <c r="E2" s="1089" t="e">
        <f ca="1">SUMIF(INDIRECT("'"&amp;G2&amp;"'"&amp;"!A:A"),"承租人权益价值",INDIRECT("'"&amp;G2&amp;"'"&amp;"!c:c"))</f>
        <v>#REF!</v>
      </c>
      <c r="F2" s="1712" t="s">
        <v>1460</v>
      </c>
      <c r="G2" s="1713"/>
    </row>
    <row r="3" spans="1:9" s="192" customFormat="1" ht="18" customHeight="1" thickBot="1">
      <c r="A3" s="195" t="s">
        <v>1461</v>
      </c>
      <c r="B3" s="196" t="e">
        <f ca="1">ROUND(B2*10000/(IF(B1="",'数据-汇总表'!E3,INDIRECT("'数据-取费表'!k"&amp;$G$1))),0)</f>
        <v>#VALUE!</v>
      </c>
      <c r="C3" s="191" t="s">
        <v>1462</v>
      </c>
      <c r="D3" s="191"/>
      <c r="E3" s="191"/>
      <c r="F3" s="191"/>
      <c r="G3" s="191"/>
    </row>
    <row r="4" spans="1:9" s="200" customFormat="1" ht="16">
      <c r="A4" s="197" t="s">
        <v>1463</v>
      </c>
      <c r="B4" s="198"/>
      <c r="C4" s="198"/>
      <c r="D4" s="198"/>
      <c r="E4" s="198"/>
      <c r="F4" s="198"/>
      <c r="G4" s="199"/>
    </row>
    <row r="5" spans="1:9" s="206" customFormat="1" ht="13.5" customHeight="1">
      <c r="A5" s="247" t="s">
        <v>1464</v>
      </c>
      <c r="B5" s="202" t="s">
        <v>1465</v>
      </c>
      <c r="C5" s="203">
        <f>C6+C7+C8</f>
        <v>0</v>
      </c>
      <c r="D5" s="203" t="s">
        <v>1466</v>
      </c>
      <c r="E5" s="204" t="s">
        <v>1467</v>
      </c>
      <c r="F5" s="204" t="s">
        <v>1468</v>
      </c>
      <c r="G5" s="205"/>
    </row>
    <row r="6" spans="1:9" s="206" customFormat="1" ht="13.5" customHeight="1">
      <c r="A6" s="732" t="s">
        <v>1469</v>
      </c>
      <c r="B6" s="207" t="s">
        <v>1470</v>
      </c>
      <c r="C6" s="208"/>
      <c r="D6" s="209"/>
      <c r="E6" s="210"/>
      <c r="F6" s="210"/>
      <c r="G6" s="211"/>
    </row>
    <row r="7" spans="1:9" s="206" customFormat="1" ht="13.5" customHeight="1">
      <c r="A7" s="732" t="s">
        <v>1471</v>
      </c>
      <c r="B7" s="207" t="s">
        <v>1472</v>
      </c>
      <c r="C7" s="212">
        <f>ROUND(C6*F7,0)</f>
        <v>0</v>
      </c>
      <c r="D7" s="212"/>
      <c r="E7" s="210"/>
      <c r="F7" s="213">
        <f>IF(项目基本情况!B8="出让",0,'数据-取费表'!B48+'数据-取费表'!B49)</f>
        <v>0</v>
      </c>
      <c r="G7" s="211"/>
    </row>
    <row r="8" spans="1:9" s="215" customFormat="1" ht="13">
      <c r="A8" s="732" t="s">
        <v>1473</v>
      </c>
      <c r="B8" s="207" t="s">
        <v>1474</v>
      </c>
      <c r="C8" s="212">
        <f>IF(G8="已包含在土地购买价格中","0",IF(B1="",'数据-取费表'!B29,IF(G9="全部缴纳",C9+C10,H9)))</f>
        <v>0</v>
      </c>
      <c r="D8" s="214"/>
      <c r="E8" s="212"/>
      <c r="F8" s="213"/>
      <c r="G8" s="1714"/>
    </row>
    <row r="9" spans="1:9" s="206" customFormat="1" ht="13.5" customHeight="1">
      <c r="A9" s="733" t="s">
        <v>355</v>
      </c>
      <c r="B9" s="216" t="s">
        <v>1475</v>
      </c>
      <c r="C9" s="217">
        <f ca="1">ROUND(D9*E9/10000,0)</f>
        <v>0</v>
      </c>
      <c r="D9" s="795">
        <f ca="1">IF(B1="",'数据-汇总表'!E5,IF(INDIRECT("'数据-取费表'!c"&amp;$G$1)="住宅",INDIRECT("'数据-取费表'!k"&amp;$G$1),0))</f>
        <v>0</v>
      </c>
      <c r="E9" s="217">
        <f>'数据-取费表'!B27</f>
        <v>0</v>
      </c>
      <c r="F9" s="213"/>
      <c r="G9" s="1715"/>
      <c r="H9" s="1070"/>
      <c r="I9" s="1716" t="s">
        <v>1476</v>
      </c>
    </row>
    <row r="10" spans="1:9" s="206" customFormat="1" ht="13.5" customHeight="1">
      <c r="A10" s="733" t="s">
        <v>356</v>
      </c>
      <c r="B10" s="216" t="s">
        <v>1477</v>
      </c>
      <c r="C10" s="217">
        <f ca="1">ROUND(D10*E10/10000,0)</f>
        <v>0</v>
      </c>
      <c r="D10" s="795">
        <f ca="1">IF(B1="",'数据-汇总表'!E6,IF(INDIRECT("'数据-取费表'!c"&amp;$G$1)="住宅",INDIRECT("'数据-取费表'!s"&amp;$G$1),INDIRECT("'数据-取费表'!k"&amp;$G$1)+INDIRECT("'数据-取费表'!s"&amp;$G$1)))</f>
        <v>3730.1800000000003</v>
      </c>
      <c r="E10" s="217">
        <f>'数据-取费表'!B28</f>
        <v>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f ca="1">IF(G19="已包含在土地取得成本中","0",ROUND(D19*E19/10000,0))</f>
        <v>0</v>
      </c>
      <c r="D19" s="204">
        <f ca="1">D9+D10</f>
        <v>3730.1800000000003</v>
      </c>
      <c r="E19" s="203">
        <f>'数据-取费表'!B31</f>
        <v>0</v>
      </c>
      <c r="F19" s="223"/>
      <c r="G19" s="1714"/>
    </row>
    <row r="20" spans="1:7" s="206" customFormat="1" ht="13.5" customHeight="1">
      <c r="A20" s="247" t="s">
        <v>1490</v>
      </c>
      <c r="B20" s="202" t="s">
        <v>1491</v>
      </c>
      <c r="C20" s="224">
        <f ca="1">ROUND((C5+C19)*F20,0)</f>
        <v>0</v>
      </c>
      <c r="D20" s="224"/>
      <c r="E20" s="224"/>
      <c r="F20" s="225">
        <f>'数据-取费表'!B37</f>
        <v>0</v>
      </c>
      <c r="G20" s="226" t="s">
        <v>1492</v>
      </c>
    </row>
    <row r="21" spans="1:7" s="206" customFormat="1" ht="13.5" customHeight="1">
      <c r="A21" s="247" t="s">
        <v>1493</v>
      </c>
      <c r="B21" s="202" t="s">
        <v>1494</v>
      </c>
      <c r="C21" s="227">
        <f>F21</f>
        <v>0</v>
      </c>
      <c r="D21" s="228" t="s">
        <v>1495</v>
      </c>
      <c r="E21" s="224"/>
      <c r="F21" s="225">
        <f>'数据-取费表'!B38</f>
        <v>0</v>
      </c>
      <c r="G21" s="226" t="s">
        <v>1496</v>
      </c>
    </row>
    <row r="22" spans="1:7" s="206" customFormat="1" ht="13.5" customHeight="1">
      <c r="A22" s="247" t="s">
        <v>1497</v>
      </c>
      <c r="B22" s="202" t="s">
        <v>1498</v>
      </c>
      <c r="C22" s="1041" t="e">
        <f ca="1">ROUND(SUM(C23:C25),0)</f>
        <v>#VALUE!</v>
      </c>
      <c r="D22" s="227" t="e">
        <f ca="1">C26</f>
        <v>#VALUE!</v>
      </c>
      <c r="E22" s="228" t="s">
        <v>1495</v>
      </c>
      <c r="F22" s="229" t="e">
        <f ca="1">'数据-取费表'!B40</f>
        <v>#VALUE!</v>
      </c>
      <c r="G22" s="226" t="str">
        <f>IF('数据-取费表'!B22&lt;=1,"单利计息","复利计息")</f>
        <v>单利计息</v>
      </c>
    </row>
    <row r="23" spans="1:7" s="206" customFormat="1" ht="13.5" customHeight="1">
      <c r="A23" s="734" t="s">
        <v>1499</v>
      </c>
      <c r="B23" s="207" t="s">
        <v>1500</v>
      </c>
      <c r="C23" s="1042" t="e">
        <f ca="1">ROUND(IF('数据-取费表'!B22&lt;=1,C5*F22*'数据-取费表'!B23,C5*(POWER((1+F22),'数据-取费表'!B23)-1)),0)</f>
        <v>#VALUE!</v>
      </c>
      <c r="D23" s="230"/>
      <c r="E23" s="230"/>
      <c r="F23" s="231"/>
      <c r="G23" s="232" t="s">
        <v>1501</v>
      </c>
    </row>
    <row r="24" spans="1:7" s="206" customFormat="1" ht="13.5" customHeight="1">
      <c r="A24" s="734" t="s">
        <v>1502</v>
      </c>
      <c r="B24" s="207" t="s">
        <v>1503</v>
      </c>
      <c r="C24" s="1042" t="e">
        <f ca="1">ROUND(IF('数据-取费表'!B22&lt;=1,C19*F22*('数据-取费表'!B19/2+'数据-取费表'!B21),C19*(POWER((1+F22),('数据-取费表'!B19/2+'数据-取费表'!B21))-1)),0)</f>
        <v>#VALUE!</v>
      </c>
      <c r="D24" s="230"/>
      <c r="E24" s="230"/>
      <c r="F24" s="231"/>
      <c r="G24" s="232" t="s">
        <v>1504</v>
      </c>
    </row>
    <row r="25" spans="1:7" s="206" customFormat="1" ht="26">
      <c r="A25" s="734" t="s">
        <v>1505</v>
      </c>
      <c r="B25" s="207" t="s">
        <v>1506</v>
      </c>
      <c r="C25" s="1042" t="e">
        <f ca="1">ROUND(IF('数据-取费表'!B22&lt;=1,C20*F22*'数据-取费表'!B23/2,C20*(POWER((1+F22),'数据-取费表'!B23/2)-1)),0)</f>
        <v>#VALUE!</v>
      </c>
      <c r="D25" s="230"/>
      <c r="E25" s="233"/>
      <c r="F25" s="231"/>
      <c r="G25" s="234" t="s">
        <v>1507</v>
      </c>
    </row>
    <row r="26" spans="1:7" s="206" customFormat="1" ht="13">
      <c r="A26" s="734" t="s">
        <v>350</v>
      </c>
      <c r="B26" s="207" t="s">
        <v>1508</v>
      </c>
      <c r="C26" s="230" t="e">
        <f ca="1">ROUND(IF('数据-取费表'!B22&lt;=1,F21*F22*'数据-取费表'!B23/2,F21*(POWER((1+F22),'数据-取费表'!B23/2)-1)),4)</f>
        <v>#VALUE!</v>
      </c>
      <c r="D26" s="230"/>
      <c r="E26" s="233"/>
      <c r="F26" s="231"/>
      <c r="G26" s="235"/>
    </row>
    <row r="27" spans="1:7" s="206" customFormat="1" ht="27">
      <c r="A27" s="247" t="s">
        <v>1509</v>
      </c>
      <c r="B27" s="236" t="s">
        <v>1510</v>
      </c>
      <c r="C27" s="237" t="e">
        <f ca="1">C28</f>
        <v>#DIV/0!</v>
      </c>
      <c r="D27" s="227" t="e">
        <f ca="1">C29</f>
        <v>#DIV/0!</v>
      </c>
      <c r="E27" s="228" t="s">
        <v>1511</v>
      </c>
      <c r="F27" s="238" t="e">
        <f ca="1">IF(B1="",'数据-取费表'!Q16,INDIRECT("'数据-取费表'!q"&amp;$G$1))</f>
        <v>#DIV/0!</v>
      </c>
      <c r="G27" s="239" t="s">
        <v>1512</v>
      </c>
    </row>
    <row r="28" spans="1:7" s="206" customFormat="1" ht="13.5" customHeight="1">
      <c r="A28" s="734" t="s">
        <v>346</v>
      </c>
      <c r="B28" s="240" t="s">
        <v>1513</v>
      </c>
      <c r="C28" s="241" t="e">
        <f ca="1">ROUND((C5+C19+C20)*F27*'数据-取费表'!B21/'数据-取费表'!B20,0)</f>
        <v>#DIV/0!</v>
      </c>
      <c r="D28" s="227"/>
      <c r="E28" s="228"/>
      <c r="F28" s="238"/>
      <c r="G28" s="239"/>
    </row>
    <row r="29" spans="1:7" s="206" customFormat="1" ht="13.5" customHeight="1">
      <c r="A29" s="734" t="s">
        <v>347</v>
      </c>
      <c r="B29" s="240" t="s">
        <v>1514</v>
      </c>
      <c r="C29" s="230" t="e">
        <f ca="1">ROUND(C21*F27*'数据-取费表'!B21/'数据-取费表'!B20,4)</f>
        <v>#DIV/0!</v>
      </c>
      <c r="D29" s="227"/>
      <c r="E29" s="228"/>
      <c r="F29" s="238"/>
      <c r="G29" s="239"/>
    </row>
    <row r="30" spans="1:7" s="206" customFormat="1" ht="13.5" customHeight="1">
      <c r="A30" s="247" t="s">
        <v>1515</v>
      </c>
      <c r="B30" s="202" t="s">
        <v>1516</v>
      </c>
      <c r="C30" s="227">
        <f>ROUND(F30/(1+'数据-取费表'!C42),4)</f>
        <v>0</v>
      </c>
      <c r="D30" s="228" t="s">
        <v>1511</v>
      </c>
      <c r="E30" s="233"/>
      <c r="F30" s="229">
        <f>'数据-取费表'!B41</f>
        <v>0</v>
      </c>
      <c r="G30" s="226" t="s">
        <v>1517</v>
      </c>
    </row>
    <row r="31" spans="1:7" ht="16.5" customHeight="1">
      <c r="A31" s="201">
        <v>1</v>
      </c>
      <c r="B31" s="202" t="s">
        <v>1518</v>
      </c>
      <c r="C31" s="203" t="e">
        <f ca="1">ROUND((C5+C19+C20+C22+C27)/(1-C21-D22-D27-C30),0)</f>
        <v>#VALUE!</v>
      </c>
      <c r="D31" s="222"/>
      <c r="E31" s="203"/>
      <c r="F31" s="242"/>
      <c r="G31" s="226" t="s">
        <v>1519</v>
      </c>
    </row>
    <row r="32" spans="1:7" s="200" customFormat="1" ht="16">
      <c r="A32" s="244" t="s">
        <v>1520</v>
      </c>
      <c r="B32" s="245"/>
      <c r="C32" s="245"/>
      <c r="D32" s="245"/>
      <c r="E32" s="245"/>
      <c r="F32" s="245"/>
      <c r="G32" s="246"/>
    </row>
    <row r="33" spans="1:7" s="206" customFormat="1" ht="13.5" customHeight="1">
      <c r="A33" s="247" t="s">
        <v>337</v>
      </c>
      <c r="B33" s="202" t="s">
        <v>1521</v>
      </c>
      <c r="C33" s="248">
        <f ca="1">SUM(C34:C38)</f>
        <v>0</v>
      </c>
      <c r="D33" s="224"/>
      <c r="E33" s="204"/>
      <c r="F33" s="233"/>
      <c r="G33" s="226"/>
    </row>
    <row r="34" spans="1:7" s="250" customFormat="1" ht="13.5" customHeight="1">
      <c r="A34" s="734" t="s">
        <v>346</v>
      </c>
      <c r="B34" s="207" t="s">
        <v>1522</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1523</v>
      </c>
    </row>
    <row r="35" spans="1:7" ht="13.5" customHeight="1">
      <c r="A35" s="734" t="s">
        <v>351</v>
      </c>
      <c r="B35" s="207" t="s">
        <v>1524</v>
      </c>
      <c r="C35" s="212">
        <f ca="1">ROUND(C34*F35,0)</f>
        <v>0</v>
      </c>
      <c r="D35" s="212"/>
      <c r="E35" s="212"/>
      <c r="F35" s="251">
        <f>'数据-取费表'!B33</f>
        <v>0</v>
      </c>
      <c r="G35" s="211" t="s">
        <v>1525</v>
      </c>
    </row>
    <row r="36" spans="1:7" ht="26">
      <c r="A36" s="734"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4" t="s">
        <v>353</v>
      </c>
      <c r="B37" s="207" t="s">
        <v>1528</v>
      </c>
      <c r="C37" s="241">
        <f ca="1">ROUND(E37*D37*F34/10000,0)</f>
        <v>0</v>
      </c>
      <c r="D37" s="209">
        <f ca="1">D19</f>
        <v>3730.1800000000003</v>
      </c>
      <c r="E37" s="241">
        <f>'数据-取费表'!B35</f>
        <v>0</v>
      </c>
      <c r="F37" s="251"/>
      <c r="G37" s="253" t="s">
        <v>1529</v>
      </c>
    </row>
    <row r="38" spans="1:7" ht="13.5" customHeight="1">
      <c r="A38" s="734" t="s">
        <v>354</v>
      </c>
      <c r="B38" s="207" t="s">
        <v>1530</v>
      </c>
      <c r="C38" s="212">
        <f ca="1">ROUND(C34*F38,0)</f>
        <v>0</v>
      </c>
      <c r="D38" s="212"/>
      <c r="E38" s="212"/>
      <c r="F38" s="251">
        <f>'数据-取费表'!B36</f>
        <v>0</v>
      </c>
      <c r="G38" s="211" t="s">
        <v>1525</v>
      </c>
    </row>
    <row r="39" spans="1:7" s="206" customFormat="1" ht="13.5" customHeight="1">
      <c r="A39" s="247" t="s">
        <v>1531</v>
      </c>
      <c r="B39" s="202" t="s">
        <v>1532</v>
      </c>
      <c r="C39" s="224">
        <f ca="1">ROUND(C33*F20,0)</f>
        <v>0</v>
      </c>
      <c r="D39" s="224"/>
      <c r="E39" s="224"/>
      <c r="F39" s="225">
        <f>F20</f>
        <v>0</v>
      </c>
      <c r="G39" s="226" t="s">
        <v>1533</v>
      </c>
    </row>
    <row r="40" spans="1:7" s="206" customFormat="1" ht="13.5" customHeight="1">
      <c r="A40" s="247" t="s">
        <v>1534</v>
      </c>
      <c r="B40" s="202" t="s">
        <v>1535</v>
      </c>
      <c r="C40" s="227">
        <f>F21</f>
        <v>0</v>
      </c>
      <c r="D40" s="228" t="s">
        <v>1536</v>
      </c>
      <c r="E40" s="224"/>
      <c r="F40" s="225">
        <f>F21</f>
        <v>0</v>
      </c>
      <c r="G40" s="226" t="s">
        <v>1537</v>
      </c>
    </row>
    <row r="41" spans="1:7" s="206" customFormat="1" ht="13.5" customHeight="1">
      <c r="A41" s="247" t="s">
        <v>1538</v>
      </c>
      <c r="B41" s="202" t="s">
        <v>1539</v>
      </c>
      <c r="C41" s="224" t="e">
        <f ca="1">ROUND(SUM(C42:C43),0)</f>
        <v>#VALUE!</v>
      </c>
      <c r="D41" s="227" t="e">
        <f ca="1">C44</f>
        <v>#VALUE!</v>
      </c>
      <c r="E41" s="228" t="s">
        <v>1536</v>
      </c>
      <c r="F41" s="229" t="e">
        <f ca="1">F22</f>
        <v>#VALUE!</v>
      </c>
      <c r="G41" s="226" t="str">
        <f>IF('数据-取费表'!B22&lt;=1,"单利计息","复利计息")</f>
        <v>单利计息</v>
      </c>
    </row>
    <row r="42" spans="1:7" ht="13.5" customHeight="1">
      <c r="A42" s="734" t="s">
        <v>346</v>
      </c>
      <c r="B42" s="207" t="s">
        <v>1540</v>
      </c>
      <c r="C42" s="230" t="e">
        <f ca="1">ROUND(IF('数据-取费表'!B22&lt;=1,C33*F22*'数据-取费表'!B21/2,C33*(POWER((1+F22),'数据-取费表'!B21/2)-1)),0)</f>
        <v>#VALUE!</v>
      </c>
      <c r="D42" s="230"/>
      <c r="E42" s="230"/>
      <c r="F42" s="231"/>
      <c r="G42" s="3393" t="s">
        <v>1541</v>
      </c>
    </row>
    <row r="43" spans="1:7" ht="13.5" customHeight="1">
      <c r="A43" s="734" t="s">
        <v>347</v>
      </c>
      <c r="B43" s="207" t="s">
        <v>1542</v>
      </c>
      <c r="C43" s="230" t="e">
        <f ca="1">ROUND(IF('数据-取费表'!B22&lt;=1,C39*F22*'数据-取费表'!B21/2,C39*(POWER((1+F22),'数据-取费表'!B21/2)-1)),0)</f>
        <v>#VALUE!</v>
      </c>
      <c r="D43" s="230"/>
      <c r="E43" s="230"/>
      <c r="F43" s="231"/>
      <c r="G43" s="3394"/>
    </row>
    <row r="44" spans="1:7" ht="13.5" customHeight="1">
      <c r="A44" s="734" t="s">
        <v>348</v>
      </c>
      <c r="B44" s="207" t="s">
        <v>1543</v>
      </c>
      <c r="C44" s="230" t="e">
        <f ca="1">ROUND(IF('数据-取费表'!B22&lt;=1,C40*F22*'数据-取费表'!B21/2,C40*(POWER((1+F22),'数据-取费表'!B21/2)-1)),4)</f>
        <v>#VALUE!</v>
      </c>
      <c r="D44" s="230"/>
      <c r="E44" s="230"/>
      <c r="F44" s="231"/>
      <c r="G44" s="3395"/>
    </row>
    <row r="45" spans="1:7" s="206" customFormat="1" ht="13.5" customHeight="1">
      <c r="A45" s="247" t="s">
        <v>1544</v>
      </c>
      <c r="B45" s="236" t="s">
        <v>1510</v>
      </c>
      <c r="C45" s="237" t="e">
        <f ca="1">C46</f>
        <v>#DIV/0!</v>
      </c>
      <c r="D45" s="227" t="e">
        <f ca="1">C47</f>
        <v>#DIV/0!</v>
      </c>
      <c r="E45" s="228" t="s">
        <v>1536</v>
      </c>
      <c r="F45" s="238" t="e">
        <f ca="1">F27</f>
        <v>#DIV/0!</v>
      </c>
      <c r="G45" s="239" t="s">
        <v>1545</v>
      </c>
    </row>
    <row r="46" spans="1:7" s="206" customFormat="1" ht="13.5" customHeight="1">
      <c r="A46" s="734" t="s">
        <v>346</v>
      </c>
      <c r="B46" s="240" t="s">
        <v>1546</v>
      </c>
      <c r="C46" s="241" t="e">
        <f ca="1">ROUND((C33+C39)*F27,0)</f>
        <v>#DIV/0!</v>
      </c>
      <c r="D46" s="255"/>
      <c r="E46" s="228"/>
      <c r="F46" s="238"/>
      <c r="G46" s="239"/>
    </row>
    <row r="47" spans="1:7" s="206" customFormat="1" ht="13.5" customHeight="1">
      <c r="A47" s="734" t="s">
        <v>347</v>
      </c>
      <c r="B47" s="240" t="s">
        <v>1547</v>
      </c>
      <c r="C47" s="230" t="e">
        <f ca="1">ROUND(C40*F27,4)</f>
        <v>#DIV/0!</v>
      </c>
      <c r="D47" s="255"/>
      <c r="E47" s="228"/>
      <c r="F47" s="238"/>
      <c r="G47" s="239"/>
    </row>
    <row r="48" spans="1:7" s="206" customFormat="1" ht="13.5" customHeight="1">
      <c r="A48" s="247" t="s">
        <v>1509</v>
      </c>
      <c r="B48" s="202" t="s">
        <v>1548</v>
      </c>
      <c r="C48" s="227">
        <f>ROUND(F30/(1+'数据-取费表'!C42),4)</f>
        <v>0</v>
      </c>
      <c r="D48" s="228" t="s">
        <v>1536</v>
      </c>
      <c r="E48" s="224"/>
      <c r="F48" s="229">
        <f>F30</f>
        <v>0</v>
      </c>
      <c r="G48" s="226" t="s">
        <v>1549</v>
      </c>
    </row>
    <row r="49" spans="1:7" ht="16.5" customHeight="1">
      <c r="A49" s="247" t="s">
        <v>1515</v>
      </c>
      <c r="B49" s="202" t="s">
        <v>1550</v>
      </c>
      <c r="C49" s="224" t="e">
        <f ca="1">ROUND((C33+C39+C41+C45)/(1-C40-D41-D45-C48),0)</f>
        <v>#VALUE!</v>
      </c>
      <c r="D49" s="224"/>
      <c r="E49" s="224"/>
      <c r="F49" s="256"/>
      <c r="G49" s="226" t="s">
        <v>1551</v>
      </c>
    </row>
    <row r="50" spans="1:7" s="250" customFormat="1" ht="26">
      <c r="A50" s="247" t="s">
        <v>1552</v>
      </c>
      <c r="B50" s="202" t="s">
        <v>1553</v>
      </c>
      <c r="C50" s="224"/>
      <c r="D50" s="224"/>
      <c r="E50" s="224"/>
      <c r="F50" s="256" t="e">
        <f>IF('数据-取费表'!B24=0,'数据-取费表'!N16,1)</f>
        <v>#DIV/0!</v>
      </c>
      <c r="G50" s="239" t="s">
        <v>1554</v>
      </c>
    </row>
    <row r="51" spans="1:7" ht="16.5" customHeight="1">
      <c r="A51" s="247" t="s">
        <v>1555</v>
      </c>
      <c r="B51" s="202" t="s">
        <v>1556</v>
      </c>
      <c r="C51" s="224" t="e">
        <f ca="1">ROUND(C49*F50,0)</f>
        <v>#VALUE!</v>
      </c>
      <c r="D51" s="224"/>
      <c r="E51" s="224"/>
      <c r="F51" s="256"/>
      <c r="G51" s="226" t="s">
        <v>1557</v>
      </c>
    </row>
    <row r="52" spans="1:7" s="200" customFormat="1" ht="16.5" thickBot="1">
      <c r="A52" s="257" t="s">
        <v>1558</v>
      </c>
      <c r="B52" s="258"/>
      <c r="C52" s="259" t="e">
        <f ca="1">C31+C51</f>
        <v>#VALUE!</v>
      </c>
      <c r="D52" s="258"/>
      <c r="E52" s="258"/>
      <c r="F52" s="258"/>
      <c r="G52" s="260"/>
    </row>
    <row r="55" spans="1:7" ht="15.5">
      <c r="B55" s="262" t="s">
        <v>1559</v>
      </c>
      <c r="C55" s="263"/>
    </row>
    <row r="56" spans="1:7" ht="13">
      <c r="B56" s="265" t="s">
        <v>799</v>
      </c>
      <c r="C56" s="267" t="e">
        <f ca="1">1-C57</f>
        <v>#VALUE!</v>
      </c>
    </row>
    <row r="57" spans="1:7" ht="13">
      <c r="B57" s="265" t="s">
        <v>800</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211" t="str">
        <f>项目基本情况!B1</f>
        <v>北京市预评估</v>
      </c>
      <c r="C37" s="3211"/>
      <c r="D37" s="3211"/>
      <c r="E37" s="3211"/>
      <c r="F37" s="3211"/>
      <c r="G37" s="3211"/>
      <c r="H37" s="3211"/>
      <c r="I37" s="321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1458</v>
      </c>
      <c r="B1" s="1374"/>
      <c r="C1" s="1717" t="s">
        <v>1560</v>
      </c>
      <c r="D1" s="190"/>
      <c r="E1" s="190"/>
      <c r="F1" s="190"/>
      <c r="G1" s="1062">
        <f>MATCH(B1,'数据-取费表'!A6:A16,0)+5</f>
        <v>9</v>
      </c>
      <c r="H1" s="998" t="str">
        <f>IF(ISERROR(FIND("住宅",B1)),"非住宅","住宅")</f>
        <v>非住宅</v>
      </c>
    </row>
    <row r="2" spans="1:8" s="192" customFormat="1" ht="18" customHeight="1">
      <c r="A2" s="193" t="s">
        <v>1459</v>
      </c>
      <c r="B2" s="3121" t="e">
        <f ca="1">ROUND(IF(D2="——",C52/10000,C52/10000-E2),4)</f>
        <v>#VALUE!</v>
      </c>
      <c r="C2" s="191" t="s">
        <v>1460</v>
      </c>
      <c r="D2" s="1711" t="s">
        <v>43</v>
      </c>
      <c r="E2" s="1089" t="e">
        <f ca="1">SUMIF(INDIRECT("'"&amp;G2&amp;"'"&amp;"!A:A"),"承租人权益价值",INDIRECT("'"&amp;G2&amp;"'"&amp;"!c:c"))</f>
        <v>#REF!</v>
      </c>
      <c r="F2" s="1712" t="s">
        <v>1460</v>
      </c>
      <c r="G2" s="1713"/>
    </row>
    <row r="3" spans="1:8" s="192" customFormat="1" ht="18" customHeight="1" thickBot="1">
      <c r="A3" s="195" t="s">
        <v>1461</v>
      </c>
      <c r="B3" s="196" t="e">
        <f ca="1">ROUND(B2*10000/(IF(B1="",'数据-汇总表'!E3,INDIRECT("'数据-取费表'!k"&amp;$G$1))),0)</f>
        <v>#VALUE!</v>
      </c>
      <c r="C3" s="191" t="s">
        <v>1462</v>
      </c>
      <c r="D3" s="191"/>
      <c r="E3" s="191"/>
      <c r="F3" s="191"/>
      <c r="G3" s="191"/>
    </row>
    <row r="4" spans="1:8" s="200" customFormat="1" ht="16">
      <c r="A4" s="197" t="s">
        <v>1463</v>
      </c>
      <c r="B4" s="198"/>
      <c r="C4" s="198"/>
      <c r="D4" s="198"/>
      <c r="E4" s="198"/>
      <c r="F4" s="198"/>
      <c r="G4" s="199"/>
    </row>
    <row r="5" spans="1:8" s="206" customFormat="1" ht="13.5" customHeight="1">
      <c r="A5" s="247" t="s">
        <v>1464</v>
      </c>
      <c r="B5" s="202" t="s">
        <v>1465</v>
      </c>
      <c r="C5" s="203">
        <f ca="1">C6+C7+C8</f>
        <v>0</v>
      </c>
      <c r="D5" s="203" t="s">
        <v>1466</v>
      </c>
      <c r="E5" s="204" t="s">
        <v>1467</v>
      </c>
      <c r="F5" s="204" t="s">
        <v>1468</v>
      </c>
      <c r="G5" s="205"/>
    </row>
    <row r="6" spans="1:8" s="206" customFormat="1" ht="13.5" customHeight="1">
      <c r="A6" s="732" t="s">
        <v>1469</v>
      </c>
      <c r="B6" s="207" t="s">
        <v>1470</v>
      </c>
      <c r="C6" s="208"/>
      <c r="D6" s="209"/>
      <c r="E6" s="210"/>
      <c r="F6" s="210"/>
      <c r="G6" s="211"/>
    </row>
    <row r="7" spans="1:8" s="206" customFormat="1" ht="13.5" customHeight="1">
      <c r="A7" s="732" t="s">
        <v>1471</v>
      </c>
      <c r="B7" s="207" t="s">
        <v>1472</v>
      </c>
      <c r="C7" s="212">
        <f>ROUND(C6*F7,0)</f>
        <v>0</v>
      </c>
      <c r="D7" s="212"/>
      <c r="E7" s="210"/>
      <c r="F7" s="213">
        <f>IF(项目基本情况!B8="出让",0,'数据-取费表'!B48+'数据-取费表'!B49)</f>
        <v>0</v>
      </c>
      <c r="G7" s="211"/>
    </row>
    <row r="8" spans="1:8" s="215" customFormat="1" ht="13">
      <c r="A8" s="732" t="s">
        <v>1473</v>
      </c>
      <c r="B8" s="207" t="s">
        <v>1474</v>
      </c>
      <c r="C8" s="212">
        <f ca="1">IF(G8="已包含在土地购买价格中",0,C9+C10)</f>
        <v>0</v>
      </c>
      <c r="D8" s="214"/>
      <c r="E8" s="212"/>
      <c r="F8" s="213"/>
      <c r="G8" s="1714"/>
    </row>
    <row r="9" spans="1:8" s="206" customFormat="1" ht="13.5" customHeight="1">
      <c r="A9" s="733" t="s">
        <v>355</v>
      </c>
      <c r="B9" s="216" t="s">
        <v>1475</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1477</v>
      </c>
      <c r="C10" s="217">
        <f ca="1">ROUND(D10*E10,0)</f>
        <v>0</v>
      </c>
      <c r="D10" s="795">
        <f ca="1">IF(B1="",'数据-汇总表'!E6,IF(INDIRECT("'数据-取费表'!c"&amp;$G$1)="住宅",INDIRECT("'数据-取费表'!s"&amp;$G$1),INDIRECT("'数据-取费表'!k"&amp;$G$1)+INDIRECT("'数据-取费表'!s"&amp;$G$1)))</f>
        <v>3730.1800000000003</v>
      </c>
      <c r="E10" s="217">
        <f>'数据-取费表'!B28</f>
        <v>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f ca="1">IF(G19="已包含在土地取得成本中","0",ROUND(D19*E19,0))</f>
        <v>0</v>
      </c>
      <c r="D19" s="204">
        <f ca="1">D9+D10</f>
        <v>3730.1800000000003</v>
      </c>
      <c r="E19" s="203">
        <f>'数据-取费表'!B31</f>
        <v>0</v>
      </c>
      <c r="F19" s="223"/>
      <c r="G19" s="1714"/>
    </row>
    <row r="20" spans="1:7" s="206" customFormat="1" ht="13.5" customHeight="1">
      <c r="A20" s="247" t="s">
        <v>1571</v>
      </c>
      <c r="B20" s="202" t="s">
        <v>1572</v>
      </c>
      <c r="C20" s="224">
        <f ca="1">ROUND((C5+C19)*F20,0)</f>
        <v>0</v>
      </c>
      <c r="D20" s="224"/>
      <c r="E20" s="224"/>
      <c r="F20" s="225">
        <f>'数据-取费表'!B37</f>
        <v>0</v>
      </c>
      <c r="G20" s="226" t="s">
        <v>1573</v>
      </c>
    </row>
    <row r="21" spans="1:7" s="206" customFormat="1" ht="13.5" customHeight="1">
      <c r="A21" s="247" t="s">
        <v>1574</v>
      </c>
      <c r="B21" s="202" t="s">
        <v>1575</v>
      </c>
      <c r="C21" s="227">
        <f>F21</f>
        <v>0</v>
      </c>
      <c r="D21" s="228" t="s">
        <v>1576</v>
      </c>
      <c r="E21" s="224"/>
      <c r="F21" s="225">
        <f>'数据-取费表'!B38</f>
        <v>0</v>
      </c>
      <c r="G21" s="226" t="s">
        <v>1577</v>
      </c>
    </row>
    <row r="22" spans="1:7" s="206" customFormat="1" ht="13.5" customHeight="1">
      <c r="A22" s="247" t="s">
        <v>1578</v>
      </c>
      <c r="B22" s="202" t="s">
        <v>1579</v>
      </c>
      <c r="C22" s="224" t="e">
        <f ca="1">ROUND(SUM(C23:C25),0)</f>
        <v>#VALUE!</v>
      </c>
      <c r="D22" s="227" t="e">
        <f ca="1">C26</f>
        <v>#VALUE!</v>
      </c>
      <c r="E22" s="228" t="s">
        <v>1576</v>
      </c>
      <c r="F22" s="229" t="e">
        <f ca="1">'数据-取费表'!B40</f>
        <v>#VALUE!</v>
      </c>
      <c r="G22" s="226" t="str">
        <f>IF('数据-取费表'!B22&lt;=1,"单利计息","复利计息")</f>
        <v>单利计息</v>
      </c>
    </row>
    <row r="23" spans="1:7" s="206" customFormat="1" ht="13.5" customHeight="1">
      <c r="A23" s="734" t="s">
        <v>1469</v>
      </c>
      <c r="B23" s="207" t="s">
        <v>1580</v>
      </c>
      <c r="C23" s="230" t="e">
        <f ca="1">ROUND(IF('数据-取费表'!B22&lt;=1,C5*F22*'数据-取费表'!B22,C5*(POWER((1+F22),'数据-取费表'!B22)-1)),0)</f>
        <v>#VALUE!</v>
      </c>
      <c r="D23" s="230"/>
      <c r="E23" s="230"/>
      <c r="F23" s="231"/>
      <c r="G23" s="232" t="s">
        <v>1581</v>
      </c>
    </row>
    <row r="24" spans="1:7" s="206" customFormat="1" ht="13.5" customHeight="1">
      <c r="A24" s="734" t="s">
        <v>1471</v>
      </c>
      <c r="B24" s="207" t="s">
        <v>1582</v>
      </c>
      <c r="C24" s="230" t="e">
        <f ca="1">ROUND(IF('数据-取费表'!B22&lt;=1,C19*F22*('数据-取费表'!B19/2+'数据-取费表'!B20),C19*(POWER((1+F22),('数据-取费表'!B19/2+'数据-取费表'!B20))-1)),0)</f>
        <v>#VALUE!</v>
      </c>
      <c r="D24" s="230"/>
      <c r="E24" s="230"/>
      <c r="F24" s="231"/>
      <c r="G24" s="232" t="s">
        <v>1583</v>
      </c>
    </row>
    <row r="25" spans="1:7" s="206" customFormat="1" ht="26">
      <c r="A25" s="734" t="s">
        <v>1473</v>
      </c>
      <c r="B25" s="207" t="s">
        <v>1584</v>
      </c>
      <c r="C25" s="230" t="e">
        <f ca="1">ROUND(IF('数据-取费表'!B22&lt;=1,C20*F22*'数据-取费表'!B22/2,C20*(POWER((1+F22),'数据-取费表'!B22/2)-1)),0)</f>
        <v>#VALUE!</v>
      </c>
      <c r="D25" s="230"/>
      <c r="E25" s="233"/>
      <c r="F25" s="231"/>
      <c r="G25" s="234" t="s">
        <v>1585</v>
      </c>
    </row>
    <row r="26" spans="1:7" s="206" customFormat="1" ht="13">
      <c r="A26" s="734" t="s">
        <v>350</v>
      </c>
      <c r="B26" s="207" t="s">
        <v>1508</v>
      </c>
      <c r="C26" s="230" t="e">
        <f ca="1">ROUND(IF('数据-取费表'!B22&lt;=1,F21*F22*'数据-取费表'!B22/2,F21*(POWER((1+F22),'数据-取费表'!B22/2)-1)),4)</f>
        <v>#VALUE!</v>
      </c>
      <c r="D26" s="230"/>
      <c r="E26" s="233"/>
      <c r="F26" s="231"/>
      <c r="G26" s="235"/>
    </row>
    <row r="27" spans="1:7" s="206" customFormat="1" ht="27">
      <c r="A27" s="247" t="s">
        <v>1509</v>
      </c>
      <c r="B27" s="236" t="s">
        <v>1510</v>
      </c>
      <c r="C27" s="237" t="e">
        <f ca="1">C28</f>
        <v>#DIV/0!</v>
      </c>
      <c r="D27" s="227" t="e">
        <f ca="1">C29</f>
        <v>#DIV/0!</v>
      </c>
      <c r="E27" s="228" t="s">
        <v>1511</v>
      </c>
      <c r="F27" s="238" t="e">
        <f ca="1">IF(B1="",'数据-取费表'!Q16,INDIRECT("'数据-取费表'!q"&amp;$G$1))</f>
        <v>#DIV/0!</v>
      </c>
      <c r="G27" s="239" t="s">
        <v>1512</v>
      </c>
    </row>
    <row r="28" spans="1:7" s="206" customFormat="1" ht="13.5" customHeight="1">
      <c r="A28" s="734" t="s">
        <v>346</v>
      </c>
      <c r="B28" s="240" t="s">
        <v>1513</v>
      </c>
      <c r="C28" s="241" t="e">
        <f ca="1">ROUND((C5+C19+C20)*F27,0)</f>
        <v>#DIV/0!</v>
      </c>
      <c r="D28" s="227"/>
      <c r="E28" s="228"/>
      <c r="F28" s="238"/>
      <c r="G28" s="239"/>
    </row>
    <row r="29" spans="1:7" s="206" customFormat="1" ht="13.5" customHeight="1">
      <c r="A29" s="734" t="s">
        <v>347</v>
      </c>
      <c r="B29" s="240" t="s">
        <v>1514</v>
      </c>
      <c r="C29" s="230" t="e">
        <f ca="1">ROUND(C21*F27,4)</f>
        <v>#DIV/0!</v>
      </c>
      <c r="D29" s="227"/>
      <c r="E29" s="228"/>
      <c r="F29" s="238"/>
      <c r="G29" s="239"/>
    </row>
    <row r="30" spans="1:7" s="206" customFormat="1" ht="13.5" customHeight="1">
      <c r="A30" s="247" t="s">
        <v>1515</v>
      </c>
      <c r="B30" s="202" t="s">
        <v>1516</v>
      </c>
      <c r="C30" s="227">
        <f>ROUND(F30/(1+'数据-取费表'!C42),4)</f>
        <v>0</v>
      </c>
      <c r="D30" s="228" t="s">
        <v>1511</v>
      </c>
      <c r="E30" s="233"/>
      <c r="F30" s="229">
        <f>'数据-取费表'!B41</f>
        <v>0</v>
      </c>
      <c r="G30" s="226" t="s">
        <v>1517</v>
      </c>
    </row>
    <row r="31" spans="1:7" ht="16.5" customHeight="1">
      <c r="A31" s="201">
        <v>1</v>
      </c>
      <c r="B31" s="202" t="s">
        <v>1518</v>
      </c>
      <c r="C31" s="203" t="e">
        <f ca="1">ROUND((C5+C19+C20+C22+C27)/(1-C21-D22-D27-C30),0)</f>
        <v>#VALUE!</v>
      </c>
      <c r="D31" s="222"/>
      <c r="E31" s="203"/>
      <c r="F31" s="242"/>
      <c r="G31" s="226" t="s">
        <v>1519</v>
      </c>
    </row>
    <row r="32" spans="1:7" s="200" customFormat="1" ht="16">
      <c r="A32" s="244" t="s">
        <v>1586</v>
      </c>
      <c r="B32" s="245"/>
      <c r="C32" s="245"/>
      <c r="D32" s="245"/>
      <c r="E32" s="245"/>
      <c r="F32" s="245"/>
      <c r="G32" s="246"/>
    </row>
    <row r="33" spans="1:7" s="206" customFormat="1" ht="13.5" customHeight="1">
      <c r="A33" s="247" t="s">
        <v>337</v>
      </c>
      <c r="B33" s="202" t="s">
        <v>1587</v>
      </c>
      <c r="C33" s="248">
        <f ca="1">SUM(C34:C38)</f>
        <v>0</v>
      </c>
      <c r="D33" s="224"/>
      <c r="E33" s="204"/>
      <c r="F33" s="233"/>
      <c r="G33" s="226"/>
    </row>
    <row r="34" spans="1:7" s="250" customFormat="1" ht="13.5" customHeight="1">
      <c r="A34" s="734" t="s">
        <v>346</v>
      </c>
      <c r="B34" s="207" t="s">
        <v>1522</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1524</v>
      </c>
      <c r="C35" s="212">
        <f ca="1">ROUND(C34*F35,0)</f>
        <v>0</v>
      </c>
      <c r="D35" s="212"/>
      <c r="E35" s="212"/>
      <c r="F35" s="251">
        <f>'数据-取费表'!B33</f>
        <v>0</v>
      </c>
      <c r="G35" s="211" t="s">
        <v>1525</v>
      </c>
    </row>
    <row r="36" spans="1:7" ht="26">
      <c r="A36" s="734"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4" t="s">
        <v>353</v>
      </c>
      <c r="B37" s="207" t="s">
        <v>1528</v>
      </c>
      <c r="C37" s="241">
        <f ca="1">ROUND(E37*D37,0)</f>
        <v>0</v>
      </c>
      <c r="D37" s="209">
        <f ca="1">D19</f>
        <v>3730.1800000000003</v>
      </c>
      <c r="E37" s="241">
        <f>'数据-取费表'!B35</f>
        <v>0</v>
      </c>
      <c r="F37" s="251"/>
      <c r="G37" s="253"/>
    </row>
    <row r="38" spans="1:7" ht="13.5" customHeight="1">
      <c r="A38" s="734" t="s">
        <v>354</v>
      </c>
      <c r="B38" s="207" t="s">
        <v>1530</v>
      </c>
      <c r="C38" s="212">
        <f ca="1">ROUND(C34*F38,0)</f>
        <v>0</v>
      </c>
      <c r="D38" s="212"/>
      <c r="E38" s="212"/>
      <c r="F38" s="251">
        <f>'数据-取费表'!B36</f>
        <v>0</v>
      </c>
      <c r="G38" s="211" t="s">
        <v>1525</v>
      </c>
    </row>
    <row r="39" spans="1:7" s="206" customFormat="1" ht="13.5" customHeight="1">
      <c r="A39" s="247" t="s">
        <v>1531</v>
      </c>
      <c r="B39" s="202" t="s">
        <v>1532</v>
      </c>
      <c r="C39" s="224">
        <f ca="1">ROUND(C33*F20,0)</f>
        <v>0</v>
      </c>
      <c r="D39" s="224"/>
      <c r="E39" s="224"/>
      <c r="F39" s="225">
        <f>F20</f>
        <v>0</v>
      </c>
      <c r="G39" s="226" t="s">
        <v>1533</v>
      </c>
    </row>
    <row r="40" spans="1:7" s="206" customFormat="1" ht="13.5" customHeight="1">
      <c r="A40" s="247" t="s">
        <v>1534</v>
      </c>
      <c r="B40" s="202" t="s">
        <v>1535</v>
      </c>
      <c r="C40" s="227">
        <f>F21</f>
        <v>0</v>
      </c>
      <c r="D40" s="228" t="s">
        <v>1536</v>
      </c>
      <c r="E40" s="224"/>
      <c r="F40" s="225">
        <f>F21</f>
        <v>0</v>
      </c>
      <c r="G40" s="226" t="s">
        <v>1537</v>
      </c>
    </row>
    <row r="41" spans="1:7" s="206" customFormat="1" ht="13.5" customHeight="1">
      <c r="A41" s="247" t="s">
        <v>1538</v>
      </c>
      <c r="B41" s="202" t="s">
        <v>1539</v>
      </c>
      <c r="C41" s="224" t="e">
        <f ca="1">ROUND(SUM(C42:C43),0)</f>
        <v>#VALUE!</v>
      </c>
      <c r="D41" s="227" t="e">
        <f ca="1">C44</f>
        <v>#VALUE!</v>
      </c>
      <c r="E41" s="228" t="s">
        <v>1536</v>
      </c>
      <c r="F41" s="229" t="e">
        <f ca="1">F22</f>
        <v>#VALUE!</v>
      </c>
      <c r="G41" s="226" t="str">
        <f>IF('数据-取费表'!B22&lt;=1,"单利计息","复利计息")</f>
        <v>单利计息</v>
      </c>
    </row>
    <row r="42" spans="1:7" ht="13.5" customHeight="1">
      <c r="A42" s="734" t="s">
        <v>346</v>
      </c>
      <c r="B42" s="207" t="s">
        <v>1540</v>
      </c>
      <c r="C42" s="230" t="e">
        <f ca="1">ROUND(IF('数据-取费表'!B22&lt;=1,C33*F22*'数据-取费表'!B20/2,C33*(POWER((1+F22),'数据-取费表'!B20/2)-1)),0)</f>
        <v>#VALUE!</v>
      </c>
      <c r="D42" s="230"/>
      <c r="E42" s="230"/>
      <c r="F42" s="231"/>
      <c r="G42" s="3393" t="s">
        <v>1588</v>
      </c>
    </row>
    <row r="43" spans="1:7" ht="13.5" customHeight="1">
      <c r="A43" s="734" t="s">
        <v>347</v>
      </c>
      <c r="B43" s="207" t="s">
        <v>1542</v>
      </c>
      <c r="C43" s="230" t="e">
        <f ca="1">ROUND(IF('数据-取费表'!B22&lt;=1,C39*F22*'数据-取费表'!B20/2,C39*(POWER((1+F22),'数据-取费表'!B20/2)-1)),0)</f>
        <v>#VALUE!</v>
      </c>
      <c r="D43" s="230"/>
      <c r="E43" s="230"/>
      <c r="F43" s="231"/>
      <c r="G43" s="3394"/>
    </row>
    <row r="44" spans="1:7" ht="13.5" customHeight="1">
      <c r="A44" s="734" t="s">
        <v>348</v>
      </c>
      <c r="B44" s="207" t="s">
        <v>1543</v>
      </c>
      <c r="C44" s="230" t="e">
        <f ca="1">ROUND(IF('数据-取费表'!B22&lt;=1,C40*F22*'数据-取费表'!B20/2,C40*(POWER((1+F22),'数据-取费表'!B20/2)-1)),4)</f>
        <v>#VALUE!</v>
      </c>
      <c r="D44" s="230"/>
      <c r="E44" s="230"/>
      <c r="F44" s="231"/>
      <c r="G44" s="3395"/>
    </row>
    <row r="45" spans="1:7" s="206" customFormat="1" ht="13.5" customHeight="1">
      <c r="A45" s="247" t="s">
        <v>1544</v>
      </c>
      <c r="B45" s="236" t="s">
        <v>1510</v>
      </c>
      <c r="C45" s="237" t="e">
        <f ca="1">C46</f>
        <v>#DIV/0!</v>
      </c>
      <c r="D45" s="227" t="e">
        <f ca="1">C47</f>
        <v>#DIV/0!</v>
      </c>
      <c r="E45" s="228" t="s">
        <v>1536</v>
      </c>
      <c r="F45" s="238" t="e">
        <f ca="1">F27</f>
        <v>#DIV/0!</v>
      </c>
      <c r="G45" s="239" t="s">
        <v>1545</v>
      </c>
    </row>
    <row r="46" spans="1:7" s="206" customFormat="1" ht="13.5" customHeight="1">
      <c r="A46" s="734" t="s">
        <v>346</v>
      </c>
      <c r="B46" s="240" t="s">
        <v>1546</v>
      </c>
      <c r="C46" s="241" t="e">
        <f ca="1">ROUND((C33+C39)*F27,0)</f>
        <v>#DIV/0!</v>
      </c>
      <c r="D46" s="255"/>
      <c r="E46" s="228"/>
      <c r="F46" s="238"/>
      <c r="G46" s="239"/>
    </row>
    <row r="47" spans="1:7" s="206" customFormat="1" ht="13.5" customHeight="1">
      <c r="A47" s="734" t="s">
        <v>347</v>
      </c>
      <c r="B47" s="240" t="s">
        <v>1547</v>
      </c>
      <c r="C47" s="230" t="e">
        <f ca="1">ROUND(C40*F27,4)</f>
        <v>#DIV/0!</v>
      </c>
      <c r="D47" s="255"/>
      <c r="E47" s="228"/>
      <c r="F47" s="238"/>
      <c r="G47" s="239"/>
    </row>
    <row r="48" spans="1:7" s="206" customFormat="1" ht="13.5" customHeight="1">
      <c r="A48" s="247" t="s">
        <v>1509</v>
      </c>
      <c r="B48" s="202" t="s">
        <v>1548</v>
      </c>
      <c r="C48" s="254">
        <f>ROUND(F30/(1+'数据-取费表'!C42),4)</f>
        <v>0</v>
      </c>
      <c r="D48" s="228" t="s">
        <v>1536</v>
      </c>
      <c r="E48" s="224"/>
      <c r="F48" s="229">
        <f>F30</f>
        <v>0</v>
      </c>
      <c r="G48" s="226" t="s">
        <v>1549</v>
      </c>
    </row>
    <row r="49" spans="1:7" ht="16.5" customHeight="1">
      <c r="A49" s="247" t="s">
        <v>1515</v>
      </c>
      <c r="B49" s="202" t="s">
        <v>1589</v>
      </c>
      <c r="C49" s="224" t="e">
        <f ca="1">ROUND((C33+C39+C41+C45)/(1-C40-D41-D45-C48),0)</f>
        <v>#VALUE!</v>
      </c>
      <c r="D49" s="224"/>
      <c r="E49" s="224"/>
      <c r="F49" s="256"/>
      <c r="G49" s="226" t="s">
        <v>1551</v>
      </c>
    </row>
    <row r="50" spans="1:7" s="250" customFormat="1" ht="13.5">
      <c r="A50" s="247" t="s">
        <v>1552</v>
      </c>
      <c r="B50" s="202" t="s">
        <v>1553</v>
      </c>
      <c r="C50" s="224"/>
      <c r="D50" s="224"/>
      <c r="E50" s="224"/>
      <c r="F50" s="256" t="e">
        <f>IF('数据-取费表'!B24=0,'数据-取费表'!N16,1)</f>
        <v>#DIV/0!</v>
      </c>
      <c r="G50" s="239"/>
    </row>
    <row r="51" spans="1:7" ht="16.5" customHeight="1">
      <c r="A51" s="247" t="s">
        <v>1555</v>
      </c>
      <c r="B51" s="202" t="s">
        <v>1590</v>
      </c>
      <c r="C51" s="224" t="e">
        <f ca="1">ROUND(C49*F50,0)</f>
        <v>#VALUE!</v>
      </c>
      <c r="D51" s="224"/>
      <c r="E51" s="224"/>
      <c r="F51" s="256"/>
      <c r="G51" s="226" t="s">
        <v>1557</v>
      </c>
    </row>
    <row r="52" spans="1:7" s="200" customFormat="1" ht="16.5" thickBot="1">
      <c r="A52" s="257" t="s">
        <v>1558</v>
      </c>
      <c r="B52" s="258"/>
      <c r="C52" s="259" t="e">
        <f ca="1">C31+C51</f>
        <v>#VALUE!</v>
      </c>
      <c r="D52" s="258"/>
      <c r="E52" s="258"/>
      <c r="F52" s="258"/>
      <c r="G52" s="260"/>
    </row>
    <row r="55" spans="1:7" ht="15.5">
      <c r="B55" s="262" t="s">
        <v>1559</v>
      </c>
      <c r="C55" s="263"/>
    </row>
    <row r="56" spans="1:7" ht="13">
      <c r="B56" s="265" t="s">
        <v>799</v>
      </c>
      <c r="C56" s="267" t="e">
        <f ca="1">1-C57</f>
        <v>#VALUE!</v>
      </c>
    </row>
    <row r="57" spans="1:7" ht="13">
      <c r="B57" s="265" t="s">
        <v>800</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1591</v>
      </c>
      <c r="B1" s="121"/>
      <c r="C1" s="1110"/>
      <c r="D1" s="1109"/>
      <c r="E1" s="2566"/>
      <c r="F1" s="2566"/>
      <c r="G1" s="2447"/>
      <c r="H1" s="2566"/>
      <c r="I1" s="2566"/>
      <c r="J1" s="2566"/>
      <c r="K1" s="2567">
        <f>MATCH(C1,'数据-取费表'!A6:A16,0)+5</f>
        <v>9</v>
      </c>
    </row>
    <row r="2" spans="1:33" ht="18" customHeight="1">
      <c r="A2" s="193" t="s">
        <v>1459</v>
      </c>
      <c r="B2" s="196" t="e">
        <f ca="1">C32</f>
        <v>#VALUE!</v>
      </c>
      <c r="C2" s="268" t="s">
        <v>1592</v>
      </c>
      <c r="D2" s="268"/>
      <c r="E2" s="2566"/>
      <c r="F2" s="2566"/>
      <c r="G2" s="2566"/>
      <c r="H2" s="2566"/>
      <c r="I2" s="2566"/>
      <c r="J2" s="2566"/>
      <c r="K2" s="2566"/>
    </row>
    <row r="3" spans="1:33" ht="18" customHeight="1" thickBot="1">
      <c r="A3" s="195" t="s">
        <v>1461</v>
      </c>
      <c r="B3" s="196" t="e">
        <f ca="1">ROUND(B2*10000/IF(C1="",'数据-汇总表'!E3,INDIRECT("'数据-取费表'!K"&amp;$K$1)),0)</f>
        <v>#VALUE!</v>
      </c>
      <c r="C3" s="268" t="s">
        <v>1593</v>
      </c>
      <c r="D3" s="268"/>
      <c r="E3" s="2566"/>
      <c r="F3" s="2566"/>
      <c r="G3" s="2566"/>
      <c r="H3" s="2566"/>
      <c r="I3" s="2566"/>
      <c r="J3" s="2566"/>
      <c r="K3" s="2566"/>
    </row>
    <row r="4" spans="1:33" s="739" customFormat="1" ht="16.5" customHeight="1">
      <c r="A4" s="736" t="s">
        <v>1594</v>
      </c>
      <c r="B4" s="737"/>
      <c r="C4" s="775">
        <f>SUM(C8:K8)</f>
        <v>0</v>
      </c>
      <c r="D4" s="737"/>
      <c r="E4" s="737"/>
      <c r="F4" s="737"/>
      <c r="G4" s="737"/>
      <c r="H4" s="737"/>
      <c r="I4" s="737"/>
      <c r="J4" s="737"/>
      <c r="K4" s="738"/>
    </row>
    <row r="5" spans="1:33" s="743" customFormat="1" ht="14">
      <c r="A5" s="740" t="s">
        <v>1595</v>
      </c>
      <c r="B5" s="741" t="s">
        <v>1596</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1597</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1600</v>
      </c>
      <c r="B8" s="156" t="s">
        <v>1601</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1602</v>
      </c>
      <c r="B9" s="737"/>
      <c r="C9" s="737"/>
      <c r="D9" s="737"/>
      <c r="E9" s="737"/>
      <c r="F9" s="737"/>
      <c r="G9" s="737"/>
      <c r="H9" s="737"/>
      <c r="I9" s="737"/>
      <c r="J9" s="737"/>
      <c r="K9" s="738"/>
    </row>
    <row r="10" spans="1:33" s="751" customFormat="1" ht="13.5" customHeight="1">
      <c r="A10" s="740" t="s">
        <v>1603</v>
      </c>
      <c r="B10" s="5" t="s">
        <v>1604</v>
      </c>
      <c r="C10" s="747" t="s">
        <v>1605</v>
      </c>
      <c r="D10" s="748" t="s">
        <v>1606</v>
      </c>
      <c r="E10" s="748" t="s">
        <v>1607</v>
      </c>
      <c r="F10" s="748" t="s">
        <v>1608</v>
      </c>
      <c r="G10" s="5"/>
      <c r="H10" s="749"/>
      <c r="I10" s="749"/>
      <c r="J10" s="749"/>
      <c r="K10" s="750"/>
    </row>
    <row r="11" spans="1:33" s="755" customFormat="1" ht="13.5" customHeight="1">
      <c r="A11" s="752" t="s">
        <v>635</v>
      </c>
      <c r="B11" s="753" t="s">
        <v>1609</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1610</v>
      </c>
      <c r="C12" s="21">
        <f ca="1">ROUND(C11*F12,0)</f>
        <v>0</v>
      </c>
      <c r="D12" s="754"/>
      <c r="E12" s="138"/>
      <c r="F12" s="764">
        <f>'数据-取费表'!B33</f>
        <v>0</v>
      </c>
      <c r="G12" s="5" t="s">
        <v>1611</v>
      </c>
      <c r="H12" s="749"/>
      <c r="I12" s="749"/>
      <c r="J12" s="749"/>
      <c r="K12" s="750"/>
    </row>
    <row r="13" spans="1:33" s="755" customFormat="1" ht="13.5" customHeight="1">
      <c r="A13" s="752" t="s">
        <v>637</v>
      </c>
      <c r="B13" s="753" t="s">
        <v>1612</v>
      </c>
      <c r="C13" s="21">
        <f ca="1">ROUND(IF(C1="",SUMIF('数据-取费表'!C:C,"住宅",'数据-取费表'!P:P)*F13,IF(INDIRECT("'数据-取费表'!c"&amp;$K$1)="住宅",INDIRECT("'数据-取费表'!P"&amp;$K$1)*F13,0)),0)</f>
        <v>0</v>
      </c>
      <c r="D13" s="796"/>
      <c r="E13" s="138"/>
      <c r="F13" s="764">
        <f>'数据-取费表'!B34</f>
        <v>0</v>
      </c>
      <c r="G13" s="5" t="s">
        <v>1613</v>
      </c>
      <c r="H13" s="749"/>
      <c r="I13" s="749"/>
      <c r="J13" s="749"/>
      <c r="K13" s="750"/>
    </row>
    <row r="14" spans="1:33" s="757" customFormat="1" ht="13.5" customHeight="1">
      <c r="A14" s="752" t="s">
        <v>638</v>
      </c>
      <c r="B14" s="753" t="s">
        <v>1614</v>
      </c>
      <c r="C14" s="21">
        <f ca="1">ROUND(D14*E14*F11/10000,0)</f>
        <v>0</v>
      </c>
      <c r="D14" s="796">
        <f ca="1">IF(C1="",'数据-汇总表'!E3,INDIRECT("'数据-取费表'!K"&amp;$K$1)+INDIRECT("'数据-取费表'!S"&amp;$K$1))</f>
        <v>3730.1800000000003</v>
      </c>
      <c r="E14" s="21">
        <f>'数据-取费表'!B35</f>
        <v>0</v>
      </c>
      <c r="F14" s="756"/>
      <c r="G14" s="5" t="s">
        <v>1615</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1616</v>
      </c>
      <c r="C15" s="763">
        <f ca="1">ROUND(C11*F15,0)</f>
        <v>0</v>
      </c>
      <c r="D15" s="758"/>
      <c r="E15" s="763"/>
      <c r="F15" s="764">
        <f>'数据-取费表'!B36</f>
        <v>0</v>
      </c>
      <c r="G15" s="123" t="s">
        <v>1617</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1618</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1619</v>
      </c>
      <c r="C17" s="21">
        <f ca="1">ROUND(D17*E17/10000,0)</f>
        <v>0</v>
      </c>
      <c r="D17" s="796">
        <f ca="1">D14</f>
        <v>3730.1800000000003</v>
      </c>
      <c r="E17" s="21">
        <f>'数据-取费表'!B32</f>
        <v>0</v>
      </c>
      <c r="F17" s="758"/>
      <c r="G17" s="123" t="s">
        <v>1620</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1621</v>
      </c>
      <c r="C18" s="21">
        <f ca="1">C19+C20-IF(C1="",'数据-取费表'!B29,IF(G18="已全部缴纳",C19+C20,H18))</f>
        <v>0</v>
      </c>
      <c r="D18" s="796"/>
      <c r="E18" s="21"/>
      <c r="F18" s="756"/>
      <c r="G18" s="1720"/>
      <c r="H18" s="1106"/>
      <c r="I18" s="1721" t="s">
        <v>1622</v>
      </c>
      <c r="J18" s="759"/>
      <c r="K18" s="760"/>
    </row>
    <row r="19" spans="1:33" s="755" customFormat="1" ht="13.5" customHeight="1">
      <c r="A19" s="752" t="s">
        <v>360</v>
      </c>
      <c r="B19" s="753" t="s">
        <v>1623</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1624</v>
      </c>
      <c r="C20" s="21">
        <f ca="1">ROUND(D20*E20/10000,0)</f>
        <v>0</v>
      </c>
      <c r="D20" s="796">
        <f ca="1">IF(C1="",'数据-汇总表'!E6,IF(INDIRECT("'数据-取费表'!c"&amp;$K$1)="住宅",INDIRECT("'数据-取费表'!s"&amp;$K$1),INDIRECT("'数据-取费表'!k"&amp;$K$1)+INDIRECT("'数据-取费表'!s"&amp;$K$1)))</f>
        <v>3730.1800000000003</v>
      </c>
      <c r="E20" s="21">
        <f>'数据-取费表'!B28</f>
        <v>0</v>
      </c>
      <c r="F20" s="756"/>
      <c r="G20" s="12"/>
      <c r="H20" s="761"/>
      <c r="I20" s="761"/>
      <c r="J20" s="761"/>
      <c r="K20" s="762"/>
    </row>
    <row r="21" spans="1:33" s="755" customFormat="1" ht="13.5" customHeight="1">
      <c r="A21" s="744" t="s">
        <v>357</v>
      </c>
      <c r="B21" s="765" t="s">
        <v>1625</v>
      </c>
      <c r="C21" s="766">
        <f ca="1">C16+C17+C18</f>
        <v>0</v>
      </c>
      <c r="D21" s="767"/>
      <c r="E21" s="273"/>
      <c r="F21" s="273"/>
      <c r="G21" s="123" t="s">
        <v>1626</v>
      </c>
      <c r="H21" s="759"/>
      <c r="I21" s="759"/>
      <c r="J21" s="759"/>
      <c r="K21" s="760"/>
    </row>
    <row r="22" spans="1:33" s="755" customFormat="1" ht="13.5" customHeight="1">
      <c r="A22" s="744" t="s">
        <v>1598</v>
      </c>
      <c r="B22" s="765" t="s">
        <v>1627</v>
      </c>
      <c r="C22" s="766">
        <f ca="1">ROUND(C21*F22,0)</f>
        <v>0</v>
      </c>
      <c r="D22" s="273"/>
      <c r="E22" s="273"/>
      <c r="F22" s="768">
        <f>'数据-取费表'!B37</f>
        <v>0</v>
      </c>
      <c r="G22" s="5" t="s">
        <v>1628</v>
      </c>
      <c r="H22" s="749"/>
      <c r="I22" s="749"/>
      <c r="J22" s="749"/>
      <c r="K22" s="750"/>
    </row>
    <row r="23" spans="1:33" s="755" customFormat="1" ht="13.5" customHeight="1">
      <c r="A23" s="744" t="s">
        <v>1600</v>
      </c>
      <c r="B23" s="765" t="s">
        <v>1629</v>
      </c>
      <c r="C23" s="766">
        <f ca="1">ROUND(C4*F23*F11,0)</f>
        <v>0</v>
      </c>
      <c r="D23" s="273"/>
      <c r="E23" s="273"/>
      <c r="F23" s="768">
        <f>'数据-取费表'!B38</f>
        <v>0</v>
      </c>
      <c r="G23" s="5" t="s">
        <v>1630</v>
      </c>
      <c r="H23" s="749"/>
      <c r="I23" s="749"/>
      <c r="J23" s="749"/>
      <c r="K23" s="750"/>
    </row>
    <row r="24" spans="1:33" s="755" customFormat="1" ht="13.5" customHeight="1">
      <c r="A24" s="744" t="s">
        <v>1631</v>
      </c>
      <c r="B24" s="765" t="s">
        <v>1632</v>
      </c>
      <c r="C24" s="272">
        <f>ROUND(F24/(1+'数据-取费表'!C42),4)</f>
        <v>0</v>
      </c>
      <c r="D24" s="273" t="s">
        <v>12</v>
      </c>
      <c r="E24" s="273"/>
      <c r="F24" s="768">
        <f>IF(项目基本情况!B8="出让",0,'数据-取费表'!B48+'数据-取费表'!B49)</f>
        <v>0</v>
      </c>
      <c r="G24" s="5" t="s">
        <v>1633</v>
      </c>
      <c r="H24" s="770"/>
      <c r="I24" s="770"/>
      <c r="J24" s="770"/>
      <c r="K24" s="55"/>
    </row>
    <row r="25" spans="1:33" s="755" customFormat="1" ht="13.5" customHeight="1">
      <c r="A25" s="744" t="s">
        <v>1634</v>
      </c>
      <c r="B25" s="767" t="s">
        <v>1635</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1636</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1637</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1638</v>
      </c>
      <c r="B28" s="1723" t="s">
        <v>1639</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1640</v>
      </c>
      <c r="C29" s="276" t="e">
        <f ca="1">ROUND((1+C24)*F28*'数据-取费表'!B24/'数据-取费表'!B20,4)</f>
        <v>#DIV/0!</v>
      </c>
      <c r="D29" s="276"/>
      <c r="E29" s="277"/>
      <c r="F29" s="282"/>
      <c r="G29" s="123" t="s">
        <v>1641</v>
      </c>
      <c r="H29" s="759"/>
      <c r="I29" s="759"/>
      <c r="J29" s="759"/>
      <c r="K29" s="760"/>
    </row>
    <row r="30" spans="1:33" s="283" customFormat="1" ht="13.5" customHeight="1">
      <c r="A30" s="752" t="s">
        <v>359</v>
      </c>
      <c r="B30" s="773" t="s">
        <v>1642</v>
      </c>
      <c r="C30" s="284" t="e">
        <f ca="1">ROUND((C21+C22+C23)*F28,0)</f>
        <v>#DIV/0!</v>
      </c>
      <c r="D30" s="276"/>
      <c r="E30" s="277"/>
      <c r="F30" s="282"/>
      <c r="G30" s="123"/>
      <c r="H30" s="759"/>
      <c r="I30" s="759"/>
      <c r="J30" s="759"/>
      <c r="K30" s="760"/>
    </row>
    <row r="31" spans="1:33" s="755" customFormat="1" ht="13.5" customHeight="1" thickBot="1">
      <c r="A31" s="1724" t="s">
        <v>1643</v>
      </c>
      <c r="B31" s="783" t="s">
        <v>1644</v>
      </c>
      <c r="C31" s="784">
        <f>ROUND(C4*F31/(1+'数据-取费表'!C42),0)</f>
        <v>0</v>
      </c>
      <c r="D31" s="785"/>
      <c r="E31" s="786"/>
      <c r="F31" s="787">
        <f>'数据-取费表'!B41</f>
        <v>0</v>
      </c>
      <c r="G31" s="788" t="s">
        <v>1645</v>
      </c>
      <c r="H31" s="789"/>
      <c r="I31" s="789"/>
      <c r="J31" s="789"/>
      <c r="K31" s="790"/>
    </row>
    <row r="32" spans="1:33" s="751" customFormat="1" ht="13.5" customHeight="1" thickBot="1">
      <c r="A32" s="449" t="s">
        <v>1646</v>
      </c>
      <c r="B32" s="779"/>
      <c r="C32" s="780" t="e">
        <f ca="1">ROUND((C4-C21-C22-C23-C25-C28-C31)/(1+C24+D25+D28),0)</f>
        <v>#VALUE!</v>
      </c>
      <c r="D32" s="779"/>
      <c r="E32" s="779"/>
      <c r="F32" s="779"/>
      <c r="G32" s="781" t="s">
        <v>1647</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874</v>
      </c>
      <c r="B1" s="663"/>
      <c r="C1" s="1287"/>
      <c r="D1" s="1271" t="s">
        <v>43</v>
      </c>
      <c r="E1" s="1272" t="s">
        <v>675</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801</v>
      </c>
      <c r="B2" s="1294" t="e">
        <f ca="1">C40+J29+L46</f>
        <v>#VALUE!</v>
      </c>
      <c r="C2" s="1289" t="s">
        <v>802</v>
      </c>
      <c r="D2" s="1289"/>
      <c r="E2" s="1295"/>
      <c r="F2" s="1296"/>
      <c r="G2" s="2477"/>
      <c r="H2" s="2467"/>
      <c r="I2" s="2467"/>
      <c r="J2" s="2467"/>
      <c r="K2" s="2468"/>
      <c r="L2" s="2467"/>
      <c r="M2" s="2467"/>
    </row>
    <row r="3" spans="1:37" ht="18" customHeight="1" thickBot="1">
      <c r="A3" s="1297" t="s">
        <v>803</v>
      </c>
      <c r="B3" s="1298">
        <f ca="1">IF(ISERROR(B2*10000/F43),0,ROUND(B2*10000/F43,0))</f>
        <v>0</v>
      </c>
      <c r="C3" s="1289" t="s">
        <v>804</v>
      </c>
      <c r="D3" s="1289"/>
      <c r="E3" s="1295"/>
      <c r="F3" s="1296"/>
      <c r="G3" s="2477"/>
      <c r="H3" s="649" t="s">
        <v>873</v>
      </c>
      <c r="I3" s="1290"/>
      <c r="J3" s="1290"/>
      <c r="K3" s="1291"/>
      <c r="L3" s="1290"/>
      <c r="M3" s="1290"/>
    </row>
    <row r="4" spans="1:37" ht="18" customHeight="1">
      <c r="A4" s="287" t="s">
        <v>684</v>
      </c>
      <c r="B4" s="288" t="s">
        <v>685</v>
      </c>
      <c r="C4" s="288" t="s">
        <v>686</v>
      </c>
      <c r="D4" s="288" t="s">
        <v>687</v>
      </c>
      <c r="E4" s="289" t="s">
        <v>688</v>
      </c>
      <c r="F4" s="290"/>
      <c r="G4" s="1292"/>
      <c r="H4" s="287" t="s">
        <v>684</v>
      </c>
      <c r="I4" s="288" t="s">
        <v>685</v>
      </c>
      <c r="J4" s="288" t="s">
        <v>686</v>
      </c>
      <c r="K4" s="288" t="s">
        <v>687</v>
      </c>
      <c r="L4" s="289" t="s">
        <v>688</v>
      </c>
      <c r="M4" s="290"/>
    </row>
    <row r="5" spans="1:37" ht="18" customHeight="1">
      <c r="A5" s="291">
        <v>1</v>
      </c>
      <c r="B5" s="292" t="s">
        <v>689</v>
      </c>
      <c r="C5" s="1007">
        <f ca="1">C6+C10+C12</f>
        <v>0</v>
      </c>
      <c r="D5" s="1273" t="s">
        <v>690</v>
      </c>
      <c r="E5" s="1008"/>
      <c r="F5" s="1009"/>
      <c r="G5" s="1292"/>
      <c r="H5" s="291">
        <v>1</v>
      </c>
      <c r="I5" s="292" t="s">
        <v>689</v>
      </c>
      <c r="J5" s="1007">
        <f ca="1">J6+J10+J12</f>
        <v>0</v>
      </c>
      <c r="K5" s="1273" t="s">
        <v>690</v>
      </c>
      <c r="L5" s="1008"/>
      <c r="M5" s="1009"/>
    </row>
    <row r="6" spans="1:37" ht="18" customHeight="1">
      <c r="A6" s="1006" t="s">
        <v>398</v>
      </c>
      <c r="B6" s="3398" t="s">
        <v>691</v>
      </c>
      <c r="C6" s="1011">
        <f ca="1">ROUND(F6*F8*F7*(1-F9)/10000,0)</f>
        <v>0</v>
      </c>
      <c r="D6" s="147" t="s">
        <v>2103</v>
      </c>
      <c r="E6" s="294" t="s">
        <v>693</v>
      </c>
      <c r="F6" s="295">
        <f ca="1">INDIRECT("'数据-取费表'!u"&amp;$G$1)</f>
        <v>0</v>
      </c>
      <c r="G6" s="1292"/>
      <c r="H6" s="1006" t="s">
        <v>398</v>
      </c>
      <c r="I6" s="3398" t="s">
        <v>691</v>
      </c>
      <c r="J6" s="293">
        <f ca="1">ROUND(M6*M8*M7*(1-M9)/10000,0)</f>
        <v>0</v>
      </c>
      <c r="K6" s="147" t="s">
        <v>2102</v>
      </c>
      <c r="L6" s="294" t="s">
        <v>693</v>
      </c>
      <c r="M6" s="295">
        <f ca="1">INDIRECT("'数据-取费表'!z"&amp;$G$1)</f>
        <v>0</v>
      </c>
    </row>
    <row r="7" spans="1:37" ht="18" customHeight="1">
      <c r="A7" s="1010"/>
      <c r="B7" s="3399"/>
      <c r="C7" s="1012"/>
      <c r="D7" s="299"/>
      <c r="E7" s="1013" t="s">
        <v>694</v>
      </c>
      <c r="F7" s="295">
        <f ca="1">IF(INDIRECT("'数据-取费表'!ah"&amp;$G$1)="",INDIRECT("'数据-取费表'!k"&amp;$G$1),INDIRECT("'数据-取费表'!ah"&amp;$G$1))</f>
        <v>0</v>
      </c>
      <c r="G7" s="1292"/>
      <c r="H7" s="296"/>
      <c r="I7" s="3399"/>
      <c r="J7" s="298"/>
      <c r="K7" s="299"/>
      <c r="L7" s="294" t="s">
        <v>694</v>
      </c>
      <c r="M7" s="295">
        <f ca="1">F7</f>
        <v>0</v>
      </c>
    </row>
    <row r="8" spans="1:37" ht="18" customHeight="1">
      <c r="A8" s="296"/>
      <c r="B8" s="3399"/>
      <c r="C8" s="298"/>
      <c r="D8" s="299"/>
      <c r="E8" s="294" t="s">
        <v>695</v>
      </c>
      <c r="F8" s="295">
        <f ca="1">INDIRECT("'数据-取费表'!ai"&amp;$G$1)</f>
        <v>0</v>
      </c>
      <c r="G8" s="1292"/>
      <c r="H8" s="296"/>
      <c r="I8" s="3399"/>
      <c r="J8" s="298"/>
      <c r="K8" s="299"/>
      <c r="L8" s="294" t="s">
        <v>695</v>
      </c>
      <c r="M8" s="295">
        <f ca="1">INDIRECT("'数据-取费表'!ai"&amp;$G$1)</f>
        <v>0</v>
      </c>
    </row>
    <row r="9" spans="1:37" ht="18" customHeight="1">
      <c r="A9" s="296"/>
      <c r="B9" s="3400"/>
      <c r="C9" s="298"/>
      <c r="D9" s="299"/>
      <c r="E9" s="294" t="s">
        <v>696</v>
      </c>
      <c r="F9" s="304">
        <f ca="1">INDIRECT("'数据-取费表'!w"&amp;$G$1)</f>
        <v>0</v>
      </c>
      <c r="G9" s="1292"/>
      <c r="H9" s="296"/>
      <c r="I9" s="3400"/>
      <c r="J9" s="298"/>
      <c r="K9" s="299"/>
      <c r="L9" s="305" t="s">
        <v>696</v>
      </c>
      <c r="M9" s="306">
        <f ca="1">INDIRECT("'数据-取费表'!ab"&amp;$G$1)</f>
        <v>0</v>
      </c>
    </row>
    <row r="10" spans="1:37" ht="18" customHeight="1">
      <c r="A10" s="1006" t="s">
        <v>402</v>
      </c>
      <c r="B10" s="1274" t="s">
        <v>697</v>
      </c>
      <c r="C10" s="308">
        <f ca="1">ROUND(IF(F10="押一",C6/12*F11,IF(F10="押二",C6/12*2*F11,IF(F10="押三",C6/12*3*F11,C11*F11))),0)</f>
        <v>0</v>
      </c>
      <c r="D10" s="150" t="s">
        <v>2111</v>
      </c>
      <c r="E10" s="305" t="s">
        <v>698</v>
      </c>
      <c r="F10" s="1053"/>
      <c r="G10" s="1292"/>
      <c r="H10" s="1006" t="s">
        <v>402</v>
      </c>
      <c r="I10" s="1274" t="s">
        <v>697</v>
      </c>
      <c r="J10" s="293">
        <f ca="1">ROUND(IF(M10="押一",J6/12*M11,IF(M10="押二",J6/12*2*M11,IF(M10="押三",J6/12*3*M11,J11*M11))),0)</f>
        <v>0</v>
      </c>
      <c r="K10" s="150" t="s">
        <v>2110</v>
      </c>
      <c r="L10" s="305" t="s">
        <v>698</v>
      </c>
      <c r="M10" s="1053"/>
    </row>
    <row r="11" spans="1:37" ht="18" customHeight="1">
      <c r="A11" s="300"/>
      <c r="B11" s="1275" t="s">
        <v>676</v>
      </c>
      <c r="C11" s="905"/>
      <c r="D11" s="1276"/>
      <c r="E11" s="305" t="s">
        <v>699</v>
      </c>
      <c r="F11" s="306">
        <f ca="1">'数据-取费表'!B39</f>
        <v>1.4999999999999999E-2</v>
      </c>
      <c r="G11" s="1292"/>
      <c r="H11" s="1014"/>
      <c r="I11" s="1275" t="s">
        <v>676</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t="e">
        <f ca="1">ROUND(C29*F13,0)</f>
        <v>#VALUE!</v>
      </c>
      <c r="D13" s="1018" t="s">
        <v>702</v>
      </c>
      <c r="E13" s="1018" t="s">
        <v>703</v>
      </c>
      <c r="F13" s="1019">
        <f ca="1">INDIRECT("'数据-取费表'!y"&amp;$G$1)</f>
        <v>0</v>
      </c>
      <c r="G13" s="1292"/>
      <c r="H13" s="1016">
        <v>2</v>
      </c>
      <c r="I13" s="1017" t="s">
        <v>701</v>
      </c>
      <c r="J13" s="1005" t="e">
        <f ca="1">ROUND(J14*J15,0)</f>
        <v>#VALUE!</v>
      </c>
      <c r="K13" s="1024" t="s">
        <v>702</v>
      </c>
      <c r="L13" s="1299"/>
      <c r="M13" s="1300"/>
    </row>
    <row r="14" spans="1:37" ht="18" customHeight="1">
      <c r="A14" s="928" t="s">
        <v>397</v>
      </c>
      <c r="B14" s="294" t="s">
        <v>704</v>
      </c>
      <c r="C14" s="310">
        <f ca="1">INDIRECT("'数据-取费表'!m"&amp;$G$1)+INDIRECT("'数据-取费表'!t"&amp;$G$1)</f>
        <v>0</v>
      </c>
      <c r="D14" s="1257" t="s">
        <v>705</v>
      </c>
      <c r="E14" s="1255"/>
      <c r="F14" s="311"/>
      <c r="G14" s="1292"/>
      <c r="H14" s="928" t="s">
        <v>398</v>
      </c>
      <c r="I14" s="294" t="s">
        <v>706</v>
      </c>
      <c r="J14" s="21" t="e">
        <f ca="1">C29</f>
        <v>#VALUE!</v>
      </c>
      <c r="K14" s="12"/>
      <c r="L14" s="759"/>
      <c r="M14" s="760"/>
    </row>
    <row r="15" spans="1:37" s="1304" customFormat="1" ht="18" customHeight="1" thickBot="1">
      <c r="A15" s="928" t="s">
        <v>399</v>
      </c>
      <c r="B15" s="294" t="s">
        <v>707</v>
      </c>
      <c r="C15" s="21">
        <f ca="1">ROUND(C14*F15,0)</f>
        <v>0</v>
      </c>
      <c r="D15" s="312" t="s">
        <v>708</v>
      </c>
      <c r="E15" s="312" t="s">
        <v>709</v>
      </c>
      <c r="F15" s="313">
        <f>'数据-取费表'!B33</f>
        <v>0</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ROUND(INDIRECT("'数据-取费表'!m"&amp;$G$1)*F16,0)</f>
        <v>0</v>
      </c>
      <c r="D16" s="294" t="s">
        <v>708</v>
      </c>
      <c r="E16" s="294" t="s">
        <v>709</v>
      </c>
      <c r="F16" s="314">
        <f ca="1">IF(INDIRECT("'数据-取费表'!c"&amp;$G$1)="住宅",'数据-取费表'!B34,0)</f>
        <v>0</v>
      </c>
      <c r="G16" s="1292"/>
      <c r="H16" s="1016" t="s">
        <v>393</v>
      </c>
      <c r="I16" s="1017" t="s">
        <v>711</v>
      </c>
      <c r="J16" s="302" t="e">
        <f ca="1">ROUND(J17+J22+J23+J24,0)</f>
        <v>#VALUE!</v>
      </c>
      <c r="K16" s="1024" t="s">
        <v>712</v>
      </c>
      <c r="L16" s="1025"/>
      <c r="M16" s="1009"/>
    </row>
    <row r="17" spans="1:37" s="1304" customFormat="1" ht="18" customHeight="1">
      <c r="A17" s="928" t="s">
        <v>678</v>
      </c>
      <c r="B17" s="294" t="s">
        <v>713</v>
      </c>
      <c r="C17" s="21">
        <f ca="1">ROUND(F17*(F43+INDIRECT("'数据-取费表'!S"&amp;$G$1))/10000,0)</f>
        <v>0</v>
      </c>
      <c r="D17" s="294" t="s">
        <v>714</v>
      </c>
      <c r="E17" s="294" t="s">
        <v>715</v>
      </c>
      <c r="F17" s="23">
        <f>'数据-取费表'!B35</f>
        <v>0</v>
      </c>
      <c r="G17" s="1303"/>
      <c r="H17" s="928" t="s">
        <v>398</v>
      </c>
      <c r="I17" s="294" t="s">
        <v>716</v>
      </c>
      <c r="J17" s="2140">
        <f ca="1">ROUND(IF(AND(项目基本情况!B11="自然人",项目基本情况!B10="北京市"),J6*M17/(1+'数据-取费表'!C42),J18+J19+J20),2)</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0</v>
      </c>
      <c r="D18" s="294" t="s">
        <v>708</v>
      </c>
      <c r="E18" s="294" t="s">
        <v>709</v>
      </c>
      <c r="F18" s="314">
        <f>'数据-取费表'!B36</f>
        <v>0</v>
      </c>
      <c r="G18" s="1303"/>
      <c r="H18" s="928" t="s">
        <v>397</v>
      </c>
      <c r="I18" s="294" t="s">
        <v>720</v>
      </c>
      <c r="J18" s="21">
        <f ca="1">ROUND(J6*M18/(1+'数据-取费表'!C42),2)</f>
        <v>0</v>
      </c>
      <c r="K18" s="1256" t="s">
        <v>721</v>
      </c>
      <c r="L18" s="294" t="s">
        <v>709</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0</v>
      </c>
      <c r="D19" s="123" t="s">
        <v>723</v>
      </c>
      <c r="E19" s="1269"/>
      <c r="F19" s="23"/>
      <c r="G19" s="1292"/>
      <c r="H19" s="928" t="s">
        <v>399</v>
      </c>
      <c r="I19" s="294" t="s">
        <v>724</v>
      </c>
      <c r="J19" s="21">
        <f ca="1">IF(K19="按租金收入计税",ROUND(J6*M19/(1+'数据-取费表'!C42),2),ROUND(C29*M19*0.7,2))</f>
        <v>0</v>
      </c>
      <c r="K19" s="1278" t="s">
        <v>3325</v>
      </c>
      <c r="L19" s="294" t="s">
        <v>709</v>
      </c>
      <c r="M19" s="314">
        <f>IF(K19="按租金收入计税",'数据-取费表'!B51,'数据-取费表'!B50)</f>
        <v>0.12</v>
      </c>
    </row>
    <row r="20" spans="1:37" s="1304" customFormat="1" ht="18" customHeight="1">
      <c r="A20" s="928" t="s">
        <v>402</v>
      </c>
      <c r="B20" s="294" t="s">
        <v>725</v>
      </c>
      <c r="C20" s="21">
        <f ca="1">ROUND(C19*F20,0)</f>
        <v>0</v>
      </c>
      <c r="D20" s="315" t="s">
        <v>726</v>
      </c>
      <c r="E20" s="294" t="s">
        <v>709</v>
      </c>
      <c r="F20" s="314">
        <f>'数据-取费表'!B37</f>
        <v>0</v>
      </c>
      <c r="G20" s="1303"/>
      <c r="H20" s="928" t="s">
        <v>677</v>
      </c>
      <c r="I20" s="147" t="s">
        <v>727</v>
      </c>
      <c r="J20" s="22">
        <f ca="1">ROUND(M20*M21/10000,2)</f>
        <v>0</v>
      </c>
      <c r="K20" s="316" t="s">
        <v>728</v>
      </c>
      <c r="L20" s="294" t="s">
        <v>729</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15</v>
      </c>
      <c r="D21" s="315" t="s">
        <v>731</v>
      </c>
      <c r="E21" s="294" t="s">
        <v>732</v>
      </c>
      <c r="F21" s="314">
        <f>'数据-取费表'!B38</f>
        <v>0</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单利计息。建造成本、管理费用、销售费用产生的利息。</v>
      </c>
      <c r="E22" s="1269"/>
      <c r="F22" s="23"/>
      <c r="G22" s="1292"/>
      <c r="H22" s="928" t="s">
        <v>402</v>
      </c>
      <c r="I22" s="294" t="s">
        <v>735</v>
      </c>
      <c r="J22" s="21" t="e">
        <f ca="1">ROUND(J14*M22,2)</f>
        <v>#VALUE!</v>
      </c>
      <c r="K22" s="1256" t="s">
        <v>736</v>
      </c>
      <c r="L22" s="294" t="s">
        <v>709</v>
      </c>
      <c r="M22" s="320">
        <f ca="1">INDIRECT("'数据-取费表'!Ak"&amp;$G$1)</f>
        <v>0</v>
      </c>
    </row>
    <row r="23" spans="1:37" s="1304" customFormat="1" ht="18" customHeight="1">
      <c r="A23" s="928" t="s">
        <v>397</v>
      </c>
      <c r="B23" s="294" t="s">
        <v>737</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738</v>
      </c>
      <c r="F23" s="317">
        <f>'数据-取费表'!B20</f>
        <v>0</v>
      </c>
      <c r="G23" s="1303"/>
      <c r="H23" s="928" t="s">
        <v>437</v>
      </c>
      <c r="I23" s="294" t="s">
        <v>739</v>
      </c>
      <c r="J23" s="21" t="e">
        <f ca="1">ROUND(J13*M23,2)</f>
        <v>#VALUE!</v>
      </c>
      <c r="K23" s="1256" t="s">
        <v>740</v>
      </c>
      <c r="L23" s="294" t="s">
        <v>741</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t="e">
        <f ca="1">ROUND(IF('数据-取费表'!B22&lt;=1,F21*F24*F23/2,F21*(POWER((1+F24),F23/2)-1)),4)</f>
        <v>#VALUE!</v>
      </c>
      <c r="D24" s="138" t="str">
        <f>IF(F23&lt;=1,"销售费用×利率×(建设周期÷2)","销售费用×((1+利率)^(建设周期÷2)-1)")</f>
        <v>销售费用×利率×(建设周期÷2)</v>
      </c>
      <c r="E24" s="294" t="s">
        <v>744</v>
      </c>
      <c r="F24" s="322" t="e">
        <f ca="1">'数据-取费表'!B40</f>
        <v>#VALUE!</v>
      </c>
      <c r="G24" s="1303"/>
      <c r="H24" s="1026" t="s">
        <v>681</v>
      </c>
      <c r="I24" s="1027" t="s">
        <v>725</v>
      </c>
      <c r="J24" s="1028">
        <f ca="1">ROUND(J5*M24,2)</f>
        <v>0</v>
      </c>
      <c r="K24" s="1029" t="s">
        <v>745</v>
      </c>
      <c r="L24" s="1027" t="s">
        <v>741</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746</v>
      </c>
      <c r="B25" s="294" t="s">
        <v>747</v>
      </c>
      <c r="C25" s="21"/>
      <c r="D25" s="123" t="s">
        <v>748</v>
      </c>
      <c r="E25" s="1269"/>
      <c r="F25" s="23"/>
      <c r="G25" s="1292"/>
      <c r="H25" s="1016" t="s">
        <v>394</v>
      </c>
      <c r="I25" s="1031" t="s">
        <v>749</v>
      </c>
      <c r="J25" s="302" t="e">
        <f ca="1">J5-J16</f>
        <v>#VALUE!</v>
      </c>
      <c r="K25" s="1032" t="s">
        <v>750</v>
      </c>
      <c r="L25" s="1033"/>
      <c r="M25" s="1034"/>
    </row>
    <row r="26" spans="1:37" ht="13">
      <c r="A26" s="928" t="s">
        <v>397</v>
      </c>
      <c r="B26" s="294" t="s">
        <v>751</v>
      </c>
      <c r="C26" s="21">
        <f ca="1">ROUND((C19+C20)*F26,0)</f>
        <v>0</v>
      </c>
      <c r="D26" s="315" t="s">
        <v>752</v>
      </c>
      <c r="E26" s="305" t="s">
        <v>753</v>
      </c>
      <c r="F26" s="304">
        <f ca="1">INDIRECT("'数据-取费表'!q"&amp;$G$1)</f>
        <v>0</v>
      </c>
      <c r="G26" s="1292"/>
      <c r="H26" s="291" t="s">
        <v>395</v>
      </c>
      <c r="I26" s="292" t="s">
        <v>754</v>
      </c>
      <c r="J26" s="293">
        <f ca="1">IF(J5&lt;&gt;0,ROUND(J25*(1-((1+M28)/(1+M26))^M27)/(M26-M28),0),0)</f>
        <v>0</v>
      </c>
      <c r="K26" s="316" t="s">
        <v>755</v>
      </c>
      <c r="L26" s="294" t="s">
        <v>756</v>
      </c>
      <c r="M26" s="304">
        <f ca="1">INDIRECT("'数据-取费表'!I"&amp;$G$1)</f>
        <v>0</v>
      </c>
    </row>
    <row r="27" spans="1:37" ht="18" customHeight="1">
      <c r="A27" s="928" t="s">
        <v>399</v>
      </c>
      <c r="B27" s="294" t="s">
        <v>757</v>
      </c>
      <c r="C27" s="21">
        <f ca="1">ROUND(F21*F26,4)</f>
        <v>0</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0</v>
      </c>
      <c r="D28" s="315" t="s">
        <v>762</v>
      </c>
      <c r="E28" s="294" t="s">
        <v>709</v>
      </c>
      <c r="F28" s="314">
        <f>'数据-取费表'!B41</f>
        <v>0</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t="e">
        <f ca="1">ROUND((C19+C20+C23+C26)/(1-F21-C24-C27-C28),0)</f>
        <v>#VALUE!</v>
      </c>
      <c r="D29" s="1029"/>
      <c r="E29" s="1027"/>
      <c r="F29" s="1030"/>
      <c r="G29" s="1303"/>
      <c r="H29" s="325" t="s">
        <v>396</v>
      </c>
      <c r="I29" s="326" t="s">
        <v>765</v>
      </c>
      <c r="J29" s="327">
        <f ca="1">ROUND(J26/(1+F40)^F41,0)</f>
        <v>0</v>
      </c>
      <c r="K29" s="328" t="s">
        <v>766</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t="e">
        <f ca="1">ROUND(C31+C36+C37+C38,0)</f>
        <v>#VALUE!</v>
      </c>
      <c r="D30" s="1024" t="s">
        <v>712</v>
      </c>
      <c r="E30" s="1025"/>
      <c r="F30" s="1009"/>
      <c r="G30" s="1292"/>
      <c r="H30" s="2469"/>
      <c r="I30" s="1305"/>
      <c r="J30" s="1306"/>
      <c r="K30" s="121"/>
      <c r="L30" s="2470"/>
      <c r="M30" s="2471"/>
    </row>
    <row r="31" spans="1:37" ht="18" customHeight="1">
      <c r="A31" s="928" t="s">
        <v>398</v>
      </c>
      <c r="B31" s="294" t="s">
        <v>716</v>
      </c>
      <c r="C31" s="2140">
        <f ca="1">ROUND(IF(AND(项目基本情况!B11="自然人",项目基本情况!B10="北京市"),C6*F31/(1+'数据-取费表'!C42),C32+C33+C34),2)</f>
        <v>0</v>
      </c>
      <c r="D31" s="1257" t="s">
        <v>717</v>
      </c>
      <c r="E31" s="1256" t="s">
        <v>767</v>
      </c>
      <c r="F31" s="2139" t="str">
        <f>IF(项目基本情况!B11="企业","——",IF(M47="住宅",IF(F6*F7*F8/12/(1+'数据-取费表'!F30)&gt;100000,4%,2.5%),IF(F6*F7*F8/12/(1+'数据-取费表'!F30)&gt;100000,12%,7%)))</f>
        <v>——</v>
      </c>
      <c r="G31" s="1292"/>
      <c r="H31" s="2568" t="s">
        <v>2297</v>
      </c>
      <c r="I31" s="1305"/>
      <c r="J31" s="1306"/>
      <c r="K31" s="121"/>
      <c r="L31" s="2470"/>
      <c r="M31" s="2471"/>
    </row>
    <row r="32" spans="1:37" ht="18" customHeight="1">
      <c r="A32" s="928" t="s">
        <v>397</v>
      </c>
      <c r="B32" s="294" t="s">
        <v>720</v>
      </c>
      <c r="C32" s="21">
        <f ca="1">IF(项目基本情况!B11="自然人","——",ROUND(C6*F32/(1+'数据-取费表'!C42),2))</f>
        <v>0</v>
      </c>
      <c r="D32" s="1256" t="s">
        <v>721</v>
      </c>
      <c r="E32" s="294" t="s">
        <v>709</v>
      </c>
      <c r="F32" s="322">
        <f>'数据-取费表'!B41</f>
        <v>0</v>
      </c>
      <c r="G32" s="1292"/>
      <c r="H32" s="2469"/>
      <c r="I32" s="1305"/>
      <c r="J32" s="1306"/>
      <c r="K32" s="121"/>
      <c r="L32" s="2470"/>
      <c r="M32" s="2471"/>
    </row>
    <row r="33" spans="1:18" ht="18" customHeight="1">
      <c r="A33" s="928" t="s">
        <v>399</v>
      </c>
      <c r="B33" s="294" t="s">
        <v>724</v>
      </c>
      <c r="C33" s="21">
        <f ca="1">IF(项目基本情况!B11="自然人","——",IF(D33="按租金收入计税",ROUND(C6*F33/(1+'数据-取费表'!C42),2),IF(D33="按房产原值计税",ROUND(C29*F33*0.7,2),INDIRECT("'数据-取费表'!Aj"&amp;$G$1))))</f>
        <v>0</v>
      </c>
      <c r="D33" s="1278" t="s">
        <v>3325</v>
      </c>
      <c r="E33" s="294" t="s">
        <v>709</v>
      </c>
      <c r="F33" s="314">
        <f>IF(D33="按票据","——",IF(D33="按租金收入计税",'数据-取费表'!B51,'数据-取费表'!B50))</f>
        <v>0.12</v>
      </c>
      <c r="G33" s="1292"/>
      <c r="H33" s="2472"/>
      <c r="I33" s="1305"/>
      <c r="J33" s="1306"/>
      <c r="K33" s="2473"/>
      <c r="L33" s="2472"/>
      <c r="M33" s="2472"/>
    </row>
    <row r="34" spans="1:18" ht="18" customHeight="1">
      <c r="A34" s="1006" t="s">
        <v>677</v>
      </c>
      <c r="B34" s="147" t="s">
        <v>727</v>
      </c>
      <c r="C34" s="22">
        <f ca="1">IF(项目基本情况!B11="自然人","——",ROUND(F34*F35/10000,2))</f>
        <v>0</v>
      </c>
      <c r="D34" s="316" t="s">
        <v>728</v>
      </c>
      <c r="E34" s="294" t="s">
        <v>729</v>
      </c>
      <c r="F34" s="317">
        <f>'数据-取费表'!B52</f>
        <v>0</v>
      </c>
      <c r="G34" s="1292"/>
      <c r="H34" s="2469"/>
      <c r="I34" s="1305"/>
      <c r="J34" s="1306"/>
      <c r="K34" s="2474"/>
      <c r="L34" s="2475"/>
      <c r="M34" s="2475"/>
    </row>
    <row r="35" spans="1:18" ht="18" customHeight="1">
      <c r="A35" s="1040"/>
      <c r="B35" s="1038"/>
      <c r="C35" s="26"/>
      <c r="D35" s="319"/>
      <c r="E35" s="294" t="s">
        <v>733</v>
      </c>
      <c r="F35" s="295">
        <f ca="1">INDIRECT("'数据-取费表'!r"&amp;$G$1)</f>
        <v>0</v>
      </c>
      <c r="G35" s="1292"/>
      <c r="H35" s="2469"/>
      <c r="I35" s="1305"/>
      <c r="J35" s="1306"/>
      <c r="K35" s="2473"/>
      <c r="L35" s="2472"/>
      <c r="M35" s="2472"/>
    </row>
    <row r="36" spans="1:18" ht="18" customHeight="1">
      <c r="A36" s="1039" t="s">
        <v>402</v>
      </c>
      <c r="B36" s="294" t="s">
        <v>735</v>
      </c>
      <c r="C36" s="21" t="e">
        <f ca="1">ROUND(C29*F36,2)</f>
        <v>#VALUE!</v>
      </c>
      <c r="D36" s="1256" t="s">
        <v>768</v>
      </c>
      <c r="E36" s="294" t="s">
        <v>709</v>
      </c>
      <c r="F36" s="320">
        <f ca="1">INDIRECT("'数据-取费表'!Ak"&amp;$G$1)</f>
        <v>0</v>
      </c>
      <c r="G36" s="1292"/>
      <c r="H36" s="2472"/>
      <c r="I36" s="1305"/>
      <c r="J36" s="1306"/>
      <c r="K36" s="2329"/>
      <c r="L36" s="2472"/>
      <c r="M36" s="2472"/>
    </row>
    <row r="37" spans="1:18" ht="18" customHeight="1">
      <c r="A37" s="928" t="s">
        <v>437</v>
      </c>
      <c r="B37" s="294" t="s">
        <v>739</v>
      </c>
      <c r="C37" s="21" t="e">
        <f ca="1">ROUND(C13*F37,2)</f>
        <v>#VALUE!</v>
      </c>
      <c r="D37" s="1256" t="s">
        <v>740</v>
      </c>
      <c r="E37" s="294" t="s">
        <v>741</v>
      </c>
      <c r="F37" s="321">
        <f ca="1">INDIRECT("'数据-取费表'!Al"&amp;$G$1)</f>
        <v>0</v>
      </c>
      <c r="G37" s="1292"/>
      <c r="H37" s="2472"/>
      <c r="I37" s="1305"/>
      <c r="J37" s="1306"/>
      <c r="K37" s="2329"/>
      <c r="L37" s="2472"/>
      <c r="M37" s="2472"/>
    </row>
    <row r="38" spans="1:18" ht="18" customHeight="1" thickBot="1">
      <c r="A38" s="1026" t="s">
        <v>681</v>
      </c>
      <c r="B38" s="1027" t="s">
        <v>725</v>
      </c>
      <c r="C38" s="1028">
        <f ca="1">ROUND(C5*F38,2)</f>
        <v>0</v>
      </c>
      <c r="D38" s="1029" t="s">
        <v>745</v>
      </c>
      <c r="E38" s="1027" t="s">
        <v>741</v>
      </c>
      <c r="F38" s="1023">
        <f ca="1">INDIRECT("'数据-取费表'!Am"&amp;$G$1)</f>
        <v>0</v>
      </c>
      <c r="G38" s="1292"/>
      <c r="H38" s="2472"/>
      <c r="I38" s="1305"/>
      <c r="J38" s="1306"/>
      <c r="K38" s="2470"/>
      <c r="L38" s="2472"/>
      <c r="M38" s="2472"/>
    </row>
    <row r="39" spans="1:18" ht="24.65" customHeight="1" thickTop="1">
      <c r="A39" s="1016" t="s">
        <v>394</v>
      </c>
      <c r="B39" s="1031" t="s">
        <v>769</v>
      </c>
      <c r="C39" s="302" t="e">
        <f ca="1">C5-C30</f>
        <v>#VALUE!</v>
      </c>
      <c r="D39" s="1032" t="s">
        <v>770</v>
      </c>
      <c r="E39" s="1033"/>
      <c r="F39" s="1034"/>
      <c r="G39" s="1292"/>
      <c r="H39" s="2472"/>
      <c r="I39" s="1305"/>
      <c r="J39" s="1306"/>
      <c r="K39" s="2470"/>
      <c r="L39" s="2472"/>
      <c r="M39" s="2472"/>
    </row>
    <row r="40" spans="1:18" ht="18" customHeight="1">
      <c r="A40" s="291" t="s">
        <v>395</v>
      </c>
      <c r="B40" s="292" t="s">
        <v>771</v>
      </c>
      <c r="C40" s="293" t="e">
        <f ca="1">ROUND(C39*(1-((1+F42)/(1+F40))^F41)/(F40-F42),0)</f>
        <v>#VALUE!</v>
      </c>
      <c r="D40" s="316" t="s">
        <v>755</v>
      </c>
      <c r="E40" s="294" t="s">
        <v>756</v>
      </c>
      <c r="F40" s="304">
        <f ca="1">INDIRECT("'数据-取费表'!I"&amp;$G$1)</f>
        <v>0</v>
      </c>
      <c r="G40" s="1292"/>
      <c r="H40" s="1366"/>
      <c r="I40" s="1305"/>
      <c r="J40" s="1306"/>
      <c r="K40" s="2470"/>
      <c r="L40" s="1366"/>
      <c r="M40" s="1366"/>
    </row>
    <row r="41" spans="1:18" ht="18" customHeight="1">
      <c r="A41" s="296"/>
      <c r="B41" s="297"/>
      <c r="C41" s="298"/>
      <c r="D41" s="323" t="s">
        <v>772</v>
      </c>
      <c r="E41" s="294" t="s">
        <v>760</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763</v>
      </c>
      <c r="F42" s="304">
        <f ca="1">INDIRECT("'数据-取费表'!v"&amp;$G$1)</f>
        <v>0</v>
      </c>
      <c r="G42" s="1292"/>
      <c r="H42" s="121"/>
      <c r="I42" s="1305"/>
      <c r="J42" s="1306"/>
      <c r="K42" s="2329"/>
      <c r="L42" s="121"/>
      <c r="M42" s="121"/>
    </row>
    <row r="43" spans="1:18" ht="18" customHeight="1" thickBot="1">
      <c r="A43" s="325" t="s">
        <v>396</v>
      </c>
      <c r="B43" s="326" t="s">
        <v>773</v>
      </c>
      <c r="C43" s="327" t="e">
        <f ca="1">ROUND(C40*10000/F43,0)</f>
        <v>#VALUE!</v>
      </c>
      <c r="D43" s="328" t="s">
        <v>774</v>
      </c>
      <c r="E43" s="329" t="s">
        <v>775</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805</v>
      </c>
      <c r="P45" s="1366"/>
      <c r="Q45" s="1366"/>
      <c r="R45" s="1366"/>
    </row>
    <row r="46" spans="1:18" s="1292" customFormat="1" ht="14" thickBot="1">
      <c r="A46" s="1311" t="s">
        <v>806</v>
      </c>
      <c r="C46" s="1312" t="e">
        <f ca="1">C68-C40</f>
        <v>#VALUE!</v>
      </c>
      <c r="D46" s="1313" t="str">
        <f>C2</f>
        <v>万元</v>
      </c>
      <c r="E46" s="1307"/>
      <c r="F46" s="1307"/>
      <c r="I46" s="1314" t="s">
        <v>807</v>
      </c>
      <c r="J46" s="1315"/>
      <c r="K46" s="1316"/>
      <c r="L46" s="1317" t="e">
        <f ca="1">IF(M47="住宅",0,IF(L48&gt;J51,L60,J60))</f>
        <v>#VALUE!</v>
      </c>
      <c r="O46" s="1318" t="s">
        <v>808</v>
      </c>
      <c r="P46" s="1319" t="s">
        <v>809</v>
      </c>
      <c r="Q46" s="1320" t="s">
        <v>810</v>
      </c>
      <c r="R46" s="1320" t="s">
        <v>811</v>
      </c>
    </row>
    <row r="47" spans="1:18" s="1292" customFormat="1" ht="13.5" thickBot="1">
      <c r="A47" s="892" t="s">
        <v>684</v>
      </c>
      <c r="B47" s="924" t="s">
        <v>685</v>
      </c>
      <c r="C47" s="1054" t="s">
        <v>686</v>
      </c>
      <c r="D47" s="924" t="s">
        <v>687</v>
      </c>
      <c r="E47" s="995" t="s">
        <v>688</v>
      </c>
      <c r="F47" s="996"/>
      <c r="G47" s="681"/>
      <c r="I47" s="1321" t="s">
        <v>812</v>
      </c>
      <c r="J47" s="1322"/>
      <c r="K47" s="1323" t="s">
        <v>813</v>
      </c>
      <c r="L47" s="1324">
        <f ca="1">INDIRECT("'数据-取费表'!d"&amp;$G$1)</f>
        <v>0</v>
      </c>
      <c r="M47" s="1288" t="str">
        <f>IF(ISNUMBER(FIND("住宅",C1)),"住宅","非住宅")</f>
        <v>非住宅</v>
      </c>
      <c r="O47" s="1325" t="s">
        <v>403</v>
      </c>
      <c r="P47" s="1326" t="s">
        <v>814</v>
      </c>
      <c r="Q47" s="1327" t="e">
        <f ca="1">C40+J29</f>
        <v>#VALUE!</v>
      </c>
      <c r="R47" s="1327" t="s">
        <v>815</v>
      </c>
    </row>
    <row r="48" spans="1:18" s="1292" customFormat="1" ht="43.5" thickBot="1">
      <c r="A48" s="1047" t="s">
        <v>438</v>
      </c>
      <c r="B48" s="292" t="s">
        <v>689</v>
      </c>
      <c r="C48" s="1268">
        <f ca="1">C49+C53+C55</f>
        <v>0</v>
      </c>
      <c r="D48" s="1049"/>
      <c r="E48" s="1050"/>
      <c r="F48" s="908"/>
      <c r="G48" s="681"/>
      <c r="H48" s="682"/>
      <c r="I48" s="1328" t="s">
        <v>816</v>
      </c>
      <c r="J48" s="1329"/>
      <c r="K48" s="1330" t="s">
        <v>817</v>
      </c>
      <c r="L48" s="1331">
        <f ca="1">INDIRECT("'数据-取费表'!f"&amp;$G$1)</f>
        <v>0</v>
      </c>
      <c r="O48" s="1325" t="s">
        <v>404</v>
      </c>
      <c r="P48" s="1326" t="s">
        <v>818</v>
      </c>
      <c r="Q48" s="1327" t="e">
        <f ca="1">J60</f>
        <v>#VALUE!</v>
      </c>
      <c r="R48" s="1327" t="s">
        <v>819</v>
      </c>
    </row>
    <row r="49" spans="1:18" s="1292" customFormat="1" ht="13.5" thickBot="1">
      <c r="A49" s="921" t="s">
        <v>439</v>
      </c>
      <c r="B49" s="1279" t="s">
        <v>776</v>
      </c>
      <c r="C49" s="1051">
        <f ca="1">ROUND(F49*F51*F50*(1-F52)/10000,0)</f>
        <v>0</v>
      </c>
      <c r="D49" s="992" t="s">
        <v>2104</v>
      </c>
      <c r="E49" s="1280" t="s">
        <v>777</v>
      </c>
      <c r="F49" s="997"/>
      <c r="H49" s="682"/>
      <c r="I49" s="1328" t="s">
        <v>820</v>
      </c>
      <c r="J49" s="1332"/>
      <c r="K49" s="1330" t="s">
        <v>821</v>
      </c>
      <c r="L49" s="1333"/>
      <c r="O49" s="1334" t="s">
        <v>405</v>
      </c>
      <c r="P49" s="1326" t="s">
        <v>822</v>
      </c>
      <c r="Q49" s="1327" t="e">
        <f ca="1">C29</f>
        <v>#VALUE!</v>
      </c>
      <c r="R49" s="1327" t="s">
        <v>815</v>
      </c>
    </row>
    <row r="50" spans="1:18" s="1292" customFormat="1" ht="13.5" thickBot="1">
      <c r="A50" s="922"/>
      <c r="B50" s="925"/>
      <c r="C50" s="1055"/>
      <c r="D50" s="899"/>
      <c r="E50" s="993" t="s">
        <v>694</v>
      </c>
      <c r="F50" s="994">
        <f ca="1">F7</f>
        <v>0</v>
      </c>
      <c r="H50" s="682"/>
      <c r="I50" s="1328" t="s">
        <v>823</v>
      </c>
      <c r="J50" s="1335">
        <f>SUMPRODUCT((I63:I65=J47)*(J62:L62=J48)*(J63:L65))</f>
        <v>0</v>
      </c>
      <c r="K50" s="1330" t="s">
        <v>824</v>
      </c>
      <c r="L50" s="1333"/>
      <c r="M50" s="1336"/>
      <c r="O50" s="1334" t="s">
        <v>406</v>
      </c>
      <c r="P50" s="1326" t="s">
        <v>825</v>
      </c>
      <c r="Q50" s="1337" t="e">
        <f ca="1">J58</f>
        <v>#DIV/0!</v>
      </c>
      <c r="R50" s="1327"/>
    </row>
    <row r="51" spans="1:18" s="1292" customFormat="1" ht="13.5" thickBot="1">
      <c r="A51" s="923"/>
      <c r="B51" s="925"/>
      <c r="C51" s="926"/>
      <c r="D51" s="899"/>
      <c r="E51" s="927" t="s">
        <v>695</v>
      </c>
      <c r="F51" s="295">
        <f ca="1">F8</f>
        <v>0</v>
      </c>
      <c r="I51" s="1338" t="s">
        <v>826</v>
      </c>
      <c r="J51" s="1331">
        <f>IF(J49="",J50,J49+J50-YEAR('数据-取费表'!B2))</f>
        <v>0</v>
      </c>
      <c r="K51" s="1339" t="s">
        <v>827</v>
      </c>
      <c r="L51" s="1340" t="e">
        <f ca="1">ROUND(-PV(INDIRECT("'数据-取费表'!h"&amp;$G$1),J51,(C39-C13*C76),0),0)</f>
        <v>#VALUE!</v>
      </c>
      <c r="M51" s="1341"/>
      <c r="O51" s="1334" t="s">
        <v>407</v>
      </c>
      <c r="P51" s="1326" t="s">
        <v>828</v>
      </c>
      <c r="Q51" s="1337">
        <f>J52</f>
        <v>0</v>
      </c>
      <c r="R51" s="1327"/>
    </row>
    <row r="52" spans="1:18" s="1292" customFormat="1" ht="13.5" thickBot="1">
      <c r="A52" s="923"/>
      <c r="B52" s="925"/>
      <c r="C52" s="926"/>
      <c r="D52" s="899"/>
      <c r="E52" s="927" t="s">
        <v>696</v>
      </c>
      <c r="F52" s="991"/>
      <c r="I52" s="1342" t="s">
        <v>829</v>
      </c>
      <c r="J52" s="1343"/>
      <c r="K52" s="1342" t="s">
        <v>830</v>
      </c>
      <c r="L52" s="1343"/>
      <c r="O52" s="1334" t="s">
        <v>408</v>
      </c>
      <c r="P52" s="1326" t="s">
        <v>831</v>
      </c>
      <c r="Q52" s="1327">
        <f ca="1">J53</f>
        <v>0</v>
      </c>
      <c r="R52" s="1327" t="s">
        <v>832</v>
      </c>
    </row>
    <row r="53" spans="1:18" s="1292" customFormat="1" ht="26.5" thickBot="1">
      <c r="A53" s="1079" t="s">
        <v>440</v>
      </c>
      <c r="B53" s="1281" t="s">
        <v>697</v>
      </c>
      <c r="C53" s="308">
        <f ca="1">ROUND(IF(F53="押一",C49/12*F11,IF(F53="押二",C49/12*2*F11,IF(F53="押三",C49/12*3*F11,C54*F11))),0)</f>
        <v>0</v>
      </c>
      <c r="D53" s="150" t="s">
        <v>2110</v>
      </c>
      <c r="E53" s="305" t="s">
        <v>698</v>
      </c>
      <c r="F53" s="1053"/>
      <c r="I53" s="1344" t="s">
        <v>833</v>
      </c>
      <c r="J53" s="2006">
        <f ca="1">IF(M47="住宅",IF(D1="——",MAX(J51,L48),MAX(J51,L48-'数据-取费表'!B24)),IF(D1="——",MIN(J51,L48),MIN(J51,L48-'数据-取费表'!B24)))</f>
        <v>0</v>
      </c>
      <c r="K53" s="3396" t="s">
        <v>834</v>
      </c>
      <c r="L53" s="3397"/>
      <c r="O53" s="1325" t="s">
        <v>409</v>
      </c>
      <c r="P53" s="1326" t="s">
        <v>835</v>
      </c>
      <c r="Q53" s="1327" t="e">
        <f ca="1">Q47+Q48</f>
        <v>#VALUE!</v>
      </c>
      <c r="R53" s="1327" t="s">
        <v>410</v>
      </c>
    </row>
    <row r="54" spans="1:18" s="1292" customFormat="1" ht="26.5" thickBot="1">
      <c r="A54" s="1080"/>
      <c r="B54" s="1275" t="s">
        <v>676</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t="e">
        <f ca="1">ROUND(IF(J47="钢混",J57/J50,1-(1-2%)*(J50-J57)/J50),3)</f>
        <v>#DIV/0!</v>
      </c>
      <c r="K55" s="1350" t="s">
        <v>838</v>
      </c>
      <c r="L55" s="1351"/>
      <c r="O55" s="1318" t="s">
        <v>808</v>
      </c>
      <c r="P55" s="1319" t="s">
        <v>809</v>
      </c>
      <c r="Q55" s="1320" t="s">
        <v>810</v>
      </c>
      <c r="R55" s="1320" t="s">
        <v>811</v>
      </c>
    </row>
    <row r="56" spans="1:18" s="1292" customFormat="1" ht="40" thickTop="1" thickBot="1">
      <c r="A56" s="903">
        <v>2</v>
      </c>
      <c r="B56" s="904" t="s">
        <v>701</v>
      </c>
      <c r="C56" s="224" t="e">
        <f ca="1">C13</f>
        <v>#VALUE!</v>
      </c>
      <c r="D56" s="1352"/>
      <c r="E56" s="1353"/>
      <c r="F56" s="1345"/>
      <c r="I56" s="1354" t="s">
        <v>839</v>
      </c>
      <c r="J56" s="1355"/>
      <c r="K56" s="1328" t="s">
        <v>840</v>
      </c>
      <c r="L56" s="1331">
        <f ca="1">IF(L48&lt;J51,"——",L48-J53)</f>
        <v>0</v>
      </c>
      <c r="O56" s="1325" t="s">
        <v>403</v>
      </c>
      <c r="P56" s="1326" t="s">
        <v>814</v>
      </c>
      <c r="Q56" s="1327" t="e">
        <f ca="1">C40+J29</f>
        <v>#VALUE!</v>
      </c>
      <c r="R56" s="1327" t="s">
        <v>815</v>
      </c>
    </row>
    <row r="57" spans="1:18" s="1292" customFormat="1" ht="26.5" thickBot="1">
      <c r="A57" s="1356"/>
      <c r="B57" s="896" t="s">
        <v>764</v>
      </c>
      <c r="C57" s="230" t="e">
        <f ca="1">C29</f>
        <v>#VALUE!</v>
      </c>
      <c r="D57" s="1357"/>
      <c r="E57" s="1358"/>
      <c r="F57" s="1359"/>
      <c r="I57" s="1360" t="s">
        <v>841</v>
      </c>
      <c r="J57" s="1361">
        <f ca="1">IF(OR(M47="住宅",J51&lt;L48,J56="是"),"——",J51-L48)</f>
        <v>0</v>
      </c>
      <c r="K57" s="1328" t="s">
        <v>842</v>
      </c>
      <c r="L57" s="1331" t="e">
        <f ca="1">IF(L48&lt;J51,"——",IF(L55="比较法",L49,IF(L55="基准地价",L50,L51)))</f>
        <v>#VALUE!</v>
      </c>
      <c r="O57" s="1325" t="s">
        <v>404</v>
      </c>
      <c r="P57" s="1326" t="s">
        <v>843</v>
      </c>
      <c r="Q57" s="1327" t="e">
        <f ca="1">L60</f>
        <v>#VALUE!</v>
      </c>
      <c r="R57" s="1327" t="s">
        <v>844</v>
      </c>
    </row>
    <row r="58" spans="1:18" s="1292" customFormat="1" ht="26.5" thickBot="1">
      <c r="A58" s="307" t="s">
        <v>393</v>
      </c>
      <c r="B58" s="904" t="s">
        <v>711</v>
      </c>
      <c r="C58" s="308" t="e">
        <f ca="1">ROUND(C59+C64+C65+C66,0)</f>
        <v>#VALUE!</v>
      </c>
      <c r="D58" s="906" t="s">
        <v>712</v>
      </c>
      <c r="E58" s="907"/>
      <c r="F58" s="908"/>
      <c r="I58" s="1360" t="s">
        <v>845</v>
      </c>
      <c r="J58" s="1362" t="e">
        <f ca="1">IF(J55&lt;0.4,0.4,J55)</f>
        <v>#DIV/0!</v>
      </c>
      <c r="K58" s="1339" t="s">
        <v>846</v>
      </c>
      <c r="L58" s="1331" t="e">
        <f ca="1">ROUND(POWER(1+L52,L47-L48)*(POWER(1+L52,L48)-1)/(POWER(1+L52,L47)-1),4)</f>
        <v>#DIV/0!</v>
      </c>
      <c r="O58" s="1334" t="s">
        <v>405</v>
      </c>
      <c r="P58" s="1326" t="s">
        <v>847</v>
      </c>
      <c r="Q58" s="1327">
        <f>IF(L55="比较法",L49,IF(L55="基准地价",L50,0))</f>
        <v>0</v>
      </c>
      <c r="R58" s="1327" t="s">
        <v>815</v>
      </c>
    </row>
    <row r="59" spans="1:18" s="1292" customFormat="1" ht="26.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849</v>
      </c>
      <c r="Q59" s="1337">
        <f>L52</f>
        <v>0</v>
      </c>
      <c r="R59" s="1327"/>
    </row>
    <row r="60" spans="1:18" s="1292" customFormat="1" ht="16" thickBot="1">
      <c r="A60" s="928" t="s">
        <v>397</v>
      </c>
      <c r="B60" s="896" t="s">
        <v>720</v>
      </c>
      <c r="C60" s="21">
        <f ca="1">IF(项目基本情况!B11="自然人","——",ROUND(C48*F60/(1+'数据-取费表'!C42),2))</f>
        <v>0</v>
      </c>
      <c r="D60" s="910" t="s">
        <v>721</v>
      </c>
      <c r="E60" s="896" t="s">
        <v>709</v>
      </c>
      <c r="F60" s="322">
        <f t="shared" ref="F60:F66" si="0">F32</f>
        <v>0</v>
      </c>
      <c r="I60" s="1363" t="s">
        <v>850</v>
      </c>
      <c r="J60" s="1364" t="e">
        <f ca="1">IF(OR(M47="住宅",J51&lt;L48,J56="是"),"0",ROUND(J59/(1+J52)^J53,0))</f>
        <v>#VALUE!</v>
      </c>
      <c r="K60" s="1365" t="s">
        <v>851</v>
      </c>
      <c r="L60" s="1364" t="e">
        <f ca="1">IF(OR(M47="住宅",L48&lt;J51),0,ROUND(L57*(L58/L59-1),0))</f>
        <v>#VALUE!</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IF(项目基本情况!B11="自然人","——",IF(D61="按租金收入计税",ROUND(C49*F61/(1+'数据-取费表'!C42),2),IF(D61="按房产原值计税",ROUND(C57*F61*0.7,2),INDIRECT("'数据-取费表'!Aj"&amp;$G$1))))</f>
        <v>0</v>
      </c>
      <c r="D61" s="1278" t="s">
        <v>3325</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IF(项目基本情况!B11="自然人","——",ROUND(F62*F63/10000,2))</f>
        <v>0</v>
      </c>
      <c r="D62" s="911" t="s">
        <v>783</v>
      </c>
      <c r="E62" s="896" t="s">
        <v>784</v>
      </c>
      <c r="F62" s="317">
        <f t="shared" si="0"/>
        <v>0</v>
      </c>
      <c r="I62" s="1367" t="s">
        <v>855</v>
      </c>
      <c r="J62" s="610" t="s">
        <v>856</v>
      </c>
      <c r="K62" s="610" t="s">
        <v>857</v>
      </c>
      <c r="L62" s="610" t="s">
        <v>858</v>
      </c>
      <c r="M62" s="1368" t="s">
        <v>859</v>
      </c>
      <c r="O62" s="1325" t="s">
        <v>409</v>
      </c>
      <c r="P62" s="1326" t="s">
        <v>860</v>
      </c>
      <c r="Q62" s="1327" t="e">
        <f ca="1">Q56+Q57</f>
        <v>#VALUE!</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t="e">
        <f ca="1">ROUND(C57*F64,2)</f>
        <v>#VALUE!</v>
      </c>
      <c r="D64" s="910" t="s">
        <v>788</v>
      </c>
      <c r="E64" s="896" t="s">
        <v>780</v>
      </c>
      <c r="F64" s="320">
        <f t="shared" ca="1" si="0"/>
        <v>0</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t="e">
        <f ca="1">ROUND(C56*F65,2)</f>
        <v>#VALUE!</v>
      </c>
      <c r="D65" s="910" t="s">
        <v>740</v>
      </c>
      <c r="E65" s="896" t="s">
        <v>741</v>
      </c>
      <c r="F65" s="321">
        <f t="shared" ca="1" si="0"/>
        <v>0</v>
      </c>
      <c r="I65" s="1367" t="s">
        <v>864</v>
      </c>
      <c r="J65" s="610">
        <v>40</v>
      </c>
      <c r="K65" s="610">
        <v>30</v>
      </c>
      <c r="L65" s="610">
        <v>50</v>
      </c>
      <c r="M65" s="1369">
        <v>0.02</v>
      </c>
      <c r="O65" s="1325" t="s">
        <v>403</v>
      </c>
      <c r="P65" s="1326" t="s">
        <v>865</v>
      </c>
      <c r="Q65" s="1327" t="e">
        <f ca="1">C40+J29</f>
        <v>#VALUE!</v>
      </c>
      <c r="R65" s="1327" t="s">
        <v>815</v>
      </c>
    </row>
    <row r="66" spans="1:18" s="1292" customFormat="1" ht="16" thickBot="1">
      <c r="A66" s="928" t="s">
        <v>790</v>
      </c>
      <c r="B66" s="896" t="s">
        <v>725</v>
      </c>
      <c r="C66" s="21">
        <f ca="1">ROUND(C48*F66,2)</f>
        <v>0</v>
      </c>
      <c r="D66" s="910" t="s">
        <v>791</v>
      </c>
      <c r="E66" s="896" t="s">
        <v>709</v>
      </c>
      <c r="F66" s="304">
        <f t="shared" ca="1" si="0"/>
        <v>0</v>
      </c>
      <c r="O66" s="1325" t="s">
        <v>404</v>
      </c>
      <c r="P66" s="1326" t="s">
        <v>843</v>
      </c>
      <c r="Q66" s="1327" t="e">
        <f ca="1">L60</f>
        <v>#VALUE!</v>
      </c>
      <c r="R66" s="1327" t="s">
        <v>866</v>
      </c>
    </row>
    <row r="67" spans="1:18" s="1292" customFormat="1" ht="26.5" thickBot="1">
      <c r="A67" s="903" t="s">
        <v>394</v>
      </c>
      <c r="B67" s="913" t="s">
        <v>749</v>
      </c>
      <c r="C67" s="308" t="e">
        <f ca="1">C48-C58</f>
        <v>#VALUE!</v>
      </c>
      <c r="D67" s="909" t="s">
        <v>750</v>
      </c>
      <c r="E67" s="914"/>
      <c r="F67" s="915"/>
      <c r="O67" s="1334" t="s">
        <v>405</v>
      </c>
      <c r="P67" s="1326" t="s">
        <v>847</v>
      </c>
      <c r="Q67" s="1370" t="e">
        <f ca="1">L51</f>
        <v>#VALUE!</v>
      </c>
      <c r="R67" s="1327" t="s">
        <v>867</v>
      </c>
    </row>
    <row r="68" spans="1:18" s="1292" customFormat="1" ht="16" thickBot="1">
      <c r="A68" s="893" t="s">
        <v>395</v>
      </c>
      <c r="B68" s="894" t="s">
        <v>771</v>
      </c>
      <c r="C68" s="293" t="e">
        <f ca="1">ROUND(C67*(1-((1+F70)/(1+F68))^F69)/(F68-F70),0)</f>
        <v>#VALUE!</v>
      </c>
      <c r="D68" s="911" t="s">
        <v>755</v>
      </c>
      <c r="E68" s="896" t="s">
        <v>756</v>
      </c>
      <c r="F68" s="304">
        <f ca="1">F40</f>
        <v>0</v>
      </c>
      <c r="O68" s="1334" t="s">
        <v>406</v>
      </c>
      <c r="P68" s="1371" t="s">
        <v>868</v>
      </c>
      <c r="Q68" s="1327" t="e">
        <f ca="1">ROUND(Q69-Q70*Q71,0)</f>
        <v>#VALUE!</v>
      </c>
      <c r="R68" s="1327" t="s">
        <v>414</v>
      </c>
    </row>
    <row r="69" spans="1:18" s="1292" customFormat="1" ht="13.5" thickBot="1">
      <c r="A69" s="897"/>
      <c r="B69" s="898"/>
      <c r="C69" s="298"/>
      <c r="D69" s="916" t="s">
        <v>759</v>
      </c>
      <c r="E69" s="896" t="s">
        <v>760</v>
      </c>
      <c r="F69" s="324">
        <f ca="1">F41</f>
        <v>0</v>
      </c>
      <c r="O69" s="1334" t="s">
        <v>411</v>
      </c>
      <c r="P69" s="1371" t="s">
        <v>869</v>
      </c>
      <c r="Q69" s="1327" t="e">
        <f ca="1">C39</f>
        <v>#VALUE!</v>
      </c>
      <c r="R69" s="1327" t="s">
        <v>815</v>
      </c>
    </row>
    <row r="70" spans="1:18" s="1292" customFormat="1" ht="13.5" thickBot="1">
      <c r="A70" s="900"/>
      <c r="B70" s="901"/>
      <c r="C70" s="302"/>
      <c r="D70" s="912"/>
      <c r="E70" s="896" t="s">
        <v>763</v>
      </c>
      <c r="F70" s="991"/>
      <c r="O70" s="1334" t="s">
        <v>412</v>
      </c>
      <c r="P70" s="1371" t="s">
        <v>870</v>
      </c>
      <c r="Q70" s="1327" t="e">
        <f ca="1">C13</f>
        <v>#VALUE!</v>
      </c>
      <c r="R70" s="1327" t="s">
        <v>815</v>
      </c>
    </row>
    <row r="71" spans="1:18" s="1292" customFormat="1" ht="13.5" thickBot="1">
      <c r="A71" s="917" t="s">
        <v>396</v>
      </c>
      <c r="B71" s="918" t="s">
        <v>773</v>
      </c>
      <c r="C71" s="327" t="e">
        <f ca="1">ROUND(C68*10000/F71,0)</f>
        <v>#VALUE!</v>
      </c>
      <c r="D71" s="919" t="s">
        <v>774</v>
      </c>
      <c r="E71" s="920" t="s">
        <v>775</v>
      </c>
      <c r="F71" s="330">
        <f ca="1">F43</f>
        <v>0</v>
      </c>
      <c r="O71" s="1334" t="s">
        <v>413</v>
      </c>
      <c r="P71" s="1371" t="s">
        <v>871</v>
      </c>
      <c r="Q71" s="1337">
        <f ca="1">C76</f>
        <v>0</v>
      </c>
      <c r="R71" s="1327"/>
    </row>
    <row r="72" spans="1:18" s="1292" customFormat="1" ht="13.5" thickBot="1">
      <c r="B72" s="685"/>
      <c r="C72" s="685"/>
      <c r="O72" s="1334" t="s">
        <v>407</v>
      </c>
      <c r="P72" s="1326" t="s">
        <v>849</v>
      </c>
      <c r="Q72" s="1337">
        <f>L52</f>
        <v>0</v>
      </c>
      <c r="R72" s="1327"/>
    </row>
    <row r="73" spans="1:18" ht="16"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t="e">
        <f ca="1">ROUND(C13*C76,0)</f>
        <v>#VALUE!</v>
      </c>
      <c r="D75" s="1292"/>
      <c r="E75" s="1292"/>
      <c r="F75" s="1292"/>
      <c r="K75" s="1309"/>
      <c r="L75" s="1292"/>
      <c r="O75" s="1325" t="s">
        <v>409</v>
      </c>
      <c r="P75" s="1326" t="s">
        <v>835</v>
      </c>
      <c r="Q75" s="1327" t="e">
        <f ca="1">Q65+Q66</f>
        <v>#VALUE!</v>
      </c>
      <c r="R75" s="1327" t="s">
        <v>410</v>
      </c>
    </row>
    <row r="76" spans="1:18" ht="13">
      <c r="B76" s="333" t="s">
        <v>793</v>
      </c>
      <c r="C76" s="334">
        <f ca="1">INDIRECT("'数据-取费表'!j"&amp;$G$1)</f>
        <v>0</v>
      </c>
      <c r="I76" s="1292"/>
      <c r="J76" s="1292"/>
      <c r="K76" s="1309"/>
      <c r="L76" s="1292"/>
    </row>
    <row r="77" spans="1:18" ht="13.5">
      <c r="B77" s="335" t="s">
        <v>794</v>
      </c>
      <c r="C77" s="336"/>
      <c r="I77" s="1292"/>
      <c r="J77" s="1292"/>
      <c r="K77" s="1309"/>
      <c r="L77" s="1292"/>
    </row>
    <row r="78" spans="1:18" ht="13.5">
      <c r="B78" s="262" t="s">
        <v>795</v>
      </c>
      <c r="C78" s="337"/>
    </row>
    <row r="79" spans="1:18" ht="13">
      <c r="B79" s="331" t="s">
        <v>796</v>
      </c>
      <c r="C79" s="266" t="e">
        <f ca="1">1-C80</f>
        <v>#VALUE!</v>
      </c>
    </row>
    <row r="80" spans="1:18" ht="13">
      <c r="B80" s="331" t="s">
        <v>797</v>
      </c>
      <c r="C80" s="266" t="e">
        <f ca="1">ROUND(C75/C39,3)</f>
        <v>#VALUE!</v>
      </c>
    </row>
    <row r="81" spans="2:3" ht="13.5">
      <c r="B81" s="262" t="s">
        <v>798</v>
      </c>
      <c r="C81" s="230"/>
    </row>
    <row r="82" spans="2:3" ht="13">
      <c r="B82" s="265" t="s">
        <v>799</v>
      </c>
      <c r="C82" s="267" t="e">
        <f ca="1">1-C83</f>
        <v>#VALUE!</v>
      </c>
    </row>
    <row r="83" spans="2:3" ht="13">
      <c r="B83" s="265" t="s">
        <v>800</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874</v>
      </c>
      <c r="B1" s="663"/>
      <c r="C1" s="1287"/>
      <c r="D1" s="1271" t="s">
        <v>43</v>
      </c>
      <c r="E1" s="1272" t="s">
        <v>675</v>
      </c>
      <c r="F1" s="999">
        <f ca="1">J53</f>
        <v>0</v>
      </c>
      <c r="G1" s="1286">
        <f>MATCH(C1,'数据-取费表'!A6:A16,0)+5</f>
        <v>9</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875</v>
      </c>
      <c r="B2" s="3122" t="e">
        <f ca="1">ROUND(D2/10000,4)</f>
        <v>#VALUE!</v>
      </c>
      <c r="C2" s="1289" t="s">
        <v>876</v>
      </c>
      <c r="D2" s="1375" t="e">
        <f ca="1">C40+J29+L46</f>
        <v>#VALUE!</v>
      </c>
      <c r="E2" s="1295" t="s">
        <v>877</v>
      </c>
      <c r="F2" s="1296"/>
      <c r="G2" s="2477"/>
      <c r="H2" s="2467"/>
      <c r="I2" s="2467"/>
      <c r="J2" s="2467"/>
      <c r="K2" s="2468"/>
      <c r="L2" s="2467"/>
      <c r="M2" s="2467"/>
    </row>
    <row r="3" spans="1:37" ht="18" customHeight="1" thickBot="1">
      <c r="A3" s="1297" t="s">
        <v>878</v>
      </c>
      <c r="B3" s="1298">
        <f ca="1">IF(ISERROR(D2/F43),0,ROUND(D2/F43,0))</f>
        <v>0</v>
      </c>
      <c r="C3" s="1289" t="s">
        <v>879</v>
      </c>
      <c r="D3" s="1289"/>
      <c r="E3" s="1295"/>
      <c r="F3" s="1296"/>
      <c r="G3" s="2477"/>
      <c r="H3" s="649" t="s">
        <v>873</v>
      </c>
      <c r="I3" s="1290"/>
      <c r="J3" s="1290"/>
      <c r="K3" s="1291"/>
      <c r="L3" s="1290"/>
      <c r="M3" s="1290"/>
    </row>
    <row r="4" spans="1:37" ht="18" customHeight="1">
      <c r="A4" s="287" t="s">
        <v>880</v>
      </c>
      <c r="B4" s="288" t="s">
        <v>881</v>
      </c>
      <c r="C4" s="288" t="s">
        <v>882</v>
      </c>
      <c r="D4" s="288" t="s">
        <v>883</v>
      </c>
      <c r="E4" s="289" t="s">
        <v>884</v>
      </c>
      <c r="F4" s="290"/>
      <c r="G4" s="1292"/>
      <c r="H4" s="287" t="s">
        <v>880</v>
      </c>
      <c r="I4" s="288" t="s">
        <v>881</v>
      </c>
      <c r="J4" s="288" t="s">
        <v>882</v>
      </c>
      <c r="K4" s="288" t="s">
        <v>883</v>
      </c>
      <c r="L4" s="289" t="s">
        <v>884</v>
      </c>
      <c r="M4" s="290"/>
    </row>
    <row r="5" spans="1:37" ht="18" customHeight="1">
      <c r="A5" s="291">
        <v>1</v>
      </c>
      <c r="B5" s="292" t="s">
        <v>885</v>
      </c>
      <c r="C5" s="1007">
        <f ca="1">C6+C10+C12</f>
        <v>0</v>
      </c>
      <c r="D5" s="1273" t="s">
        <v>886</v>
      </c>
      <c r="E5" s="1008"/>
      <c r="F5" s="1009"/>
      <c r="G5" s="1292"/>
      <c r="H5" s="291">
        <v>1</v>
      </c>
      <c r="I5" s="292" t="s">
        <v>885</v>
      </c>
      <c r="J5" s="1007">
        <f ca="1">J6+J10+J12</f>
        <v>0</v>
      </c>
      <c r="K5" s="1273" t="s">
        <v>886</v>
      </c>
      <c r="L5" s="1008"/>
      <c r="M5" s="1009"/>
    </row>
    <row r="6" spans="1:37" ht="18" customHeight="1">
      <c r="A6" s="1006" t="s">
        <v>398</v>
      </c>
      <c r="B6" s="3398" t="s">
        <v>691</v>
      </c>
      <c r="C6" s="1011">
        <f ca="1">ROUND(F6*F8*F7*(1-F9),0)</f>
        <v>0</v>
      </c>
      <c r="D6" s="147" t="s">
        <v>2100</v>
      </c>
      <c r="E6" s="294" t="s">
        <v>693</v>
      </c>
      <c r="F6" s="295">
        <f ca="1">INDIRECT("'数据-取费表'!u"&amp;$G$1)</f>
        <v>0</v>
      </c>
      <c r="G6" s="1292"/>
      <c r="H6" s="1006" t="s">
        <v>398</v>
      </c>
      <c r="I6" s="3398" t="s">
        <v>691</v>
      </c>
      <c r="J6" s="293">
        <f ca="1">ROUND(M6*M8*M7*(1-M9),0)</f>
        <v>0</v>
      </c>
      <c r="K6" s="1284" t="s">
        <v>2101</v>
      </c>
      <c r="L6" s="294" t="s">
        <v>693</v>
      </c>
      <c r="M6" s="295">
        <f ca="1">INDIRECT("'数据-取费表'!z"&amp;$G$1)</f>
        <v>0</v>
      </c>
    </row>
    <row r="7" spans="1:37" ht="18" customHeight="1">
      <c r="A7" s="1010"/>
      <c r="B7" s="3399"/>
      <c r="C7" s="1012"/>
      <c r="D7" s="299"/>
      <c r="E7" s="1013" t="s">
        <v>694</v>
      </c>
      <c r="F7" s="295">
        <f ca="1">IF(INDIRECT("'数据-取费表'!ah"&amp;$G$1)="",INDIRECT("'数据-取费表'!k"&amp;$G$1),INDIRECT("'数据-取费表'!ah"&amp;$G$1))</f>
        <v>0</v>
      </c>
      <c r="G7" s="1292"/>
      <c r="H7" s="296"/>
      <c r="I7" s="3399"/>
      <c r="J7" s="298"/>
      <c r="K7" s="299"/>
      <c r="L7" s="294" t="s">
        <v>694</v>
      </c>
      <c r="M7" s="295">
        <f ca="1">F7</f>
        <v>0</v>
      </c>
    </row>
    <row r="8" spans="1:37" ht="18" customHeight="1">
      <c r="A8" s="296"/>
      <c r="B8" s="3399"/>
      <c r="C8" s="298"/>
      <c r="D8" s="299"/>
      <c r="E8" s="294" t="s">
        <v>695</v>
      </c>
      <c r="F8" s="295">
        <f ca="1">INDIRECT("'数据-取费表'!ai"&amp;$G$1)</f>
        <v>0</v>
      </c>
      <c r="G8" s="1292"/>
      <c r="H8" s="296"/>
      <c r="I8" s="3399"/>
      <c r="J8" s="298"/>
      <c r="K8" s="299"/>
      <c r="L8" s="294" t="s">
        <v>695</v>
      </c>
      <c r="M8" s="295">
        <f ca="1">INDIRECT("'数据-取费表'!ai"&amp;$G$1)</f>
        <v>0</v>
      </c>
    </row>
    <row r="9" spans="1:37" ht="18" customHeight="1">
      <c r="A9" s="296"/>
      <c r="B9" s="3400"/>
      <c r="C9" s="298"/>
      <c r="D9" s="299"/>
      <c r="E9" s="294" t="s">
        <v>696</v>
      </c>
      <c r="F9" s="304">
        <f ca="1">INDIRECT("'数据-取费表'!w"&amp;$G$1)</f>
        <v>0</v>
      </c>
      <c r="G9" s="1292"/>
      <c r="H9" s="296"/>
      <c r="I9" s="3400"/>
      <c r="J9" s="298"/>
      <c r="K9" s="299"/>
      <c r="L9" s="305" t="s">
        <v>696</v>
      </c>
      <c r="M9" s="306">
        <f ca="1">INDIRECT("'数据-取费表'!ab"&amp;$G$1)</f>
        <v>0</v>
      </c>
    </row>
    <row r="10" spans="1:37" ht="18" customHeight="1">
      <c r="A10" s="1006" t="s">
        <v>402</v>
      </c>
      <c r="B10" s="1274" t="s">
        <v>697</v>
      </c>
      <c r="C10" s="308">
        <f ca="1">ROUND(IF(F10="押一",C6/12*F11,IF(F10="押二",C6/12*2*F11,IF(F10="押三",C6/12*3*F11,C11*F11))),0)</f>
        <v>0</v>
      </c>
      <c r="D10" s="150" t="s">
        <v>2110</v>
      </c>
      <c r="E10" s="305" t="s">
        <v>698</v>
      </c>
      <c r="F10" s="1053"/>
      <c r="G10" s="1292"/>
      <c r="H10" s="1006" t="s">
        <v>402</v>
      </c>
      <c r="I10" s="1274" t="s">
        <v>697</v>
      </c>
      <c r="J10" s="293">
        <f ca="1">ROUND(IF(M10="押一",J6/12*M11,IF(M10="押二",J6/12*2*M11,IF(M10="押三",J6/12*3*M11,J11*M11))),0)</f>
        <v>0</v>
      </c>
      <c r="K10" s="1285" t="s">
        <v>2112</v>
      </c>
      <c r="L10" s="305" t="s">
        <v>698</v>
      </c>
      <c r="M10" s="1053"/>
    </row>
    <row r="11" spans="1:37" ht="18" customHeight="1">
      <c r="A11" s="300"/>
      <c r="B11" s="1275" t="s">
        <v>887</v>
      </c>
      <c r="C11" s="905"/>
      <c r="D11" s="299"/>
      <c r="E11" s="305" t="s">
        <v>699</v>
      </c>
      <c r="F11" s="306">
        <f ca="1">'数据-取费表'!B39</f>
        <v>1.4999999999999999E-2</v>
      </c>
      <c r="G11" s="1292"/>
      <c r="H11" s="1014"/>
      <c r="I11" s="1275" t="s">
        <v>888</v>
      </c>
      <c r="J11" s="905"/>
      <c r="K11" s="646"/>
      <c r="L11" s="305" t="s">
        <v>699</v>
      </c>
      <c r="M11" s="809">
        <f ca="1">'数据-取费表'!B39</f>
        <v>1.4999999999999999E-2</v>
      </c>
    </row>
    <row r="12" spans="1:37" ht="18" customHeight="1" thickBot="1">
      <c r="A12" s="1020" t="s">
        <v>437</v>
      </c>
      <c r="B12" s="1277" t="s">
        <v>700</v>
      </c>
      <c r="C12" s="1021"/>
      <c r="D12" s="1022"/>
      <c r="E12" s="1027"/>
      <c r="F12" s="1023"/>
      <c r="G12" s="1292"/>
      <c r="H12" s="1020" t="s">
        <v>437</v>
      </c>
      <c r="I12" s="1277" t="s">
        <v>700</v>
      </c>
      <c r="J12" s="1021"/>
      <c r="K12" s="1035"/>
      <c r="L12" s="1027"/>
      <c r="M12" s="1036"/>
    </row>
    <row r="13" spans="1:37" ht="18" customHeight="1" thickTop="1">
      <c r="A13" s="1016">
        <v>2</v>
      </c>
      <c r="B13" s="1017" t="s">
        <v>701</v>
      </c>
      <c r="C13" s="302" t="e">
        <f ca="1">ROUND(C29*F13,0)</f>
        <v>#VALUE!</v>
      </c>
      <c r="D13" s="1018" t="s">
        <v>702</v>
      </c>
      <c r="E13" s="1018" t="s">
        <v>703</v>
      </c>
      <c r="F13" s="1019">
        <f ca="1">INDIRECT("'数据-取费表'!y"&amp;$G$1)</f>
        <v>0</v>
      </c>
      <c r="G13" s="1292"/>
      <c r="H13" s="1016">
        <v>2</v>
      </c>
      <c r="I13" s="1017" t="s">
        <v>701</v>
      </c>
      <c r="J13" s="1005" t="e">
        <f ca="1">ROUND(J14*J15,0)</f>
        <v>#VALUE!</v>
      </c>
      <c r="K13" s="1024" t="s">
        <v>702</v>
      </c>
      <c r="L13" s="1299"/>
      <c r="M13" s="1300"/>
    </row>
    <row r="14" spans="1:37" ht="18" customHeight="1">
      <c r="A14" s="928" t="s">
        <v>397</v>
      </c>
      <c r="B14" s="294" t="s">
        <v>704</v>
      </c>
      <c r="C14" s="310">
        <f ca="1">ROUND(INDIRECT("'数据-取费表'!l"&amp;$G$1)*F43+'数据-取费表'!L14*INDIRECT("'数据-取费表'!S"&amp;$G$1),0)</f>
        <v>0</v>
      </c>
      <c r="D14" s="1257" t="s">
        <v>705</v>
      </c>
      <c r="E14" s="1255"/>
      <c r="F14" s="311"/>
      <c r="G14" s="1292"/>
      <c r="H14" s="928" t="s">
        <v>398</v>
      </c>
      <c r="I14" s="294" t="s">
        <v>706</v>
      </c>
      <c r="J14" s="21" t="e">
        <f ca="1">C29</f>
        <v>#VALUE!</v>
      </c>
      <c r="K14" s="12"/>
      <c r="L14" s="759"/>
      <c r="M14" s="760"/>
    </row>
    <row r="15" spans="1:37" s="1304" customFormat="1" ht="18" customHeight="1" thickBot="1">
      <c r="A15" s="928" t="s">
        <v>399</v>
      </c>
      <c r="B15" s="294" t="s">
        <v>707</v>
      </c>
      <c r="C15" s="21">
        <f ca="1">ROUND(C14*F15,0)</f>
        <v>0</v>
      </c>
      <c r="D15" s="312" t="s">
        <v>708</v>
      </c>
      <c r="E15" s="312" t="s">
        <v>709</v>
      </c>
      <c r="F15" s="313">
        <f>'数据-取费表'!B33</f>
        <v>0</v>
      </c>
      <c r="G15" s="1303"/>
      <c r="H15" s="1026" t="s">
        <v>402</v>
      </c>
      <c r="I15" s="1027" t="s">
        <v>703</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677</v>
      </c>
      <c r="B16" s="294" t="s">
        <v>710</v>
      </c>
      <c r="C16" s="21">
        <f ca="1">ROUND(INDIRECT("'数据-取费表'!l"&amp;$G$1)*F43*F16,0)</f>
        <v>0</v>
      </c>
      <c r="D16" s="294" t="s">
        <v>708</v>
      </c>
      <c r="E16" s="294" t="s">
        <v>709</v>
      </c>
      <c r="F16" s="314">
        <f ca="1">IF(INDIRECT("'数据-取费表'!c"&amp;$G$1)="住宅",'数据-取费表'!B34,0)</f>
        <v>0</v>
      </c>
      <c r="G16" s="1292"/>
      <c r="H16" s="1016" t="s">
        <v>393</v>
      </c>
      <c r="I16" s="1017" t="s">
        <v>711</v>
      </c>
      <c r="J16" s="302" t="e">
        <f ca="1">ROUND(J17+J22+J23+J24,0)</f>
        <v>#VALUE!</v>
      </c>
      <c r="K16" s="1024" t="s">
        <v>712</v>
      </c>
      <c r="L16" s="1025"/>
      <c r="M16" s="1009"/>
    </row>
    <row r="17" spans="1:37" s="1304" customFormat="1" ht="18" customHeight="1">
      <c r="A17" s="928" t="s">
        <v>678</v>
      </c>
      <c r="B17" s="294" t="s">
        <v>713</v>
      </c>
      <c r="C17" s="21">
        <f ca="1">ROUND(F17*(F43+INDIRECT("'数据-取费表'!S"&amp;$G$1)),0)</f>
        <v>0</v>
      </c>
      <c r="D17" s="294" t="s">
        <v>714</v>
      </c>
      <c r="E17" s="294" t="s">
        <v>715</v>
      </c>
      <c r="F17" s="23">
        <f>'数据-取费表'!B35</f>
        <v>0</v>
      </c>
      <c r="G17" s="1303"/>
      <c r="H17" s="928" t="s">
        <v>398</v>
      </c>
      <c r="I17" s="294" t="s">
        <v>716</v>
      </c>
      <c r="J17" s="2140">
        <f ca="1">ROUND(IF(AND(项目基本情况!B11="自然人",项目基本情况!B10="北京市"),J6*M17/(1+'数据-取费表'!C42),J18+J19+J20),0)</f>
        <v>0</v>
      </c>
      <c r="K17" s="1257" t="s">
        <v>717</v>
      </c>
      <c r="L17" s="1256" t="s">
        <v>718</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679</v>
      </c>
      <c r="B18" s="294" t="s">
        <v>719</v>
      </c>
      <c r="C18" s="21">
        <f ca="1">ROUND(C14*F18,0)</f>
        <v>0</v>
      </c>
      <c r="D18" s="294" t="s">
        <v>708</v>
      </c>
      <c r="E18" s="294" t="s">
        <v>709</v>
      </c>
      <c r="F18" s="314">
        <f>'数据-取费表'!B36</f>
        <v>0</v>
      </c>
      <c r="G18" s="1303"/>
      <c r="H18" s="928" t="s">
        <v>397</v>
      </c>
      <c r="I18" s="294" t="s">
        <v>720</v>
      </c>
      <c r="J18" s="21">
        <f ca="1">ROUND(J6*M18/(1+'数据-取费表'!C42),0)</f>
        <v>0</v>
      </c>
      <c r="K18" s="1256" t="s">
        <v>721</v>
      </c>
      <c r="L18" s="294" t="s">
        <v>709</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722</v>
      </c>
      <c r="C19" s="21">
        <f ca="1">SUM(C14:C18)</f>
        <v>0</v>
      </c>
      <c r="D19" s="123" t="s">
        <v>723</v>
      </c>
      <c r="E19" s="1269"/>
      <c r="F19" s="23"/>
      <c r="G19" s="1292"/>
      <c r="H19" s="928" t="s">
        <v>399</v>
      </c>
      <c r="I19" s="294" t="s">
        <v>724</v>
      </c>
      <c r="J19" s="21">
        <f ca="1">IF(K19="按租金收入计税",ROUND(J6*M19/(1+'数据-取费表'!C42),0),ROUND(C29*M19*0.7,0))</f>
        <v>0</v>
      </c>
      <c r="K19" s="1278" t="s">
        <v>3325</v>
      </c>
      <c r="L19" s="294" t="s">
        <v>709</v>
      </c>
      <c r="M19" s="314">
        <f>IF(K19="按租金收入计税",'数据-取费表'!B51,'数据-取费表'!B50)</f>
        <v>0.12</v>
      </c>
    </row>
    <row r="20" spans="1:37" s="1304" customFormat="1" ht="18" customHeight="1">
      <c r="A20" s="928" t="s">
        <v>402</v>
      </c>
      <c r="B20" s="294" t="s">
        <v>725</v>
      </c>
      <c r="C20" s="21">
        <f ca="1">ROUND(C19*F20,0)</f>
        <v>0</v>
      </c>
      <c r="D20" s="315" t="s">
        <v>726</v>
      </c>
      <c r="E20" s="294" t="s">
        <v>709</v>
      </c>
      <c r="F20" s="314">
        <f>'数据-取费表'!B37</f>
        <v>0</v>
      </c>
      <c r="G20" s="1303"/>
      <c r="H20" s="928" t="s">
        <v>677</v>
      </c>
      <c r="I20" s="147" t="s">
        <v>727</v>
      </c>
      <c r="J20" s="22">
        <f ca="1">ROUND(M20*M21,0)</f>
        <v>0</v>
      </c>
      <c r="K20" s="316" t="s">
        <v>728</v>
      </c>
      <c r="L20" s="294" t="s">
        <v>729</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730</v>
      </c>
      <c r="C21" s="21" t="s">
        <v>0</v>
      </c>
      <c r="D21" s="315" t="s">
        <v>731</v>
      </c>
      <c r="E21" s="294" t="s">
        <v>732</v>
      </c>
      <c r="F21" s="314">
        <f>'数据-取费表'!B38</f>
        <v>0</v>
      </c>
      <c r="G21" s="1303"/>
      <c r="H21" s="318"/>
      <c r="I21" s="303"/>
      <c r="J21" s="26"/>
      <c r="K21" s="319"/>
      <c r="L21" s="294" t="s">
        <v>733</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680</v>
      </c>
      <c r="B22" s="294" t="s">
        <v>734</v>
      </c>
      <c r="C22" s="21"/>
      <c r="D22" s="123" t="str">
        <f>IF(F23&lt;=1,"单利计息。","复利计息。")&amp;"建造成本、管理费用、销售费用产生的利息。"</f>
        <v>单利计息。建造成本、管理费用、销售费用产生的利息。</v>
      </c>
      <c r="E22" s="1269"/>
      <c r="F22" s="23"/>
      <c r="G22" s="1292"/>
      <c r="H22" s="928" t="s">
        <v>402</v>
      </c>
      <c r="I22" s="294" t="s">
        <v>735</v>
      </c>
      <c r="J22" s="21" t="e">
        <f ca="1">ROUND(J14*M22,0)</f>
        <v>#VALUE!</v>
      </c>
      <c r="K22" s="1256" t="s">
        <v>736</v>
      </c>
      <c r="L22" s="294" t="s">
        <v>709</v>
      </c>
      <c r="M22" s="320">
        <f ca="1">INDIRECT("'数据-取费表'!Ak"&amp;$G$1)</f>
        <v>0</v>
      </c>
    </row>
    <row r="23" spans="1:37" s="1304" customFormat="1" ht="18" customHeight="1">
      <c r="A23" s="928" t="s">
        <v>397</v>
      </c>
      <c r="B23" s="294" t="s">
        <v>737</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738</v>
      </c>
      <c r="F23" s="317">
        <f>'数据-取费表'!B20</f>
        <v>0</v>
      </c>
      <c r="G23" s="1303"/>
      <c r="H23" s="928" t="s">
        <v>437</v>
      </c>
      <c r="I23" s="294" t="s">
        <v>739</v>
      </c>
      <c r="J23" s="21" t="e">
        <f ca="1">ROUND(J13*M23,0)</f>
        <v>#VALUE!</v>
      </c>
      <c r="K23" s="1256" t="s">
        <v>740</v>
      </c>
      <c r="L23" s="294" t="s">
        <v>741</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742</v>
      </c>
      <c r="B24" s="294" t="s">
        <v>743</v>
      </c>
      <c r="C24" s="21" t="e">
        <f ca="1">ROUND(IF('数据-取费表'!B22&lt;=1,F21*F24*F23/2,F21*(POWER((1+F24),F23/2)-1)),4)</f>
        <v>#VALUE!</v>
      </c>
      <c r="D24" s="138" t="str">
        <f>IF(F23&lt;=1,"销售费用×利率×(建设周期÷2)","销售费用×((1+利率)^(建设周期÷2)-1)")</f>
        <v>销售费用×利率×(建设周期÷2)</v>
      </c>
      <c r="E24" s="294" t="s">
        <v>744</v>
      </c>
      <c r="F24" s="322" t="e">
        <f ca="1">'数据-取费表'!B40</f>
        <v>#VALUE!</v>
      </c>
      <c r="G24" s="1303"/>
      <c r="H24" s="1026" t="s">
        <v>681</v>
      </c>
      <c r="I24" s="1027" t="s">
        <v>725</v>
      </c>
      <c r="J24" s="1028">
        <f ca="1">ROUND(J5*M24,0)</f>
        <v>0</v>
      </c>
      <c r="K24" s="1029" t="s">
        <v>745</v>
      </c>
      <c r="L24" s="1027" t="s">
        <v>741</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746</v>
      </c>
      <c r="B25" s="294" t="s">
        <v>747</v>
      </c>
      <c r="C25" s="21"/>
      <c r="D25" s="123" t="s">
        <v>748</v>
      </c>
      <c r="E25" s="1269"/>
      <c r="F25" s="23"/>
      <c r="G25" s="1292"/>
      <c r="H25" s="1016" t="s">
        <v>394</v>
      </c>
      <c r="I25" s="1031" t="s">
        <v>749</v>
      </c>
      <c r="J25" s="302" t="e">
        <f ca="1">J5-J16</f>
        <v>#VALUE!</v>
      </c>
      <c r="K25" s="1032" t="s">
        <v>750</v>
      </c>
      <c r="L25" s="1033"/>
      <c r="M25" s="1034"/>
    </row>
    <row r="26" spans="1:37" ht="18" customHeight="1">
      <c r="A26" s="928" t="s">
        <v>397</v>
      </c>
      <c r="B26" s="294" t="s">
        <v>751</v>
      </c>
      <c r="C26" s="21">
        <f ca="1">ROUND((C19+C20)*F26,0)</f>
        <v>0</v>
      </c>
      <c r="D26" s="315" t="s">
        <v>752</v>
      </c>
      <c r="E26" s="305" t="s">
        <v>753</v>
      </c>
      <c r="F26" s="304">
        <f ca="1">INDIRECT("'数据-取费表'!q"&amp;$G$1)</f>
        <v>0</v>
      </c>
      <c r="G26" s="1292"/>
      <c r="H26" s="291" t="s">
        <v>395</v>
      </c>
      <c r="I26" s="292" t="s">
        <v>754</v>
      </c>
      <c r="J26" s="293">
        <f ca="1">IF(J5&lt;&gt;0,ROUND(J25*(1-((1+M28)/(1+M26))^M27)/(M26-M28),0),0)</f>
        <v>0</v>
      </c>
      <c r="K26" s="316" t="s">
        <v>755</v>
      </c>
      <c r="L26" s="294" t="s">
        <v>756</v>
      </c>
      <c r="M26" s="304">
        <f ca="1">INDIRECT("'数据-取费表'!I"&amp;$G$1)</f>
        <v>0</v>
      </c>
    </row>
    <row r="27" spans="1:37" ht="18" customHeight="1">
      <c r="A27" s="928" t="s">
        <v>399</v>
      </c>
      <c r="B27" s="294" t="s">
        <v>757</v>
      </c>
      <c r="C27" s="21">
        <f ca="1">ROUND(F21*F26,4)</f>
        <v>0</v>
      </c>
      <c r="D27" s="315" t="s">
        <v>758</v>
      </c>
      <c r="E27" s="312"/>
      <c r="F27" s="313"/>
      <c r="G27" s="1292"/>
      <c r="H27" s="296"/>
      <c r="I27" s="297"/>
      <c r="J27" s="298"/>
      <c r="K27" s="323" t="s">
        <v>759</v>
      </c>
      <c r="L27" s="294" t="s">
        <v>760</v>
      </c>
      <c r="M27" s="324">
        <f ca="1">INDIRECT("'数据-取费表'!ag"&amp;$G$1)</f>
        <v>0</v>
      </c>
    </row>
    <row r="28" spans="1:37" s="1304" customFormat="1" ht="18" customHeight="1">
      <c r="A28" s="928" t="s">
        <v>400</v>
      </c>
      <c r="B28" s="294" t="s">
        <v>761</v>
      </c>
      <c r="C28" s="21">
        <f>ROUND(F28/(1+'数据-取费表'!C42),4)</f>
        <v>0</v>
      </c>
      <c r="D28" s="315" t="s">
        <v>762</v>
      </c>
      <c r="E28" s="294" t="s">
        <v>709</v>
      </c>
      <c r="F28" s="314">
        <f>'数据-取费表'!B41</f>
        <v>0</v>
      </c>
      <c r="G28" s="1303"/>
      <c r="H28" s="300"/>
      <c r="I28" s="301"/>
      <c r="J28" s="302"/>
      <c r="K28" s="319"/>
      <c r="L28" s="294" t="s">
        <v>763</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764</v>
      </c>
      <c r="C29" s="1028" t="e">
        <f ca="1">ROUND((C19+C20+C23+C26)/(1-F21-C24-C27-C28),0)</f>
        <v>#VALUE!</v>
      </c>
      <c r="D29" s="1029"/>
      <c r="E29" s="1027"/>
      <c r="F29" s="1030"/>
      <c r="G29" s="1303"/>
      <c r="H29" s="325" t="s">
        <v>396</v>
      </c>
      <c r="I29" s="326" t="s">
        <v>765</v>
      </c>
      <c r="J29" s="327">
        <f ca="1">ROUND(J26/(1+F40)^F41,0)</f>
        <v>0</v>
      </c>
      <c r="K29" s="328" t="s">
        <v>766</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711</v>
      </c>
      <c r="C30" s="302" t="e">
        <f ca="1">ROUND(C31+C36+C37+C38,0)</f>
        <v>#VALUE!</v>
      </c>
      <c r="D30" s="1024" t="s">
        <v>712</v>
      </c>
      <c r="E30" s="1025"/>
      <c r="F30" s="1009"/>
      <c r="G30" s="1292"/>
      <c r="H30" s="2469"/>
      <c r="I30" s="1305"/>
      <c r="J30" s="1306"/>
      <c r="K30" s="121"/>
      <c r="L30" s="2470"/>
      <c r="M30" s="2471"/>
    </row>
    <row r="31" spans="1:37" ht="18" customHeight="1">
      <c r="A31" s="928" t="s">
        <v>398</v>
      </c>
      <c r="B31" s="294" t="s">
        <v>716</v>
      </c>
      <c r="C31" s="2140">
        <f ca="1">ROUND(IF(AND(项目基本情况!B11="自然人",项目基本情况!B10="北京市"),C6*F31/(1+'数据-取费表'!C42),C32+C33+C34),0)</f>
        <v>0</v>
      </c>
      <c r="D31" s="1257" t="s">
        <v>717</v>
      </c>
      <c r="E31" s="1256" t="s">
        <v>767</v>
      </c>
      <c r="F31" s="2139" t="str">
        <f>IF(项目基本情况!B11="企业","——",IF(M47="住宅",IF(F6*F7*F8/12/(1+'数据-取费表'!F30)&gt;100000,4%,2.5%),IF(F6*F7*F8/12/(1+'数据-取费表'!F30)&gt;100000,12%,7%)))</f>
        <v>——</v>
      </c>
      <c r="G31" s="1292"/>
      <c r="H31" s="2568" t="s">
        <v>2297</v>
      </c>
      <c r="I31" s="1305"/>
      <c r="J31" s="1306"/>
      <c r="K31" s="121"/>
      <c r="L31" s="2470"/>
      <c r="M31" s="2471"/>
    </row>
    <row r="32" spans="1:37" ht="18" customHeight="1">
      <c r="A32" s="928" t="s">
        <v>397</v>
      </c>
      <c r="B32" s="294" t="s">
        <v>720</v>
      </c>
      <c r="C32" s="21">
        <f ca="1">IF(项目基本情况!B11="自然人","——",ROUND(C6*F32/(1+'数据-取费表'!C42),0))</f>
        <v>0</v>
      </c>
      <c r="D32" s="1256" t="s">
        <v>721</v>
      </c>
      <c r="E32" s="294" t="s">
        <v>709</v>
      </c>
      <c r="F32" s="322">
        <f>'数据-取费表'!B41</f>
        <v>0</v>
      </c>
      <c r="G32" s="1292"/>
      <c r="H32" s="2469"/>
      <c r="I32" s="1305"/>
      <c r="J32" s="1306"/>
      <c r="K32" s="121"/>
      <c r="L32" s="2470"/>
      <c r="M32" s="2471"/>
    </row>
    <row r="33" spans="1:18" ht="18" customHeight="1">
      <c r="A33" s="928" t="s">
        <v>399</v>
      </c>
      <c r="B33" s="294" t="s">
        <v>724</v>
      </c>
      <c r="C33" s="21">
        <f ca="1">IF(项目基本情况!B11="自然人","——",IF(D33="按租金收入计税",ROUND(C6*F33/(1+'数据-取费表'!C42),0),IF(D33="按房产原值计税",ROUND(C29*F33*0.7,0),INDIRECT("'数据-取费表'!Aj"&amp;$G$1))))</f>
        <v>0</v>
      </c>
      <c r="D33" s="1278" t="s">
        <v>3325</v>
      </c>
      <c r="E33" s="294" t="s">
        <v>709</v>
      </c>
      <c r="F33" s="314">
        <f>IF(D33="按票据","——",IF(D33="按租金收入计税",'数据-取费表'!B51,'数据-取费表'!B50))</f>
        <v>0.12</v>
      </c>
      <c r="G33" s="1292"/>
      <c r="H33" s="2472"/>
      <c r="I33" s="1305"/>
      <c r="J33" s="1306"/>
      <c r="K33" s="2473"/>
      <c r="L33" s="2472"/>
      <c r="M33" s="2472"/>
    </row>
    <row r="34" spans="1:18" ht="18" customHeight="1">
      <c r="A34" s="1006" t="s">
        <v>677</v>
      </c>
      <c r="B34" s="147" t="s">
        <v>727</v>
      </c>
      <c r="C34" s="22">
        <f ca="1">IF(项目基本情况!B11="自然人","——",ROUND(F34*F35,0))</f>
        <v>0</v>
      </c>
      <c r="D34" s="316" t="s">
        <v>728</v>
      </c>
      <c r="E34" s="294" t="s">
        <v>729</v>
      </c>
      <c r="F34" s="317">
        <f>'数据-取费表'!B52</f>
        <v>0</v>
      </c>
      <c r="G34" s="1292"/>
      <c r="H34" s="2469"/>
      <c r="I34" s="1305"/>
      <c r="J34" s="1306"/>
      <c r="K34" s="2474"/>
      <c r="L34" s="2475"/>
      <c r="M34" s="2475"/>
    </row>
    <row r="35" spans="1:18" ht="18" customHeight="1">
      <c r="A35" s="1040"/>
      <c r="B35" s="1038"/>
      <c r="C35" s="26"/>
      <c r="D35" s="319"/>
      <c r="E35" s="294" t="s">
        <v>733</v>
      </c>
      <c r="F35" s="295">
        <f ca="1">INDIRECT("'数据-取费表'!r"&amp;$G$1)</f>
        <v>0</v>
      </c>
      <c r="G35" s="1292"/>
      <c r="H35" s="2469"/>
      <c r="I35" s="1305"/>
      <c r="J35" s="1306"/>
      <c r="K35" s="2473"/>
      <c r="L35" s="2472"/>
      <c r="M35" s="2472"/>
    </row>
    <row r="36" spans="1:18" ht="18" customHeight="1">
      <c r="A36" s="1039" t="s">
        <v>402</v>
      </c>
      <c r="B36" s="294" t="s">
        <v>735</v>
      </c>
      <c r="C36" s="21" t="e">
        <f ca="1">ROUND(C29*F36,0)</f>
        <v>#VALUE!</v>
      </c>
      <c r="D36" s="1256" t="s">
        <v>768</v>
      </c>
      <c r="E36" s="294" t="s">
        <v>709</v>
      </c>
      <c r="F36" s="320">
        <f ca="1">INDIRECT("'数据-取费表'!Ak"&amp;$G$1)</f>
        <v>0</v>
      </c>
      <c r="G36" s="1292"/>
      <c r="H36" s="2472"/>
      <c r="I36" s="1305"/>
      <c r="J36" s="1306"/>
      <c r="K36" s="2329"/>
      <c r="L36" s="2472"/>
      <c r="M36" s="2472"/>
    </row>
    <row r="37" spans="1:18" ht="18" customHeight="1">
      <c r="A37" s="928" t="s">
        <v>437</v>
      </c>
      <c r="B37" s="294" t="s">
        <v>739</v>
      </c>
      <c r="C37" s="21" t="e">
        <f ca="1">ROUND(C13*F37,0)</f>
        <v>#VALUE!</v>
      </c>
      <c r="D37" s="1256" t="s">
        <v>740</v>
      </c>
      <c r="E37" s="294" t="s">
        <v>741</v>
      </c>
      <c r="F37" s="321">
        <f ca="1">INDIRECT("'数据-取费表'!Al"&amp;$G$1)</f>
        <v>0</v>
      </c>
      <c r="G37" s="1292"/>
      <c r="H37" s="2472"/>
      <c r="I37" s="1305"/>
      <c r="J37" s="1306"/>
      <c r="K37" s="2329"/>
      <c r="L37" s="2472"/>
      <c r="M37" s="2472"/>
    </row>
    <row r="38" spans="1:18" ht="18" customHeight="1" thickBot="1">
      <c r="A38" s="1026" t="s">
        <v>681</v>
      </c>
      <c r="B38" s="1027" t="s">
        <v>725</v>
      </c>
      <c r="C38" s="1028">
        <f ca="1">ROUND(C5*F38,0)</f>
        <v>0</v>
      </c>
      <c r="D38" s="1029" t="s">
        <v>745</v>
      </c>
      <c r="E38" s="1027" t="s">
        <v>741</v>
      </c>
      <c r="F38" s="1023">
        <f ca="1">INDIRECT("'数据-取费表'!Am"&amp;$G$1)</f>
        <v>0</v>
      </c>
      <c r="G38" s="1292"/>
      <c r="H38" s="2472"/>
      <c r="I38" s="1305"/>
      <c r="J38" s="1306"/>
      <c r="K38" s="2470"/>
      <c r="L38" s="2472"/>
      <c r="M38" s="2472"/>
    </row>
    <row r="39" spans="1:18" ht="24.65" customHeight="1" thickTop="1">
      <c r="A39" s="1016" t="s">
        <v>394</v>
      </c>
      <c r="B39" s="1031" t="s">
        <v>769</v>
      </c>
      <c r="C39" s="302" t="e">
        <f ca="1">C5-C30</f>
        <v>#VALUE!</v>
      </c>
      <c r="D39" s="1032" t="s">
        <v>770</v>
      </c>
      <c r="E39" s="1033"/>
      <c r="F39" s="1034"/>
      <c r="G39" s="1292"/>
      <c r="H39" s="2472"/>
      <c r="I39" s="1305"/>
      <c r="J39" s="1306"/>
      <c r="K39" s="2470"/>
      <c r="L39" s="2472"/>
      <c r="M39" s="2472"/>
    </row>
    <row r="40" spans="1:18" ht="18" customHeight="1">
      <c r="A40" s="291" t="s">
        <v>395</v>
      </c>
      <c r="B40" s="292" t="s">
        <v>771</v>
      </c>
      <c r="C40" s="293" t="e">
        <f ca="1">ROUND(C39*(1-((1+F42)/(1+F40))^F41)/(F40-F42),0)</f>
        <v>#VALUE!</v>
      </c>
      <c r="D40" s="316" t="s">
        <v>755</v>
      </c>
      <c r="E40" s="294" t="s">
        <v>756</v>
      </c>
      <c r="F40" s="304">
        <f ca="1">INDIRECT("'数据-取费表'!I"&amp;$G$1)</f>
        <v>0</v>
      </c>
      <c r="G40" s="1292"/>
      <c r="H40" s="1366"/>
      <c r="I40" s="1305"/>
      <c r="J40" s="1306"/>
      <c r="K40" s="2470"/>
      <c r="L40" s="1366"/>
      <c r="M40" s="1366"/>
    </row>
    <row r="41" spans="1:18" ht="18" customHeight="1">
      <c r="A41" s="296"/>
      <c r="B41" s="297"/>
      <c r="C41" s="298"/>
      <c r="D41" s="323" t="s">
        <v>772</v>
      </c>
      <c r="E41" s="294" t="s">
        <v>760</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763</v>
      </c>
      <c r="F42" s="304">
        <f ca="1">INDIRECT("'数据-取费表'!v"&amp;$G$1)</f>
        <v>0</v>
      </c>
      <c r="G42" s="1292"/>
      <c r="H42" s="121"/>
      <c r="I42" s="1305"/>
      <c r="J42" s="1306"/>
      <c r="K42" s="2329"/>
      <c r="L42" s="121"/>
      <c r="M42" s="121"/>
    </row>
    <row r="43" spans="1:18" ht="18" customHeight="1" thickBot="1">
      <c r="A43" s="325" t="s">
        <v>396</v>
      </c>
      <c r="B43" s="326" t="s">
        <v>773</v>
      </c>
      <c r="C43" s="327" t="e">
        <f ca="1">ROUND(C40/F43,0)</f>
        <v>#VALUE!</v>
      </c>
      <c r="D43" s="328" t="s">
        <v>774</v>
      </c>
      <c r="E43" s="329" t="s">
        <v>775</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3341</v>
      </c>
      <c r="B45" s="1307"/>
      <c r="C45" s="1376" t="e">
        <f ca="1">ROUND((C68-C40)/10000,4)</f>
        <v>#VALUE!</v>
      </c>
      <c r="D45" s="3129" t="s">
        <v>3342</v>
      </c>
      <c r="E45" s="1307"/>
      <c r="F45" s="1307"/>
      <c r="O45" s="1310" t="s">
        <v>805</v>
      </c>
      <c r="P45" s="1366"/>
      <c r="Q45" s="1366"/>
      <c r="R45" s="1366"/>
    </row>
    <row r="46" spans="1:18" s="1292" customFormat="1" ht="14" thickBot="1">
      <c r="A46" s="1311" t="s">
        <v>806</v>
      </c>
      <c r="C46" s="1312" t="e">
        <f ca="1">ROUND(C45,0)</f>
        <v>#VALUE!</v>
      </c>
      <c r="D46" s="1313" t="str">
        <f>C2</f>
        <v>万元</v>
      </c>
      <c r="I46" s="1314" t="s">
        <v>807</v>
      </c>
      <c r="J46" s="1315"/>
      <c r="K46" s="1316"/>
      <c r="L46" s="1317" t="e">
        <f ca="1">IF(M47="住宅",0,IF(L48&gt;J51,L60,J60))</f>
        <v>#VALUE!</v>
      </c>
      <c r="O46" s="1318" t="s">
        <v>808</v>
      </c>
      <c r="P46" s="1319" t="s">
        <v>809</v>
      </c>
      <c r="Q46" s="1320" t="s">
        <v>810</v>
      </c>
      <c r="R46" s="1320" t="s">
        <v>811</v>
      </c>
    </row>
    <row r="47" spans="1:18" s="1292" customFormat="1" ht="13.5" thickBot="1">
      <c r="A47" s="892" t="s">
        <v>684</v>
      </c>
      <c r="B47" s="924" t="s">
        <v>685</v>
      </c>
      <c r="C47" s="924" t="s">
        <v>686</v>
      </c>
      <c r="D47" s="924" t="s">
        <v>687</v>
      </c>
      <c r="E47" s="995" t="s">
        <v>688</v>
      </c>
      <c r="F47" s="996"/>
      <c r="G47" s="681"/>
      <c r="I47" s="1321" t="s">
        <v>812</v>
      </c>
      <c r="J47" s="1322"/>
      <c r="K47" s="1323" t="s">
        <v>813</v>
      </c>
      <c r="L47" s="1324">
        <f ca="1">INDIRECT("'数据-取费表'!d"&amp;$G$1)</f>
        <v>0</v>
      </c>
      <c r="M47" s="1288" t="str">
        <f>IF(ISNUMBER(FIND("住宅",C1)),"住宅","非住宅")</f>
        <v>非住宅</v>
      </c>
      <c r="O47" s="1325" t="s">
        <v>403</v>
      </c>
      <c r="P47" s="1326" t="s">
        <v>814</v>
      </c>
      <c r="Q47" s="1327" t="e">
        <f ca="1">C40+J29</f>
        <v>#VALUE!</v>
      </c>
      <c r="R47" s="1327" t="s">
        <v>815</v>
      </c>
    </row>
    <row r="48" spans="1:18" s="1292" customFormat="1" ht="43.5" thickBot="1">
      <c r="A48" s="1047" t="s">
        <v>438</v>
      </c>
      <c r="B48" s="292" t="s">
        <v>689</v>
      </c>
      <c r="C48" s="1268">
        <f ca="1">C49+C53+C55</f>
        <v>0</v>
      </c>
      <c r="D48" s="1049"/>
      <c r="E48" s="1050"/>
      <c r="F48" s="908"/>
      <c r="G48" s="681"/>
      <c r="H48" s="682"/>
      <c r="I48" s="1328" t="s">
        <v>816</v>
      </c>
      <c r="J48" s="1329"/>
      <c r="K48" s="1330" t="s">
        <v>817</v>
      </c>
      <c r="L48" s="1331">
        <f ca="1">INDIRECT("'数据-取费表'!f"&amp;$G$1)</f>
        <v>0</v>
      </c>
      <c r="O48" s="1325" t="s">
        <v>404</v>
      </c>
      <c r="P48" s="1326" t="s">
        <v>818</v>
      </c>
      <c r="Q48" s="1327" t="e">
        <f ca="1">J60</f>
        <v>#VALUE!</v>
      </c>
      <c r="R48" s="1327" t="s">
        <v>819</v>
      </c>
    </row>
    <row r="49" spans="1:18" s="1292" customFormat="1" ht="13.5" thickBot="1">
      <c r="A49" s="921" t="s">
        <v>439</v>
      </c>
      <c r="B49" s="1279" t="s">
        <v>776</v>
      </c>
      <c r="C49" s="1051">
        <f ca="1">ROUND(F49*F51*F50*(1-F52),0)</f>
        <v>0</v>
      </c>
      <c r="D49" s="992" t="s">
        <v>692</v>
      </c>
      <c r="E49" s="1280" t="s">
        <v>777</v>
      </c>
      <c r="F49" s="997"/>
      <c r="H49" s="682"/>
      <c r="I49" s="1328" t="s">
        <v>820</v>
      </c>
      <c r="J49" s="1332"/>
      <c r="K49" s="1330" t="s">
        <v>821</v>
      </c>
      <c r="L49" s="1333"/>
      <c r="O49" s="1334" t="s">
        <v>405</v>
      </c>
      <c r="P49" s="1326" t="s">
        <v>822</v>
      </c>
      <c r="Q49" s="1327" t="e">
        <f ca="1">C29</f>
        <v>#VALUE!</v>
      </c>
      <c r="R49" s="1327" t="s">
        <v>815</v>
      </c>
    </row>
    <row r="50" spans="1:18" s="1292" customFormat="1" ht="13.5" thickBot="1">
      <c r="A50" s="922"/>
      <c r="B50" s="925"/>
      <c r="C50" s="926"/>
      <c r="D50" s="899"/>
      <c r="E50" s="993" t="s">
        <v>694</v>
      </c>
      <c r="F50" s="994">
        <f ca="1">F7</f>
        <v>0</v>
      </c>
      <c r="H50" s="682"/>
      <c r="I50" s="1328" t="s">
        <v>823</v>
      </c>
      <c r="J50" s="1335">
        <f>SUMPRODUCT((I63:I65=J47)*(J62:L62=J48)*(J63:L65))</f>
        <v>0</v>
      </c>
      <c r="K50" s="1330" t="s">
        <v>824</v>
      </c>
      <c r="L50" s="1333"/>
      <c r="M50" s="1336"/>
      <c r="O50" s="1334" t="s">
        <v>406</v>
      </c>
      <c r="P50" s="1326" t="s">
        <v>825</v>
      </c>
      <c r="Q50" s="1337" t="e">
        <f ca="1">J58</f>
        <v>#DIV/0!</v>
      </c>
      <c r="R50" s="1327"/>
    </row>
    <row r="51" spans="1:18" s="1292" customFormat="1" ht="13.5" thickBot="1">
      <c r="A51" s="923"/>
      <c r="B51" s="925"/>
      <c r="C51" s="926"/>
      <c r="D51" s="899"/>
      <c r="E51" s="927" t="s">
        <v>695</v>
      </c>
      <c r="F51" s="295">
        <f ca="1">F8</f>
        <v>0</v>
      </c>
      <c r="I51" s="1338" t="s">
        <v>826</v>
      </c>
      <c r="J51" s="1331">
        <f>IF(J49="",J50,J49+J50-YEAR('数据-取费表'!B2))</f>
        <v>0</v>
      </c>
      <c r="K51" s="1339" t="s">
        <v>827</v>
      </c>
      <c r="L51" s="1340" t="e">
        <f ca="1">ROUND(-PV(INDIRECT("'数据-取费表'!h"&amp;$G$1),J51,(C39-C13*C76),0),0)</f>
        <v>#VALUE!</v>
      </c>
      <c r="M51" s="1341"/>
      <c r="O51" s="1334" t="s">
        <v>407</v>
      </c>
      <c r="P51" s="1326" t="s">
        <v>828</v>
      </c>
      <c r="Q51" s="1337">
        <f>J52</f>
        <v>0</v>
      </c>
      <c r="R51" s="1327"/>
    </row>
    <row r="52" spans="1:18" s="1292" customFormat="1" ht="13.5" thickBot="1">
      <c r="A52" s="923"/>
      <c r="B52" s="925"/>
      <c r="C52" s="926"/>
      <c r="D52" s="899"/>
      <c r="E52" s="927" t="s">
        <v>696</v>
      </c>
      <c r="F52" s="991"/>
      <c r="I52" s="1342" t="s">
        <v>829</v>
      </c>
      <c r="J52" s="1343"/>
      <c r="K52" s="1342" t="s">
        <v>830</v>
      </c>
      <c r="L52" s="1343"/>
      <c r="O52" s="1334" t="s">
        <v>408</v>
      </c>
      <c r="P52" s="1326" t="s">
        <v>831</v>
      </c>
      <c r="Q52" s="1327">
        <f ca="1">J53</f>
        <v>0</v>
      </c>
      <c r="R52" s="1327" t="s">
        <v>832</v>
      </c>
    </row>
    <row r="53" spans="1:18" s="1292" customFormat="1" ht="30.75" customHeight="1" thickBot="1">
      <c r="A53" s="1048" t="s">
        <v>440</v>
      </c>
      <c r="B53" s="315" t="s">
        <v>697</v>
      </c>
      <c r="C53" s="308">
        <f ca="1">ROUND(IF(F53="押一",C49/12*F11,IF(F53="押二",C49/12*2*F11,IF(F53="押三",C49/12*3*F11,C54*F11))),0)</f>
        <v>0</v>
      </c>
      <c r="D53" s="150" t="s">
        <v>2113</v>
      </c>
      <c r="E53" s="305" t="s">
        <v>698</v>
      </c>
      <c r="F53" s="1053"/>
      <c r="I53" s="1344" t="s">
        <v>833</v>
      </c>
      <c r="J53" s="2006">
        <f ca="1">IF(M47="住宅",IF(D1="——",MAX(J51,L48),MAX(J51,L48-'数据-取费表'!B24)),IF(D1="——",MIN(J51,L48),MIN(J51,L48-'数据-取费表'!B24)))</f>
        <v>0</v>
      </c>
      <c r="K53" s="3396" t="s">
        <v>834</v>
      </c>
      <c r="L53" s="3397"/>
      <c r="O53" s="1325" t="s">
        <v>409</v>
      </c>
      <c r="P53" s="1326" t="s">
        <v>835</v>
      </c>
      <c r="Q53" s="1327" t="e">
        <f ca="1">Q47+Q48</f>
        <v>#VALUE!</v>
      </c>
      <c r="R53" s="1327" t="s">
        <v>410</v>
      </c>
    </row>
    <row r="54" spans="1:18" s="1292" customFormat="1" ht="13.5" thickBot="1">
      <c r="A54" s="921"/>
      <c r="B54" s="1377" t="s">
        <v>888</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836</v>
      </c>
      <c r="P54" s="1289"/>
      <c r="Q54" s="1289"/>
      <c r="R54" s="1289"/>
    </row>
    <row r="55" spans="1:18" s="1292" customFormat="1" ht="13.5" thickBot="1">
      <c r="A55" s="1020" t="s">
        <v>437</v>
      </c>
      <c r="B55" s="1277" t="s">
        <v>700</v>
      </c>
      <c r="C55" s="1021"/>
      <c r="D55" s="150"/>
      <c r="E55" s="1282"/>
      <c r="F55" s="1345"/>
      <c r="I55" s="1348" t="s">
        <v>837</v>
      </c>
      <c r="J55" s="1349" t="e">
        <f ca="1">ROUND(IF(J47="钢混",J57/J50,1-(1-2%)*(J50-J57)/J50),3)</f>
        <v>#DIV/0!</v>
      </c>
      <c r="K55" s="1350" t="s">
        <v>838</v>
      </c>
      <c r="L55" s="1351"/>
      <c r="O55" s="1318" t="s">
        <v>808</v>
      </c>
      <c r="P55" s="1319" t="s">
        <v>809</v>
      </c>
      <c r="Q55" s="1320" t="s">
        <v>810</v>
      </c>
      <c r="R55" s="1320" t="s">
        <v>811</v>
      </c>
    </row>
    <row r="56" spans="1:18" s="1292" customFormat="1" ht="36" customHeight="1" thickTop="1" thickBot="1">
      <c r="A56" s="903">
        <v>2</v>
      </c>
      <c r="B56" s="904" t="s">
        <v>701</v>
      </c>
      <c r="C56" s="224" t="e">
        <f ca="1">C13</f>
        <v>#VALUE!</v>
      </c>
      <c r="D56" s="1352"/>
      <c r="E56" s="1353"/>
      <c r="F56" s="1345"/>
      <c r="I56" s="1354" t="s">
        <v>839</v>
      </c>
      <c r="J56" s="1355"/>
      <c r="K56" s="1328" t="s">
        <v>840</v>
      </c>
      <c r="L56" s="1331">
        <f ca="1">IF(L48&lt;J51,"——",L48-J51)</f>
        <v>0</v>
      </c>
      <c r="O56" s="1325" t="s">
        <v>403</v>
      </c>
      <c r="P56" s="1326" t="s">
        <v>814</v>
      </c>
      <c r="Q56" s="1327" t="e">
        <f ca="1">C40+J29</f>
        <v>#VALUE!</v>
      </c>
      <c r="R56" s="1327" t="s">
        <v>815</v>
      </c>
    </row>
    <row r="57" spans="1:18" s="1292" customFormat="1" ht="26.5" thickBot="1">
      <c r="A57" s="1356"/>
      <c r="B57" s="896" t="s">
        <v>764</v>
      </c>
      <c r="C57" s="230" t="e">
        <f ca="1">C29</f>
        <v>#VALUE!</v>
      </c>
      <c r="D57" s="1357"/>
      <c r="E57" s="1358"/>
      <c r="F57" s="1359"/>
      <c r="I57" s="1360" t="s">
        <v>841</v>
      </c>
      <c r="J57" s="1361">
        <f ca="1">IF(OR(M47="住宅",J51&lt;L48,J56="是"),"——",J51-L48)</f>
        <v>0</v>
      </c>
      <c r="K57" s="1328" t="s">
        <v>889</v>
      </c>
      <c r="L57" s="1331" t="e">
        <f ca="1">IF(L48&lt;J51,"——",IF(L55="比较法",L49,IF(L55="基准地价",L50,L51)))</f>
        <v>#VALUE!</v>
      </c>
      <c r="O57" s="1325" t="s">
        <v>404</v>
      </c>
      <c r="P57" s="1326" t="s">
        <v>890</v>
      </c>
      <c r="Q57" s="1327" t="e">
        <f ca="1">L60</f>
        <v>#VALUE!</v>
      </c>
      <c r="R57" s="1327" t="s">
        <v>891</v>
      </c>
    </row>
    <row r="58" spans="1:18" s="1292" customFormat="1" ht="26.5" thickBot="1">
      <c r="A58" s="307" t="s">
        <v>393</v>
      </c>
      <c r="B58" s="904" t="s">
        <v>711</v>
      </c>
      <c r="C58" s="308" t="e">
        <f ca="1">ROUND(C59+C64+C65+C66,0)</f>
        <v>#VALUE!</v>
      </c>
      <c r="D58" s="906" t="s">
        <v>712</v>
      </c>
      <c r="E58" s="907"/>
      <c r="F58" s="908"/>
      <c r="I58" s="1360" t="s">
        <v>845</v>
      </c>
      <c r="J58" s="1362" t="e">
        <f ca="1">IF(J55&lt;0.4,0.4,J55)</f>
        <v>#DIV/0!</v>
      </c>
      <c r="K58" s="1339" t="s">
        <v>892</v>
      </c>
      <c r="L58" s="1331" t="e">
        <f ca="1">ROUND(POWER(1+L52,L47-L48)*(POWER(1+L52,L48)-1)/(POWER(1+L52,L47)-1),4)</f>
        <v>#DIV/0!</v>
      </c>
      <c r="O58" s="1334" t="s">
        <v>405</v>
      </c>
      <c r="P58" s="1326" t="s">
        <v>847</v>
      </c>
      <c r="Q58" s="1327">
        <f>IF(L55="比较法",L49,IF(L55="基准地价",L50,0))</f>
        <v>0</v>
      </c>
      <c r="R58" s="1327" t="s">
        <v>815</v>
      </c>
    </row>
    <row r="59" spans="1:18" s="1292" customFormat="1" ht="26.5" thickBot="1">
      <c r="A59" s="928" t="s">
        <v>398</v>
      </c>
      <c r="B59" s="896" t="s">
        <v>716</v>
      </c>
      <c r="C59" s="2140">
        <f ca="1">ROUND(IF(AND(项目基本情况!B11="自然人",项目基本情况!B10="北京市"),C49*F59/(1+'数据-取费表'!C42),C60+C61+C62),0)</f>
        <v>0</v>
      </c>
      <c r="D59" s="909" t="s">
        <v>717</v>
      </c>
      <c r="E59" s="910" t="s">
        <v>718</v>
      </c>
      <c r="F59" s="2139" t="str">
        <f>IF(项目基本情况!B11="企业","——",IF('数据-取费表'!B10="住宅",IF(F49*F50*F51/12/(1+'数据-取费表'!F30)&gt;100000,4%,2.5%),IF(F49*F50*F51/12/(1+'数据-取费表'!F30)&gt;100000,12%,7%)))</f>
        <v>——</v>
      </c>
      <c r="I59" s="1360" t="s">
        <v>848</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849</v>
      </c>
      <c r="Q59" s="1337">
        <f>L52</f>
        <v>0</v>
      </c>
      <c r="R59" s="1327"/>
    </row>
    <row r="60" spans="1:18" s="1292" customFormat="1" ht="16" thickBot="1">
      <c r="A60" s="928" t="s">
        <v>397</v>
      </c>
      <c r="B60" s="896" t="s">
        <v>720</v>
      </c>
      <c r="C60" s="21">
        <f ca="1">IF(项目基本情况!B11="自然人","——",ROUND(C48*F60/(1+'数据-取费表'!C42),0))</f>
        <v>0</v>
      </c>
      <c r="D60" s="910" t="s">
        <v>721</v>
      </c>
      <c r="E60" s="896" t="s">
        <v>709</v>
      </c>
      <c r="F60" s="322">
        <f t="shared" ref="F60:F66" si="0">F32</f>
        <v>0</v>
      </c>
      <c r="I60" s="1363" t="s">
        <v>850</v>
      </c>
      <c r="J60" s="1364" t="e">
        <f ca="1">IF(OR(M47="住宅",J51&lt;L48,J56="是"),"0",ROUND(J59/(1+J52)^J53,0))</f>
        <v>#VALUE!</v>
      </c>
      <c r="K60" s="1365" t="s">
        <v>851</v>
      </c>
      <c r="L60" s="1364" t="e">
        <f ca="1">IF(OR(M47="住宅",L48&lt;J51),0,ROUND(L57*(L58/L59-1),0))</f>
        <v>#VALUE!</v>
      </c>
      <c r="O60" s="1334" t="s">
        <v>407</v>
      </c>
      <c r="P60" s="1326" t="s">
        <v>852</v>
      </c>
      <c r="Q60" s="1327" t="e">
        <f ca="1">L58</f>
        <v>#DIV/0!</v>
      </c>
      <c r="R60" s="1327" t="s">
        <v>853</v>
      </c>
    </row>
    <row r="61" spans="1:18" s="1292" customFormat="1" ht="13.5" thickBot="1">
      <c r="A61" s="928" t="s">
        <v>778</v>
      </c>
      <c r="B61" s="896" t="s">
        <v>779</v>
      </c>
      <c r="C61" s="21">
        <f ca="1">IF(项目基本情况!B11="自然人","——",IF(D61="按租金收入计税",ROUND(C49*F61/(1+'数据-取费表'!C42),0),IF(D61="按房产原值计税",ROUND(C57*F61*0.7,0),INDIRECT("'数据-取费表'!Aj"&amp;$G$1))))</f>
        <v>0</v>
      </c>
      <c r="D61" s="1278" t="s">
        <v>3325</v>
      </c>
      <c r="E61" s="896" t="s">
        <v>780</v>
      </c>
      <c r="F61" s="314">
        <f t="shared" si="0"/>
        <v>0.12</v>
      </c>
      <c r="I61" s="1366"/>
      <c r="J61" s="1366"/>
      <c r="K61" s="1366"/>
      <c r="L61" s="1366"/>
      <c r="O61" s="1334" t="s">
        <v>408</v>
      </c>
      <c r="P61" s="1326" t="str">
        <f>K59</f>
        <v>建筑物剩余耐用年限下的土地年期修正系数Kn</v>
      </c>
      <c r="Q61" s="1327" t="e">
        <f ca="1">L59</f>
        <v>#DIV/0!</v>
      </c>
      <c r="R61" s="1327" t="s">
        <v>854</v>
      </c>
    </row>
    <row r="62" spans="1:18" s="1292" customFormat="1" ht="13.5" thickBot="1">
      <c r="A62" s="928" t="s">
        <v>781</v>
      </c>
      <c r="B62" s="895" t="s">
        <v>782</v>
      </c>
      <c r="C62" s="22">
        <f ca="1">IF(项目基本情况!B11="自然人","——",ROUND(F62*F63,0))</f>
        <v>0</v>
      </c>
      <c r="D62" s="911" t="s">
        <v>783</v>
      </c>
      <c r="E62" s="896" t="s">
        <v>784</v>
      </c>
      <c r="F62" s="317">
        <f t="shared" si="0"/>
        <v>0</v>
      </c>
      <c r="I62" s="1367" t="s">
        <v>855</v>
      </c>
      <c r="J62" s="610" t="s">
        <v>856</v>
      </c>
      <c r="K62" s="610" t="s">
        <v>857</v>
      </c>
      <c r="L62" s="610" t="s">
        <v>858</v>
      </c>
      <c r="M62" s="1368" t="s">
        <v>859</v>
      </c>
      <c r="O62" s="1325" t="s">
        <v>409</v>
      </c>
      <c r="P62" s="1326" t="s">
        <v>860</v>
      </c>
      <c r="Q62" s="1327" t="e">
        <f ca="1">Q56+Q57</f>
        <v>#VALUE!</v>
      </c>
      <c r="R62" s="1327" t="s">
        <v>410</v>
      </c>
    </row>
    <row r="63" spans="1:18" s="1292" customFormat="1" ht="13.5" thickBot="1">
      <c r="A63" s="318"/>
      <c r="B63" s="902"/>
      <c r="C63" s="26"/>
      <c r="D63" s="912"/>
      <c r="E63" s="896" t="s">
        <v>785</v>
      </c>
      <c r="F63" s="295">
        <f t="shared" ca="1" si="0"/>
        <v>0</v>
      </c>
      <c r="I63" s="1367" t="s">
        <v>861</v>
      </c>
      <c r="J63" s="610">
        <v>70</v>
      </c>
      <c r="K63" s="610">
        <v>50</v>
      </c>
      <c r="L63" s="610">
        <v>80</v>
      </c>
      <c r="M63" s="1369">
        <v>0.02</v>
      </c>
      <c r="O63" s="1310" t="s">
        <v>862</v>
      </c>
      <c r="P63" s="1289"/>
      <c r="Q63" s="1289"/>
      <c r="R63" s="1289"/>
    </row>
    <row r="64" spans="1:18" s="1292" customFormat="1" ht="13.5" thickBot="1">
      <c r="A64" s="928" t="s">
        <v>786</v>
      </c>
      <c r="B64" s="896" t="s">
        <v>787</v>
      </c>
      <c r="C64" s="21" t="e">
        <f ca="1">ROUND(C57*F64,0)</f>
        <v>#VALUE!</v>
      </c>
      <c r="D64" s="910" t="s">
        <v>788</v>
      </c>
      <c r="E64" s="896" t="s">
        <v>780</v>
      </c>
      <c r="F64" s="320">
        <f t="shared" ca="1" si="0"/>
        <v>0</v>
      </c>
      <c r="I64" s="1367" t="s">
        <v>863</v>
      </c>
      <c r="J64" s="610">
        <v>50</v>
      </c>
      <c r="K64" s="610">
        <v>35</v>
      </c>
      <c r="L64" s="610">
        <v>60</v>
      </c>
      <c r="M64" s="1368">
        <v>0</v>
      </c>
      <c r="O64" s="1318" t="s">
        <v>808</v>
      </c>
      <c r="P64" s="1319" t="s">
        <v>809</v>
      </c>
      <c r="Q64" s="1320" t="s">
        <v>810</v>
      </c>
      <c r="R64" s="1320" t="s">
        <v>811</v>
      </c>
    </row>
    <row r="65" spans="1:18" s="1292" customFormat="1" ht="13.5" thickBot="1">
      <c r="A65" s="928" t="s">
        <v>789</v>
      </c>
      <c r="B65" s="896" t="s">
        <v>739</v>
      </c>
      <c r="C65" s="21" t="e">
        <f ca="1">ROUND(C56*F65,0)</f>
        <v>#VALUE!</v>
      </c>
      <c r="D65" s="910" t="s">
        <v>740</v>
      </c>
      <c r="E65" s="896" t="s">
        <v>741</v>
      </c>
      <c r="F65" s="321">
        <f t="shared" ca="1" si="0"/>
        <v>0</v>
      </c>
      <c r="I65" s="1367" t="s">
        <v>864</v>
      </c>
      <c r="J65" s="610">
        <v>40</v>
      </c>
      <c r="K65" s="610">
        <v>30</v>
      </c>
      <c r="L65" s="610">
        <v>50</v>
      </c>
      <c r="M65" s="1369">
        <v>0.02</v>
      </c>
      <c r="O65" s="1325" t="s">
        <v>403</v>
      </c>
      <c r="P65" s="1326" t="s">
        <v>865</v>
      </c>
      <c r="Q65" s="1327" t="e">
        <f ca="1">C40+J29</f>
        <v>#VALUE!</v>
      </c>
      <c r="R65" s="1327" t="s">
        <v>815</v>
      </c>
    </row>
    <row r="66" spans="1:18" s="1292" customFormat="1" ht="16" thickBot="1">
      <c r="A66" s="928" t="s">
        <v>790</v>
      </c>
      <c r="B66" s="896" t="s">
        <v>725</v>
      </c>
      <c r="C66" s="21">
        <f ca="1">ROUND(C48*F66,0)</f>
        <v>0</v>
      </c>
      <c r="D66" s="910" t="s">
        <v>791</v>
      </c>
      <c r="E66" s="896" t="s">
        <v>709</v>
      </c>
      <c r="F66" s="304">
        <f t="shared" ca="1" si="0"/>
        <v>0</v>
      </c>
      <c r="O66" s="1325" t="s">
        <v>404</v>
      </c>
      <c r="P66" s="1326" t="s">
        <v>843</v>
      </c>
      <c r="Q66" s="1327" t="e">
        <f ca="1">L60</f>
        <v>#VALUE!</v>
      </c>
      <c r="R66" s="1327" t="s">
        <v>866</v>
      </c>
    </row>
    <row r="67" spans="1:18" s="1292" customFormat="1" ht="26.5" thickBot="1">
      <c r="A67" s="903" t="s">
        <v>394</v>
      </c>
      <c r="B67" s="913" t="s">
        <v>749</v>
      </c>
      <c r="C67" s="308" t="e">
        <f ca="1">C48-C58</f>
        <v>#VALUE!</v>
      </c>
      <c r="D67" s="909" t="s">
        <v>750</v>
      </c>
      <c r="E67" s="914"/>
      <c r="F67" s="915"/>
      <c r="O67" s="1334" t="s">
        <v>405</v>
      </c>
      <c r="P67" s="1326" t="s">
        <v>847</v>
      </c>
      <c r="Q67" s="1370" t="e">
        <f ca="1">L51</f>
        <v>#VALUE!</v>
      </c>
      <c r="R67" s="1327" t="s">
        <v>867</v>
      </c>
    </row>
    <row r="68" spans="1:18" s="1292" customFormat="1" ht="16" thickBot="1">
      <c r="A68" s="893" t="s">
        <v>395</v>
      </c>
      <c r="B68" s="894" t="s">
        <v>771</v>
      </c>
      <c r="C68" s="293" t="e">
        <f ca="1">ROUND(C67*(1-((1+F70)/(1+F68))^F69)/(F68-F70),0)</f>
        <v>#VALUE!</v>
      </c>
      <c r="D68" s="911" t="s">
        <v>755</v>
      </c>
      <c r="E68" s="896" t="s">
        <v>756</v>
      </c>
      <c r="F68" s="304">
        <f ca="1">F40</f>
        <v>0</v>
      </c>
      <c r="O68" s="1334" t="s">
        <v>406</v>
      </c>
      <c r="P68" s="1371" t="s">
        <v>868</v>
      </c>
      <c r="Q68" s="1327" t="e">
        <f ca="1">ROUND(Q69-Q70*Q71,0)</f>
        <v>#VALUE!</v>
      </c>
      <c r="R68" s="1327" t="s">
        <v>414</v>
      </c>
    </row>
    <row r="69" spans="1:18" s="1292" customFormat="1" ht="13.5" thickBot="1">
      <c r="A69" s="897"/>
      <c r="B69" s="898"/>
      <c r="C69" s="298"/>
      <c r="D69" s="916" t="s">
        <v>759</v>
      </c>
      <c r="E69" s="896" t="s">
        <v>760</v>
      </c>
      <c r="F69" s="324">
        <f ca="1">F41</f>
        <v>0</v>
      </c>
      <c r="O69" s="1334" t="s">
        <v>411</v>
      </c>
      <c r="P69" s="1371" t="s">
        <v>869</v>
      </c>
      <c r="Q69" s="1327" t="e">
        <f ca="1">C39</f>
        <v>#VALUE!</v>
      </c>
      <c r="R69" s="1327" t="s">
        <v>815</v>
      </c>
    </row>
    <row r="70" spans="1:18" s="1292" customFormat="1" ht="13.5" thickBot="1">
      <c r="A70" s="900"/>
      <c r="B70" s="901"/>
      <c r="C70" s="302"/>
      <c r="D70" s="912"/>
      <c r="E70" s="896" t="s">
        <v>763</v>
      </c>
      <c r="F70" s="991"/>
      <c r="O70" s="1334" t="s">
        <v>412</v>
      </c>
      <c r="P70" s="1371" t="s">
        <v>870</v>
      </c>
      <c r="Q70" s="1327" t="e">
        <f ca="1">C13</f>
        <v>#VALUE!</v>
      </c>
      <c r="R70" s="1327" t="s">
        <v>815</v>
      </c>
    </row>
    <row r="71" spans="1:18" s="1292" customFormat="1" ht="13.5" thickBot="1">
      <c r="A71" s="917" t="s">
        <v>396</v>
      </c>
      <c r="B71" s="918" t="s">
        <v>773</v>
      </c>
      <c r="C71" s="327" t="e">
        <f ca="1">ROUND(C68/F71,0)</f>
        <v>#VALUE!</v>
      </c>
      <c r="D71" s="919" t="s">
        <v>774</v>
      </c>
      <c r="E71" s="920" t="s">
        <v>775</v>
      </c>
      <c r="F71" s="330">
        <f ca="1">F43</f>
        <v>0</v>
      </c>
      <c r="O71" s="1334" t="s">
        <v>413</v>
      </c>
      <c r="P71" s="1371" t="s">
        <v>871</v>
      </c>
      <c r="Q71" s="1337">
        <f ca="1">C76</f>
        <v>0</v>
      </c>
      <c r="R71" s="1327"/>
    </row>
    <row r="72" spans="1:18" s="1292" customFormat="1" ht="13.5" thickBot="1">
      <c r="B72" s="685"/>
      <c r="C72" s="685"/>
      <c r="O72" s="1334" t="s">
        <v>407</v>
      </c>
      <c r="P72" s="1326" t="s">
        <v>849</v>
      </c>
      <c r="Q72" s="1337">
        <f>L52</f>
        <v>0</v>
      </c>
      <c r="R72" s="1327"/>
    </row>
    <row r="73" spans="1:18" ht="16" thickBot="1">
      <c r="A73" s="1292"/>
      <c r="B73" s="685"/>
      <c r="C73" s="685"/>
      <c r="D73" s="1292"/>
      <c r="E73" s="1292"/>
      <c r="F73" s="1292"/>
      <c r="O73" s="1334" t="s">
        <v>408</v>
      </c>
      <c r="P73" s="1326" t="s">
        <v>852</v>
      </c>
      <c r="Q73" s="1327" t="e">
        <f ca="1">L58</f>
        <v>#DIV/0!</v>
      </c>
      <c r="R73" s="1327" t="s">
        <v>853</v>
      </c>
    </row>
    <row r="74" spans="1:18" ht="13.5" thickBot="1">
      <c r="A74" s="1292"/>
      <c r="B74" s="265" t="s">
        <v>872</v>
      </c>
      <c r="C74" s="1373"/>
      <c r="D74" s="1292"/>
      <c r="E74" s="1292"/>
      <c r="F74" s="1292"/>
      <c r="O74" s="1334" t="s">
        <v>415</v>
      </c>
      <c r="P74" s="1326" t="str">
        <f>K59</f>
        <v>建筑物剩余耐用年限下的土地年期修正系数Kn</v>
      </c>
      <c r="Q74" s="1327" t="e">
        <f ca="1">L59</f>
        <v>#DIV/0!</v>
      </c>
      <c r="R74" s="1327" t="s">
        <v>854</v>
      </c>
    </row>
    <row r="75" spans="1:18" ht="13.5" thickBot="1">
      <c r="A75" s="1292"/>
      <c r="B75" s="331" t="s">
        <v>792</v>
      </c>
      <c r="C75" s="332" t="e">
        <f ca="1">ROUND(C13*C76,0)</f>
        <v>#VALUE!</v>
      </c>
      <c r="D75" s="1292"/>
      <c r="E75" s="1292"/>
      <c r="F75" s="1292"/>
      <c r="K75" s="1309"/>
      <c r="L75" s="1292"/>
      <c r="O75" s="1325" t="s">
        <v>409</v>
      </c>
      <c r="P75" s="1326" t="s">
        <v>835</v>
      </c>
      <c r="Q75" s="1327" t="e">
        <f ca="1">Q65+Q66</f>
        <v>#VALUE!</v>
      </c>
      <c r="R75" s="1327" t="s">
        <v>410</v>
      </c>
    </row>
    <row r="76" spans="1:18" ht="13">
      <c r="B76" s="333" t="s">
        <v>793</v>
      </c>
      <c r="C76" s="334">
        <f ca="1">INDIRECT("'数据-取费表'!j"&amp;$G$1)</f>
        <v>0</v>
      </c>
      <c r="I76" s="1292"/>
      <c r="J76" s="1292"/>
      <c r="K76" s="1309"/>
      <c r="L76" s="1292"/>
    </row>
    <row r="77" spans="1:18" ht="13.5">
      <c r="B77" s="335" t="s">
        <v>794</v>
      </c>
      <c r="C77" s="336"/>
      <c r="I77" s="1292"/>
      <c r="J77" s="1292"/>
      <c r="K77" s="1309"/>
      <c r="L77" s="1292"/>
    </row>
    <row r="78" spans="1:18" ht="13.5">
      <c r="B78" s="262" t="s">
        <v>795</v>
      </c>
      <c r="C78" s="337"/>
    </row>
    <row r="79" spans="1:18" ht="13">
      <c r="B79" s="331" t="s">
        <v>796</v>
      </c>
      <c r="C79" s="266" t="e">
        <f ca="1">1-C80</f>
        <v>#VALUE!</v>
      </c>
    </row>
    <row r="80" spans="1:18" ht="13">
      <c r="B80" s="331" t="s">
        <v>797</v>
      </c>
      <c r="C80" s="266" t="e">
        <f ca="1">ROUND(C75/C39,3)</f>
        <v>#VALUE!</v>
      </c>
    </row>
    <row r="81" spans="2:3" ht="13.5">
      <c r="B81" s="262" t="s">
        <v>798</v>
      </c>
      <c r="C81" s="230"/>
    </row>
    <row r="82" spans="2:3" ht="13">
      <c r="B82" s="265" t="s">
        <v>799</v>
      </c>
      <c r="C82" s="267" t="e">
        <f ca="1">1-C83</f>
        <v>#VALUE!</v>
      </c>
    </row>
    <row r="83" spans="2:3" ht="13">
      <c r="B83" s="265" t="s">
        <v>800</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3" t="s">
        <v>2306</v>
      </c>
      <c r="B2" s="2593" t="e">
        <f>IF(D2="——",C40,C40+E2)</f>
        <v>#DIV/0!</v>
      </c>
      <c r="C2" s="2594" t="s">
        <v>2307</v>
      </c>
      <c r="D2" s="3137" t="s">
        <v>3348</v>
      </c>
      <c r="E2" s="3138"/>
      <c r="F2" s="2596"/>
      <c r="G2" s="2597"/>
      <c r="H2" s="2598"/>
      <c r="I2" s="2599"/>
      <c r="J2" s="3407" t="s">
        <v>2308</v>
      </c>
      <c r="K2" s="3408"/>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409" t="s">
        <v>2318</v>
      </c>
      <c r="K3" s="3410"/>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409" t="s">
        <v>2320</v>
      </c>
      <c r="K4" s="3410"/>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415" t="s">
        <v>2324</v>
      </c>
      <c r="B6" s="3416"/>
      <c r="C6" s="3417"/>
      <c r="D6" s="2620"/>
      <c r="E6" s="2621"/>
      <c r="F6" s="2622"/>
      <c r="G6" s="2623"/>
      <c r="H6" s="2598"/>
      <c r="I6" s="2599"/>
      <c r="J6" s="3401">
        <v>1</v>
      </c>
      <c r="K6" s="3402"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401"/>
      <c r="K7" s="3403"/>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418" t="s">
        <v>2338</v>
      </c>
      <c r="C8" s="3419"/>
      <c r="D8" s="2639" t="s">
        <v>2339</v>
      </c>
      <c r="E8" s="2640" t="s">
        <v>2340</v>
      </c>
      <c r="F8" s="2641" t="s">
        <v>2341</v>
      </c>
      <c r="G8" s="2642"/>
      <c r="H8" s="2598"/>
      <c r="I8" s="2599"/>
      <c r="J8" s="3401"/>
      <c r="K8" s="3403"/>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418" t="s">
        <v>2344</v>
      </c>
      <c r="C9" s="3419"/>
      <c r="D9" s="2639">
        <f>ROUND(D6*E9,0)</f>
        <v>0</v>
      </c>
      <c r="E9" s="2643"/>
      <c r="F9" s="2644" t="s">
        <v>2345</v>
      </c>
      <c r="G9" s="2623"/>
      <c r="H9" s="2598"/>
      <c r="I9" s="2599"/>
      <c r="J9" s="3401"/>
      <c r="K9" s="3403"/>
      <c r="L9" s="2633" t="s">
        <v>2346</v>
      </c>
      <c r="M9" s="2634"/>
      <c r="N9" s="2610"/>
      <c r="O9" s="2635"/>
      <c r="P9" s="2635"/>
      <c r="Q9" s="2636">
        <v>365</v>
      </c>
      <c r="R9" s="2637">
        <f t="shared" si="0"/>
        <v>0</v>
      </c>
      <c r="S9" s="2591"/>
      <c r="T9" s="2591"/>
      <c r="U9" s="2591"/>
      <c r="V9" s="2599"/>
    </row>
    <row r="10" spans="1:22" s="2603" customFormat="1" ht="13.15" customHeight="1">
      <c r="A10" s="2638">
        <v>2</v>
      </c>
      <c r="B10" s="3418" t="s">
        <v>2347</v>
      </c>
      <c r="C10" s="3419"/>
      <c r="D10" s="2639">
        <f>ROUND(D6*E10,0)</f>
        <v>0</v>
      </c>
      <c r="E10" s="2643"/>
      <c r="F10" s="2644" t="s">
        <v>2348</v>
      </c>
      <c r="G10" s="2623"/>
      <c r="H10" s="2598"/>
      <c r="I10" s="2599"/>
      <c r="J10" s="3401"/>
      <c r="K10" s="3403"/>
      <c r="L10" s="2633" t="s">
        <v>2349</v>
      </c>
      <c r="M10" s="2634"/>
      <c r="N10" s="2610"/>
      <c r="O10" s="2635"/>
      <c r="P10" s="2635"/>
      <c r="Q10" s="2636">
        <v>365</v>
      </c>
      <c r="R10" s="2637">
        <f t="shared" si="0"/>
        <v>0</v>
      </c>
      <c r="S10" s="2591"/>
      <c r="T10" s="2591"/>
      <c r="U10" s="2591"/>
      <c r="V10" s="2599"/>
    </row>
    <row r="11" spans="1:22" s="2603" customFormat="1" ht="13.15" customHeight="1">
      <c r="A11" s="2638">
        <v>3</v>
      </c>
      <c r="B11" s="3418" t="s">
        <v>2350</v>
      </c>
      <c r="C11" s="3419"/>
      <c r="D11" s="2639">
        <f>D12+D14+D15+D16</f>
        <v>0</v>
      </c>
      <c r="E11" s="2645" t="e">
        <f>D11/D6</f>
        <v>#DIV/0!</v>
      </c>
      <c r="F11" s="2641"/>
      <c r="G11" s="2642"/>
      <c r="H11" s="2598"/>
      <c r="I11" s="2599"/>
      <c r="J11" s="3401"/>
      <c r="K11" s="3403"/>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411" t="s">
        <v>2353</v>
      </c>
      <c r="C12" s="3412"/>
      <c r="D12" s="2647">
        <f>ROUND(D13*1.2%*(1-30%),0)</f>
        <v>0</v>
      </c>
      <c r="E12" s="2648">
        <v>1.2E-2</v>
      </c>
      <c r="F12" s="2641" t="s">
        <v>2354</v>
      </c>
      <c r="G12" s="2642"/>
      <c r="H12" s="2598"/>
      <c r="I12" s="2599"/>
      <c r="J12" s="3401"/>
      <c r="K12" s="3403"/>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401"/>
      <c r="K13" s="3403"/>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411" t="s">
        <v>2359</v>
      </c>
      <c r="C14" s="3412"/>
      <c r="D14" s="2647">
        <f>ROUND(E14*B5/10000,0)</f>
        <v>0</v>
      </c>
      <c r="E14" s="2636"/>
      <c r="F14" s="2641" t="s">
        <v>2360</v>
      </c>
      <c r="G14" s="2642"/>
      <c r="H14" s="2598"/>
      <c r="I14" s="2599"/>
      <c r="J14" s="3401"/>
      <c r="K14" s="3404"/>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411" t="s">
        <v>2363</v>
      </c>
      <c r="C15" s="3412"/>
      <c r="D15" s="2647">
        <f>ROUND(D6*E15,0)</f>
        <v>0</v>
      </c>
      <c r="E15" s="2648">
        <v>5.5E-2</v>
      </c>
      <c r="F15" s="2641" t="s">
        <v>2364</v>
      </c>
      <c r="G15" s="2623"/>
      <c r="H15" s="2598"/>
      <c r="I15" s="2599"/>
      <c r="J15" s="3401">
        <v>2</v>
      </c>
      <c r="K15" s="3402"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411" t="s">
        <v>2372</v>
      </c>
      <c r="C16" s="3412"/>
      <c r="D16" s="2658">
        <f>D6*E16</f>
        <v>0</v>
      </c>
      <c r="E16" s="2659"/>
      <c r="F16" s="2644" t="s">
        <v>2373</v>
      </c>
      <c r="G16" s="2623"/>
      <c r="H16" s="2598"/>
      <c r="I16" s="2599"/>
      <c r="J16" s="3401"/>
      <c r="K16" s="3403"/>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413" t="s">
        <v>2375</v>
      </c>
      <c r="C17" s="3414"/>
      <c r="D17" s="2661">
        <f>ROUND(D6*E17,0)</f>
        <v>0</v>
      </c>
      <c r="E17" s="2662"/>
      <c r="F17" s="2663" t="s">
        <v>2376</v>
      </c>
      <c r="G17" s="2623"/>
      <c r="H17" s="2598"/>
      <c r="I17" s="2599"/>
      <c r="J17" s="3401"/>
      <c r="K17" s="3403"/>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401"/>
      <c r="K18" s="3403"/>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401"/>
      <c r="K19" s="3404"/>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01">
        <v>3</v>
      </c>
      <c r="K20" s="3402"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401"/>
      <c r="K21" s="3403"/>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401"/>
      <c r="K22" s="3403"/>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401"/>
      <c r="K23" s="3403"/>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401"/>
      <c r="K24" s="3404"/>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405">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40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407" t="s">
        <v>2308</v>
      </c>
      <c r="K32" s="3408"/>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409" t="s">
        <v>2318</v>
      </c>
      <c r="K33" s="3410"/>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409" t="s">
        <v>2320</v>
      </c>
      <c r="K34" s="341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401">
        <v>1</v>
      </c>
      <c r="K36" s="3402"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401"/>
      <c r="K37" s="3403"/>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01"/>
      <c r="K38" s="3403"/>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401"/>
      <c r="K39" s="3403"/>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401"/>
      <c r="K40" s="3404"/>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405">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40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1655</v>
      </c>
      <c r="B1" s="1726"/>
      <c r="C1" s="1726"/>
      <c r="D1" s="1726"/>
      <c r="E1" s="1727"/>
      <c r="F1" s="2478"/>
      <c r="G1" s="459"/>
      <c r="H1" s="459"/>
      <c r="I1" s="459"/>
      <c r="J1" s="459"/>
      <c r="K1" s="459"/>
      <c r="L1" s="459"/>
      <c r="M1" s="459"/>
      <c r="N1" s="459"/>
      <c r="O1" s="459"/>
      <c r="P1" s="459"/>
      <c r="Q1" s="459"/>
      <c r="R1" s="459"/>
      <c r="S1" s="459"/>
    </row>
    <row r="2" spans="1:22" ht="15.5">
      <c r="A2" s="1728" t="s">
        <v>1459</v>
      </c>
      <c r="B2" s="811">
        <f ca="1">SUMIF(B6:B13,"&lt;&gt;#ref!",B6:B13)</f>
        <v>0</v>
      </c>
      <c r="C2" s="1729" t="s">
        <v>1648</v>
      </c>
      <c r="D2" s="1730" t="s">
        <v>1649</v>
      </c>
      <c r="E2" s="2391">
        <f>SUM(E6:E13)</f>
        <v>0</v>
      </c>
      <c r="F2" s="2478"/>
      <c r="G2" s="459"/>
      <c r="H2" s="459"/>
      <c r="I2" s="459"/>
      <c r="J2" s="459"/>
      <c r="K2" s="459"/>
      <c r="L2" s="459"/>
      <c r="M2" s="459"/>
      <c r="N2" s="459"/>
      <c r="O2" s="459"/>
      <c r="P2" s="459"/>
      <c r="Q2" s="459"/>
      <c r="R2" s="459"/>
      <c r="S2" s="459"/>
    </row>
    <row r="3" spans="1:22" ht="15.5">
      <c r="A3" s="1728" t="s">
        <v>683</v>
      </c>
      <c r="B3" s="2385" t="e">
        <f ca="1">ROUND(B2*10000/E2,0)</f>
        <v>#DIV/0!</v>
      </c>
      <c r="C3" s="1729" t="s">
        <v>1656</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7" t="s">
        <v>1650</v>
      </c>
      <c r="B5" s="3420" t="s">
        <v>1651</v>
      </c>
      <c r="C5" s="3421"/>
      <c r="D5" s="2479"/>
      <c r="E5" s="1731" t="s">
        <v>1652</v>
      </c>
      <c r="F5" s="129" t="s">
        <v>1653</v>
      </c>
      <c r="G5" s="459"/>
      <c r="H5" s="459"/>
      <c r="I5" s="459"/>
      <c r="J5" s="459"/>
      <c r="K5" s="459"/>
      <c r="L5" s="459"/>
      <c r="M5" s="459"/>
      <c r="N5" s="459"/>
      <c r="O5" s="459"/>
      <c r="P5" s="459"/>
      <c r="Q5" s="459"/>
      <c r="R5" s="459"/>
      <c r="S5" s="459"/>
    </row>
    <row r="6" spans="1:22">
      <c r="A6" s="2388">
        <f>'数据-取费表'!AN6</f>
        <v>0</v>
      </c>
      <c r="B6" s="2386" t="e">
        <f ca="1">IF(F6="是",'数据-取费表'!AO6,0)</f>
        <v>#REF!</v>
      </c>
      <c r="C6" s="1729" t="s">
        <v>1648</v>
      </c>
      <c r="D6" s="2478"/>
      <c r="E6" s="2390">
        <f>IF(OR(A6=0,F6="否"),0,'数据-取费表'!K6+'数据-取费表'!S6)</f>
        <v>0</v>
      </c>
      <c r="F6" s="1732" t="s">
        <v>1654</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1648</v>
      </c>
      <c r="D7" s="2478"/>
      <c r="E7" s="2390">
        <f>IF(OR(A7=0,F7="否"),0,'数据-取费表'!K7+'数据-取费表'!S7)</f>
        <v>0</v>
      </c>
      <c r="F7" s="1732" t="s">
        <v>1654</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1648</v>
      </c>
      <c r="D8" s="2478"/>
      <c r="E8" s="2390">
        <f>IF(OR(A8=0,F8="否"),0,'数据-取费表'!K8+'数据-取费表'!S8)</f>
        <v>0</v>
      </c>
      <c r="F8" s="1732" t="s">
        <v>1654</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1648</v>
      </c>
      <c r="D9" s="2478"/>
      <c r="E9" s="2390">
        <f>IF(OR(A9=0,F9="否"),0,'数据-取费表'!K9+'数据-取费表'!S9)</f>
        <v>0</v>
      </c>
      <c r="F9" s="1732" t="s">
        <v>1654</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1648</v>
      </c>
      <c r="D10" s="2478"/>
      <c r="E10" s="2390">
        <f>IF(OR(A10=0,F10="否"),0,'数据-取费表'!K10+'数据-取费表'!S10)</f>
        <v>0</v>
      </c>
      <c r="F10" s="1732" t="s">
        <v>1654</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1648</v>
      </c>
      <c r="D11" s="2478"/>
      <c r="E11" s="2390">
        <f>IF(OR(A11=0,F11="否"),0,'数据-取费表'!K11+'数据-取费表'!S11)</f>
        <v>0</v>
      </c>
      <c r="F11" s="1732" t="s">
        <v>1654</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1648</v>
      </c>
      <c r="D12" s="2478"/>
      <c r="E12" s="2390">
        <f>IF(OR(A12=0,F12="否"),0,'数据-取费表'!K12+'数据-取费表'!S12)</f>
        <v>0</v>
      </c>
      <c r="F12" s="1732" t="s">
        <v>1654</v>
      </c>
      <c r="G12" s="459"/>
      <c r="H12" s="459"/>
      <c r="I12" s="459"/>
      <c r="J12" s="459"/>
      <c r="K12" s="459"/>
      <c r="L12" s="459"/>
      <c r="M12" s="459"/>
      <c r="N12" s="459"/>
      <c r="O12" s="459"/>
      <c r="P12" s="459"/>
      <c r="Q12" s="459"/>
      <c r="R12" s="459"/>
      <c r="S12" s="459"/>
    </row>
    <row r="13" spans="1:22" ht="14.5" thickBot="1">
      <c r="A13" s="2389">
        <f>'数据-取费表'!AN13</f>
        <v>0</v>
      </c>
      <c r="B13" s="2386" t="e">
        <f ca="1">IF(F13="是",'数据-取费表'!AO13,0)</f>
        <v>#REF!</v>
      </c>
      <c r="C13" s="1733" t="s">
        <v>1648</v>
      </c>
      <c r="D13" s="2480"/>
      <c r="E13" s="2390">
        <f>IF(OR(A13=0,F13="否"),0,'数据-取费表'!K13+'数据-取费表'!S13)</f>
        <v>0</v>
      </c>
      <c r="F13" s="1732"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1657</v>
      </c>
      <c r="B1" s="1734" t="s">
        <v>1658</v>
      </c>
      <c r="C1" s="1155" t="s">
        <v>1659</v>
      </c>
      <c r="D1" s="1142"/>
      <c r="E1" s="3123"/>
      <c r="F1" s="1735"/>
      <c r="G1" s="1152" t="s">
        <v>1660</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682</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1661</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683</v>
      </c>
      <c r="B3" s="343">
        <f>IF(C2="——",C49,ROUND(B2*10000/D3,0))</f>
        <v>0</v>
      </c>
      <c r="C3" s="344" t="s">
        <v>1662</v>
      </c>
      <c r="D3" s="343">
        <f>IF(D1="",'数据-汇总表'!E3,SUMIF('数据-汇总表'!$C19:$C33,D1,'数据-汇总表'!$E19:$E33))</f>
        <v>3730.1800000000003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1663</v>
      </c>
      <c r="B4" s="346"/>
      <c r="C4" s="3440" t="s">
        <v>1664</v>
      </c>
      <c r="D4" s="3441"/>
      <c r="E4" s="3442" t="s">
        <v>1665</v>
      </c>
      <c r="F4" s="3443"/>
      <c r="G4" s="3440" t="s">
        <v>1666</v>
      </c>
      <c r="H4" s="3441"/>
      <c r="I4" s="3440" t="s">
        <v>1667</v>
      </c>
      <c r="J4" s="3441"/>
      <c r="K4" s="1744" t="s">
        <v>1668</v>
      </c>
      <c r="L4" s="2485"/>
      <c r="M4" s="2486"/>
      <c r="N4" s="2486"/>
      <c r="O4" s="2486"/>
      <c r="P4" s="3444" t="s">
        <v>1669</v>
      </c>
      <c r="Q4" s="3445"/>
      <c r="R4" s="3450" t="s">
        <v>1665</v>
      </c>
      <c r="S4" s="3451"/>
      <c r="T4" s="3450" t="s">
        <v>1666</v>
      </c>
      <c r="U4" s="3451"/>
      <c r="V4" s="3426" t="s">
        <v>1667</v>
      </c>
      <c r="W4" s="3426"/>
      <c r="X4" s="1265"/>
      <c r="Y4" s="3450" t="s">
        <v>1669</v>
      </c>
      <c r="Z4" s="3451"/>
      <c r="AA4" s="3437" t="s">
        <v>1665</v>
      </c>
      <c r="AB4" s="3437" t="s">
        <v>1666</v>
      </c>
      <c r="AC4" s="3437" t="s">
        <v>1667</v>
      </c>
    </row>
    <row r="5" spans="1:29">
      <c r="A5" s="348"/>
      <c r="B5" s="349"/>
      <c r="C5" s="3458" t="s">
        <v>1670</v>
      </c>
      <c r="D5" s="3459"/>
      <c r="E5" s="3465" t="s">
        <v>1671</v>
      </c>
      <c r="F5" s="3466"/>
      <c r="G5" s="3458" t="s">
        <v>1672</v>
      </c>
      <c r="H5" s="3459"/>
      <c r="I5" s="3458" t="s">
        <v>1673</v>
      </c>
      <c r="J5" s="3459"/>
      <c r="K5" s="1745"/>
      <c r="L5" s="2485"/>
      <c r="M5" s="2486"/>
      <c r="N5" s="2486"/>
      <c r="O5" s="2486"/>
      <c r="P5" s="3446"/>
      <c r="Q5" s="3447"/>
      <c r="R5" s="3452"/>
      <c r="S5" s="3453"/>
      <c r="T5" s="3452"/>
      <c r="U5" s="3453"/>
      <c r="V5" s="3426"/>
      <c r="W5" s="3426"/>
      <c r="X5" s="1265"/>
      <c r="Y5" s="3452"/>
      <c r="Z5" s="3453"/>
      <c r="AA5" s="3438"/>
      <c r="AB5" s="3438"/>
      <c r="AC5" s="3438"/>
    </row>
    <row r="6" spans="1:29" ht="15" thickBot="1">
      <c r="A6" s="350"/>
      <c r="B6" s="351"/>
      <c r="C6" s="3456" t="s">
        <v>1674</v>
      </c>
      <c r="D6" s="3457"/>
      <c r="E6" s="3463" t="s">
        <v>1674</v>
      </c>
      <c r="F6" s="3464"/>
      <c r="G6" s="3456" t="s">
        <v>1674</v>
      </c>
      <c r="H6" s="3457"/>
      <c r="I6" s="3456" t="s">
        <v>1674</v>
      </c>
      <c r="J6" s="3457"/>
      <c r="K6" s="1745" t="s">
        <v>1675</v>
      </c>
      <c r="L6" s="2485"/>
      <c r="M6" s="2486"/>
      <c r="N6" s="2486"/>
      <c r="O6" s="2486"/>
      <c r="P6" s="3448"/>
      <c r="Q6" s="3449"/>
      <c r="R6" s="3452"/>
      <c r="S6" s="3453"/>
      <c r="T6" s="3454"/>
      <c r="U6" s="3455"/>
      <c r="V6" s="3426"/>
      <c r="W6" s="3426"/>
      <c r="X6" s="1265"/>
      <c r="Y6" s="3454"/>
      <c r="Z6" s="3455"/>
      <c r="AA6" s="3439"/>
      <c r="AB6" s="3439"/>
      <c r="AC6" s="3439"/>
    </row>
    <row r="7" spans="1:29" s="102" customFormat="1" ht="14.5" thickBot="1">
      <c r="A7" s="352" t="s">
        <v>1676</v>
      </c>
      <c r="B7" s="353"/>
      <c r="C7" s="354">
        <f>'数据-取费表'!B2</f>
        <v>45957</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460" t="s">
        <v>1677</v>
      </c>
      <c r="Q7" s="3462"/>
      <c r="R7" s="664" t="s">
        <v>20</v>
      </c>
      <c r="S7" s="665">
        <f t="shared" ref="S7:S15" si="0">F7</f>
        <v>0</v>
      </c>
      <c r="T7" s="664" t="s">
        <v>20</v>
      </c>
      <c r="U7" s="665">
        <f t="shared" ref="U7:U15" si="1">H7</f>
        <v>0</v>
      </c>
      <c r="V7" s="664" t="s">
        <v>20</v>
      </c>
      <c r="W7" s="665">
        <f t="shared" ref="W7:W15" si="2">J7</f>
        <v>0</v>
      </c>
      <c r="X7" s="666"/>
      <c r="Y7" s="3460" t="s">
        <v>1677</v>
      </c>
      <c r="Z7" s="3461"/>
      <c r="AA7" s="50" t="e">
        <f>D7/F7</f>
        <v>#DIV/0!</v>
      </c>
      <c r="AB7" s="50" t="e">
        <f>D7/H7</f>
        <v>#DIV/0!</v>
      </c>
      <c r="AC7" s="50" t="e">
        <f>D7/J7</f>
        <v>#DIV/0!</v>
      </c>
    </row>
    <row r="8" spans="1:29" s="102" customFormat="1" ht="14.5" thickBot="1">
      <c r="A8" s="352" t="s">
        <v>1678</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60" t="s">
        <v>1680</v>
      </c>
      <c r="Q8" s="3461"/>
      <c r="R8" s="664" t="s">
        <v>20</v>
      </c>
      <c r="S8" s="665">
        <f t="shared" si="0"/>
        <v>100</v>
      </c>
      <c r="T8" s="664" t="s">
        <v>20</v>
      </c>
      <c r="U8" s="665">
        <f t="shared" si="1"/>
        <v>100</v>
      </c>
      <c r="V8" s="664" t="s">
        <v>20</v>
      </c>
      <c r="W8" s="665">
        <f t="shared" si="2"/>
        <v>100</v>
      </c>
      <c r="X8" s="666"/>
      <c r="Y8" s="3460" t="s">
        <v>1680</v>
      </c>
      <c r="Z8" s="3461"/>
      <c r="AA8" s="50">
        <f t="shared" ref="AA8:AA19" si="3">D8/F8</f>
        <v>1</v>
      </c>
      <c r="AB8" s="50">
        <f t="shared" ref="AB8:AB19" si="4">D8/H8</f>
        <v>1</v>
      </c>
      <c r="AC8" s="50">
        <f t="shared" ref="AC8:AC19" si="5">D8/J8</f>
        <v>1</v>
      </c>
    </row>
    <row r="9" spans="1:29" s="102" customFormat="1">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36" t="s">
        <v>1683</v>
      </c>
      <c r="Q9" s="530" t="str">
        <f t="shared" ref="Q9:Q15" si="6">B9</f>
        <v>用途</v>
      </c>
      <c r="R9" s="664" t="s">
        <v>14</v>
      </c>
      <c r="S9" s="665">
        <f t="shared" si="0"/>
        <v>100</v>
      </c>
      <c r="T9" s="664" t="s">
        <v>14</v>
      </c>
      <c r="U9" s="665">
        <f t="shared" si="1"/>
        <v>100</v>
      </c>
      <c r="V9" s="664" t="s">
        <v>14</v>
      </c>
      <c r="W9" s="665">
        <f t="shared" si="2"/>
        <v>100</v>
      </c>
      <c r="X9" s="666"/>
      <c r="Y9" s="3300" t="s">
        <v>1684</v>
      </c>
      <c r="Z9" s="50" t="str">
        <f t="shared" ref="Z9:Z15" si="7">Q9</f>
        <v>用途</v>
      </c>
      <c r="AA9" s="50">
        <f t="shared" si="3"/>
        <v>1</v>
      </c>
      <c r="AB9" s="50">
        <f t="shared" si="4"/>
        <v>1</v>
      </c>
      <c r="AC9" s="50">
        <f t="shared" si="5"/>
        <v>1</v>
      </c>
    </row>
    <row r="10" spans="1:29" s="366" customFormat="1" ht="28">
      <c r="A10" s="363"/>
      <c r="B10" s="364" t="s">
        <v>1685</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36"/>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36"/>
      <c r="Q11" s="530" t="str">
        <f t="shared" si="6"/>
        <v>容积率</v>
      </c>
      <c r="R11" s="664" t="s">
        <v>18</v>
      </c>
      <c r="S11" s="665" t="e">
        <f t="shared" si="0"/>
        <v>#N/A</v>
      </c>
      <c r="T11" s="664" t="s">
        <v>18</v>
      </c>
      <c r="U11" s="665" t="e">
        <f t="shared" si="1"/>
        <v>#N/A</v>
      </c>
      <c r="V11" s="664" t="s">
        <v>18</v>
      </c>
      <c r="W11" s="665" t="e">
        <f t="shared" si="2"/>
        <v>#N/A</v>
      </c>
      <c r="X11" s="666"/>
      <c r="Y11" s="3300"/>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36"/>
      <c r="Q12" s="530">
        <f t="shared" si="6"/>
        <v>111</v>
      </c>
      <c r="R12" s="664" t="s">
        <v>18</v>
      </c>
      <c r="S12" s="665">
        <f t="shared" si="0"/>
        <v>100</v>
      </c>
      <c r="T12" s="664" t="s">
        <v>18</v>
      </c>
      <c r="U12" s="665">
        <f t="shared" si="1"/>
        <v>100</v>
      </c>
      <c r="V12" s="664" t="s">
        <v>18</v>
      </c>
      <c r="W12" s="665">
        <f t="shared" si="2"/>
        <v>100</v>
      </c>
      <c r="X12" s="666"/>
      <c r="Y12" s="3300"/>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36"/>
      <c r="Q13" s="530">
        <f t="shared" si="6"/>
        <v>111</v>
      </c>
      <c r="R13" s="664" t="s">
        <v>18</v>
      </c>
      <c r="S13" s="665">
        <f t="shared" si="0"/>
        <v>100</v>
      </c>
      <c r="T13" s="664" t="s">
        <v>18</v>
      </c>
      <c r="U13" s="665">
        <f t="shared" si="1"/>
        <v>100</v>
      </c>
      <c r="V13" s="664" t="s">
        <v>18</v>
      </c>
      <c r="W13" s="665">
        <f t="shared" si="2"/>
        <v>100</v>
      </c>
      <c r="X13" s="666"/>
      <c r="Y13" s="3300"/>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36"/>
      <c r="Q14" s="530">
        <f t="shared" si="6"/>
        <v>111</v>
      </c>
      <c r="R14" s="664" t="s">
        <v>18</v>
      </c>
      <c r="S14" s="665">
        <f t="shared" si="0"/>
        <v>100</v>
      </c>
      <c r="T14" s="664" t="s">
        <v>18</v>
      </c>
      <c r="U14" s="665">
        <f t="shared" si="1"/>
        <v>100</v>
      </c>
      <c r="V14" s="664" t="s">
        <v>18</v>
      </c>
      <c r="W14" s="665">
        <f t="shared" si="2"/>
        <v>100</v>
      </c>
      <c r="X14" s="666"/>
      <c r="Y14" s="3300"/>
      <c r="Z14" s="50">
        <f t="shared" si="7"/>
        <v>111</v>
      </c>
      <c r="AA14" s="50">
        <f t="shared" si="3"/>
        <v>1</v>
      </c>
      <c r="AB14" s="50">
        <f t="shared" si="4"/>
        <v>1</v>
      </c>
      <c r="AC14" s="50">
        <f t="shared" si="5"/>
        <v>1</v>
      </c>
    </row>
    <row r="15" spans="1:29" ht="98">
      <c r="A15" s="379" t="s">
        <v>1687</v>
      </c>
      <c r="B15" s="58" t="s">
        <v>1254</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4" t="s">
        <v>1688</v>
      </c>
      <c r="Q15" s="1263" t="str">
        <f t="shared" si="6"/>
        <v>居住社区成熟度</v>
      </c>
      <c r="R15" s="667" t="s">
        <v>18</v>
      </c>
      <c r="S15" s="668">
        <f t="shared" si="0"/>
        <v>100</v>
      </c>
      <c r="T15" s="667" t="s">
        <v>18</v>
      </c>
      <c r="U15" s="668">
        <f t="shared" si="1"/>
        <v>100</v>
      </c>
      <c r="V15" s="667" t="s">
        <v>18</v>
      </c>
      <c r="W15" s="668">
        <f t="shared" si="2"/>
        <v>100</v>
      </c>
      <c r="X15" s="1265"/>
      <c r="Y15" s="3427" t="s">
        <v>1688</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35"/>
      <c r="Q16" s="1263"/>
      <c r="R16" s="667"/>
      <c r="S16" s="668"/>
      <c r="T16" s="667"/>
      <c r="U16" s="668"/>
      <c r="V16" s="667"/>
      <c r="W16" s="668"/>
      <c r="X16" s="1265"/>
      <c r="Y16" s="3428"/>
      <c r="Z16" s="1264"/>
      <c r="AA16" s="1264">
        <v>1</v>
      </c>
      <c r="AB16" s="1264">
        <v>1</v>
      </c>
      <c r="AC16" s="1264">
        <v>1</v>
      </c>
    </row>
    <row r="17" spans="1:29" ht="182">
      <c r="A17" s="367"/>
      <c r="B17" s="390" t="s">
        <v>1256</v>
      </c>
      <c r="C17" s="1754" t="str">
        <f>估价对象房地状况!C6</f>
        <v>咨询对象北侧临城市支路——大金北路，西侧距城市次干道——团河路直线距离约110米，周边1公里范围内有369、485、676等多条线路经过，2公里范围内无地铁，项目内部有地面停车位，综合评价交通便捷度一般</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5"/>
      <c r="Q17" s="1263" t="str">
        <f>B17</f>
        <v>交通便捷度</v>
      </c>
      <c r="R17" s="667" t="s">
        <v>18</v>
      </c>
      <c r="S17" s="668">
        <f>F17</f>
        <v>100</v>
      </c>
      <c r="T17" s="667" t="s">
        <v>18</v>
      </c>
      <c r="U17" s="668">
        <f>H17</f>
        <v>100</v>
      </c>
      <c r="V17" s="667" t="s">
        <v>18</v>
      </c>
      <c r="W17" s="668">
        <f>J17</f>
        <v>100</v>
      </c>
      <c r="X17" s="1265"/>
      <c r="Y17" s="342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35"/>
      <c r="Q18" s="1263"/>
      <c r="R18" s="667"/>
      <c r="S18" s="668"/>
      <c r="T18" s="667"/>
      <c r="U18" s="668"/>
      <c r="V18" s="667"/>
      <c r="W18" s="668"/>
      <c r="X18" s="1265"/>
      <c r="Y18" s="3428"/>
      <c r="Z18" s="1264"/>
      <c r="AA18" s="1264">
        <v>1</v>
      </c>
      <c r="AB18" s="1264">
        <v>1</v>
      </c>
      <c r="AC18" s="1264">
        <v>1</v>
      </c>
    </row>
    <row r="19" spans="1:29" ht="266">
      <c r="A19" s="367"/>
      <c r="B19" s="390" t="s">
        <v>1255</v>
      </c>
      <c r="C19" s="1754" t="str">
        <f>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5"/>
      <c r="Q19" s="1263" t="str">
        <f>B19</f>
        <v>公共配套设施</v>
      </c>
      <c r="R19" s="667" t="s">
        <v>18</v>
      </c>
      <c r="S19" s="668">
        <f>F19</f>
        <v>100</v>
      </c>
      <c r="T19" s="667" t="s">
        <v>18</v>
      </c>
      <c r="U19" s="668">
        <f>H19</f>
        <v>100</v>
      </c>
      <c r="V19" s="667" t="s">
        <v>18</v>
      </c>
      <c r="W19" s="668">
        <f>J19</f>
        <v>100</v>
      </c>
      <c r="X19" s="1265"/>
      <c r="Y19" s="342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35"/>
      <c r="Q20" s="1263"/>
      <c r="R20" s="667"/>
      <c r="S20" s="668"/>
      <c r="T20" s="667"/>
      <c r="U20" s="668"/>
      <c r="V20" s="667"/>
      <c r="W20" s="668"/>
      <c r="X20" s="1265"/>
      <c r="Y20" s="3428"/>
      <c r="Z20" s="1264"/>
      <c r="AA20" s="1264">
        <v>1</v>
      </c>
      <c r="AB20" s="1264">
        <v>1</v>
      </c>
      <c r="AC20" s="1264">
        <v>1</v>
      </c>
    </row>
    <row r="21" spans="1:29" ht="42">
      <c r="A21" s="367"/>
      <c r="B21" s="586" t="s">
        <v>1257</v>
      </c>
      <c r="C21" s="1754"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35"/>
      <c r="Q22" s="1263"/>
      <c r="R22" s="667"/>
      <c r="S22" s="668"/>
      <c r="T22" s="667"/>
      <c r="U22" s="668"/>
      <c r="V22" s="667"/>
      <c r="W22" s="668"/>
      <c r="X22" s="1265"/>
      <c r="Y22" s="3428"/>
      <c r="Z22" s="1264"/>
      <c r="AA22" s="1264">
        <v>1</v>
      </c>
      <c r="AB22" s="1264">
        <v>1</v>
      </c>
      <c r="AC22" s="1264">
        <v>1</v>
      </c>
    </row>
    <row r="23" spans="1:29" ht="154">
      <c r="A23" s="367"/>
      <c r="B23" s="390" t="s">
        <v>1258</v>
      </c>
      <c r="C23" s="1754" t="str">
        <f>估价对象房地状况!C9</f>
        <v>区域自然环境：寿保庄公园、敬贤公园、新三余公园、星光·视界公园；人文环境：中国人民公安大学（团河校区）、民政职业大学（大兴校区）；综合评价环境状况较好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5"/>
      <c r="Q23" s="1263" t="str">
        <f>B23</f>
        <v>自然及人文环境</v>
      </c>
      <c r="R23" s="667" t="s">
        <v>18</v>
      </c>
      <c r="S23" s="668">
        <f>F23</f>
        <v>100</v>
      </c>
      <c r="T23" s="667" t="s">
        <v>18</v>
      </c>
      <c r="U23" s="668">
        <f>H23</f>
        <v>100</v>
      </c>
      <c r="V23" s="667" t="s">
        <v>18</v>
      </c>
      <c r="W23" s="668">
        <f>J23</f>
        <v>100</v>
      </c>
      <c r="X23" s="1265"/>
      <c r="Y23" s="342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35"/>
      <c r="Q24" s="1263"/>
      <c r="R24" s="667"/>
      <c r="S24" s="668"/>
      <c r="T24" s="667"/>
      <c r="U24" s="668"/>
      <c r="V24" s="667"/>
      <c r="W24" s="668"/>
      <c r="X24" s="1265"/>
      <c r="Y24" s="3428"/>
      <c r="Z24" s="1264"/>
      <c r="AA24" s="1264">
        <v>1</v>
      </c>
      <c r="AB24" s="1264">
        <v>1</v>
      </c>
      <c r="AC24" s="1264">
        <v>1</v>
      </c>
    </row>
    <row r="25" spans="1:29" ht="15.5">
      <c r="A25" s="367"/>
      <c r="B25" s="364" t="s">
        <v>1689</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8"/>
      <c r="Z25" s="1264" t="str">
        <f>Q25</f>
        <v>楼层-1</v>
      </c>
      <c r="AA25" s="1264">
        <f t="shared" ref="AA25:AA46" si="15">D25/F25</f>
        <v>1</v>
      </c>
      <c r="AB25" s="1264">
        <f t="shared" ref="AB25:AB46" si="16">D25/H25</f>
        <v>1</v>
      </c>
      <c r="AC25" s="1264">
        <f t="shared" ref="AC25:AC46" si="17">D25/J25</f>
        <v>1</v>
      </c>
    </row>
    <row r="26" spans="1:29" ht="15.5">
      <c r="A26" s="367"/>
      <c r="B26" s="364" t="s">
        <v>1690</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5"/>
      <c r="Q26" s="1263" t="str">
        <f t="shared" si="11"/>
        <v>朝向</v>
      </c>
      <c r="R26" s="667" t="s">
        <v>18</v>
      </c>
      <c r="S26" s="668">
        <f t="shared" si="12"/>
        <v>100</v>
      </c>
      <c r="T26" s="667" t="s">
        <v>18</v>
      </c>
      <c r="U26" s="668">
        <f t="shared" si="13"/>
        <v>100</v>
      </c>
      <c r="V26" s="667" t="s">
        <v>18</v>
      </c>
      <c r="W26" s="668">
        <f t="shared" si="14"/>
        <v>100</v>
      </c>
      <c r="X26" s="1265"/>
      <c r="Y26" s="342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35"/>
      <c r="Q27" s="530">
        <f t="shared" si="11"/>
        <v>111</v>
      </c>
      <c r="R27" s="664" t="s">
        <v>18</v>
      </c>
      <c r="S27" s="665">
        <f t="shared" si="12"/>
        <v>100</v>
      </c>
      <c r="T27" s="664" t="s">
        <v>18</v>
      </c>
      <c r="U27" s="665">
        <f t="shared" si="13"/>
        <v>100</v>
      </c>
      <c r="V27" s="664" t="s">
        <v>18</v>
      </c>
      <c r="W27" s="665">
        <f t="shared" si="14"/>
        <v>100</v>
      </c>
      <c r="X27" s="666"/>
      <c r="Y27" s="342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5"/>
      <c r="Q28" s="1263">
        <f t="shared" si="11"/>
        <v>111</v>
      </c>
      <c r="R28" s="667" t="s">
        <v>18</v>
      </c>
      <c r="S28" s="668">
        <f t="shared" si="12"/>
        <v>100</v>
      </c>
      <c r="T28" s="667" t="s">
        <v>18</v>
      </c>
      <c r="U28" s="668">
        <f t="shared" si="13"/>
        <v>100</v>
      </c>
      <c r="V28" s="667" t="s">
        <v>18</v>
      </c>
      <c r="W28" s="668">
        <f t="shared" si="14"/>
        <v>100</v>
      </c>
      <c r="X28" s="1265"/>
      <c r="Y28" s="342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5"/>
      <c r="Q29" s="1263">
        <f t="shared" si="11"/>
        <v>111</v>
      </c>
      <c r="R29" s="667" t="s">
        <v>18</v>
      </c>
      <c r="S29" s="668">
        <f t="shared" si="12"/>
        <v>100</v>
      </c>
      <c r="T29" s="667" t="s">
        <v>18</v>
      </c>
      <c r="U29" s="668">
        <f t="shared" si="13"/>
        <v>100</v>
      </c>
      <c r="V29" s="667" t="s">
        <v>18</v>
      </c>
      <c r="W29" s="668">
        <f t="shared" si="14"/>
        <v>100</v>
      </c>
      <c r="X29" s="1265"/>
      <c r="Y29" s="342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5"/>
      <c r="Q30" s="1263">
        <f t="shared" si="11"/>
        <v>111</v>
      </c>
      <c r="R30" s="667" t="s">
        <v>18</v>
      </c>
      <c r="S30" s="668">
        <f t="shared" si="12"/>
        <v>100</v>
      </c>
      <c r="T30" s="667" t="s">
        <v>18</v>
      </c>
      <c r="U30" s="668">
        <f t="shared" si="13"/>
        <v>100</v>
      </c>
      <c r="V30" s="667" t="s">
        <v>18</v>
      </c>
      <c r="W30" s="668">
        <f t="shared" si="14"/>
        <v>100</v>
      </c>
      <c r="X30" s="1265"/>
      <c r="Y30" s="342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5"/>
      <c r="Q31" s="1263">
        <f t="shared" si="11"/>
        <v>111</v>
      </c>
      <c r="R31" s="667" t="s">
        <v>18</v>
      </c>
      <c r="S31" s="668">
        <f t="shared" si="12"/>
        <v>100</v>
      </c>
      <c r="T31" s="667" t="s">
        <v>18</v>
      </c>
      <c r="U31" s="668">
        <f t="shared" si="13"/>
        <v>100</v>
      </c>
      <c r="V31" s="667" t="s">
        <v>18</v>
      </c>
      <c r="W31" s="668">
        <f t="shared" si="14"/>
        <v>100</v>
      </c>
      <c r="X31" s="1265"/>
      <c r="Y31" s="3428"/>
      <c r="Z31" s="1264">
        <f t="shared" si="18"/>
        <v>111</v>
      </c>
      <c r="AA31" s="1264">
        <f t="shared" si="15"/>
        <v>1</v>
      </c>
      <c r="AB31" s="1264">
        <f t="shared" si="16"/>
        <v>1</v>
      </c>
      <c r="AC31" s="1264">
        <f t="shared" si="17"/>
        <v>1</v>
      </c>
    </row>
    <row r="32" spans="1:29" ht="15.5">
      <c r="A32" s="379" t="s">
        <v>1691</v>
      </c>
      <c r="B32" s="60" t="s">
        <v>1692</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9" t="s">
        <v>1693</v>
      </c>
      <c r="Q32" s="1263" t="str">
        <f t="shared" si="11"/>
        <v>建筑类型</v>
      </c>
      <c r="R32" s="667" t="s">
        <v>18</v>
      </c>
      <c r="S32" s="668">
        <f t="shared" si="12"/>
        <v>100</v>
      </c>
      <c r="T32" s="667" t="s">
        <v>18</v>
      </c>
      <c r="U32" s="668">
        <f t="shared" si="13"/>
        <v>100</v>
      </c>
      <c r="V32" s="667" t="s">
        <v>18</v>
      </c>
      <c r="W32" s="668">
        <f t="shared" si="14"/>
        <v>100</v>
      </c>
      <c r="X32" s="1265"/>
      <c r="Y32" s="3432" t="s">
        <v>1693</v>
      </c>
      <c r="Z32" s="1264" t="str">
        <f t="shared" si="18"/>
        <v>建筑类型</v>
      </c>
      <c r="AA32" s="1264">
        <f t="shared" si="15"/>
        <v>1</v>
      </c>
      <c r="AB32" s="1264">
        <f t="shared" si="16"/>
        <v>1</v>
      </c>
      <c r="AC32" s="1264">
        <f t="shared" si="17"/>
        <v>1</v>
      </c>
    </row>
    <row r="33" spans="1:29" s="408" customFormat="1" ht="15.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0"/>
      <c r="Q33" s="531" t="str">
        <f t="shared" si="11"/>
        <v>项目建筑规模</v>
      </c>
      <c r="R33" s="669" t="s">
        <v>18</v>
      </c>
      <c r="S33" s="670" t="e">
        <f t="shared" si="12"/>
        <v>#N/A</v>
      </c>
      <c r="T33" s="669" t="s">
        <v>18</v>
      </c>
      <c r="U33" s="670" t="e">
        <f t="shared" si="13"/>
        <v>#N/A</v>
      </c>
      <c r="V33" s="669" t="s">
        <v>18</v>
      </c>
      <c r="W33" s="670" t="e">
        <f t="shared" si="14"/>
        <v>#N/A</v>
      </c>
      <c r="X33" s="671"/>
      <c r="Y33" s="3432"/>
      <c r="Z33" s="672" t="str">
        <f t="shared" si="18"/>
        <v>项目建筑规模</v>
      </c>
      <c r="AA33" s="1264" t="e">
        <f t="shared" si="15"/>
        <v>#N/A</v>
      </c>
      <c r="AB33" s="1264" t="e">
        <f t="shared" si="16"/>
        <v>#N/A</v>
      </c>
      <c r="AC33" s="1264" t="e">
        <f t="shared" si="17"/>
        <v>#N/A</v>
      </c>
    </row>
    <row r="34" spans="1:29" ht="15.5">
      <c r="A34" s="409"/>
      <c r="B34" s="364" t="s">
        <v>1695</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0"/>
      <c r="Q34" s="1263" t="str">
        <f t="shared" si="11"/>
        <v>建筑结构</v>
      </c>
      <c r="R34" s="667" t="s">
        <v>18</v>
      </c>
      <c r="S34" s="668">
        <f t="shared" si="12"/>
        <v>100</v>
      </c>
      <c r="T34" s="667" t="s">
        <v>18</v>
      </c>
      <c r="U34" s="668">
        <f t="shared" si="13"/>
        <v>100</v>
      </c>
      <c r="V34" s="667" t="s">
        <v>18</v>
      </c>
      <c r="W34" s="668">
        <f t="shared" si="14"/>
        <v>100</v>
      </c>
      <c r="X34" s="1265"/>
      <c r="Y34" s="3432"/>
      <c r="Z34" s="1264" t="str">
        <f t="shared" si="18"/>
        <v>建筑结构</v>
      </c>
      <c r="AA34" s="1264">
        <f t="shared" si="15"/>
        <v>1</v>
      </c>
      <c r="AB34" s="1264">
        <f t="shared" si="16"/>
        <v>1</v>
      </c>
      <c r="AC34" s="1264">
        <f t="shared" si="17"/>
        <v>1</v>
      </c>
    </row>
    <row r="35" spans="1:29" ht="15.5">
      <c r="A35" s="409"/>
      <c r="B35" s="364" t="s">
        <v>1696</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0"/>
      <c r="Q35" s="1263" t="str">
        <f t="shared" si="11"/>
        <v>建筑品质</v>
      </c>
      <c r="R35" s="667" t="s">
        <v>18</v>
      </c>
      <c r="S35" s="668">
        <f t="shared" si="12"/>
        <v>100</v>
      </c>
      <c r="T35" s="667" t="s">
        <v>18</v>
      </c>
      <c r="U35" s="668">
        <f t="shared" si="13"/>
        <v>100</v>
      </c>
      <c r="V35" s="667" t="s">
        <v>18</v>
      </c>
      <c r="W35" s="668">
        <f t="shared" si="14"/>
        <v>100</v>
      </c>
      <c r="X35" s="1265"/>
      <c r="Y35" s="3432"/>
      <c r="Z35" s="1264" t="str">
        <f t="shared" si="18"/>
        <v>建筑品质</v>
      </c>
      <c r="AA35" s="1264">
        <f t="shared" si="15"/>
        <v>1</v>
      </c>
      <c r="AB35" s="1264">
        <f t="shared" si="16"/>
        <v>1</v>
      </c>
      <c r="AC35" s="1264">
        <f t="shared" si="17"/>
        <v>1</v>
      </c>
    </row>
    <row r="36" spans="1:29" ht="15.5">
      <c r="A36" s="409"/>
      <c r="B36" s="364" t="s">
        <v>1697</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0"/>
      <c r="Q36" s="1263" t="str">
        <f t="shared" si="11"/>
        <v>公共部分装修</v>
      </c>
      <c r="R36" s="667" t="s">
        <v>18</v>
      </c>
      <c r="S36" s="668">
        <f t="shared" si="12"/>
        <v>100</v>
      </c>
      <c r="T36" s="667" t="s">
        <v>18</v>
      </c>
      <c r="U36" s="668">
        <f t="shared" si="13"/>
        <v>100</v>
      </c>
      <c r="V36" s="667" t="s">
        <v>18</v>
      </c>
      <c r="W36" s="668">
        <f t="shared" si="14"/>
        <v>100</v>
      </c>
      <c r="X36" s="1265"/>
      <c r="Y36" s="3432"/>
      <c r="Z36" s="1264" t="str">
        <f t="shared" si="18"/>
        <v>公共部分装修</v>
      </c>
      <c r="AA36" s="1264">
        <f t="shared" si="15"/>
        <v>1</v>
      </c>
      <c r="AB36" s="1264">
        <f t="shared" si="16"/>
        <v>1</v>
      </c>
      <c r="AC36" s="1264">
        <f t="shared" si="17"/>
        <v>1</v>
      </c>
    </row>
    <row r="37" spans="1:29" s="102" customFormat="1" ht="15.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30"/>
      <c r="Q37" s="530" t="str">
        <f t="shared" si="11"/>
        <v>成新度</v>
      </c>
      <c r="R37" s="664" t="s">
        <v>18</v>
      </c>
      <c r="S37" s="665" t="e">
        <f t="shared" si="12"/>
        <v>#N/A</v>
      </c>
      <c r="T37" s="664" t="s">
        <v>18</v>
      </c>
      <c r="U37" s="665" t="e">
        <f t="shared" si="13"/>
        <v>#N/A</v>
      </c>
      <c r="V37" s="664" t="s">
        <v>18</v>
      </c>
      <c r="W37" s="665" t="e">
        <f t="shared" si="14"/>
        <v>#N/A</v>
      </c>
      <c r="X37" s="666"/>
      <c r="Y37" s="3432"/>
      <c r="Z37" s="50" t="str">
        <f t="shared" si="18"/>
        <v>成新度</v>
      </c>
      <c r="AA37" s="50" t="e">
        <f t="shared" si="15"/>
        <v>#N/A</v>
      </c>
      <c r="AB37" s="50" t="e">
        <f t="shared" si="16"/>
        <v>#N/A</v>
      </c>
      <c r="AC37" s="50" t="e">
        <f t="shared" si="17"/>
        <v>#N/A</v>
      </c>
    </row>
    <row r="38" spans="1:29" ht="15.5">
      <c r="A38" s="409"/>
      <c r="B38" s="364" t="s">
        <v>1699</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0" t="s">
        <v>1693</v>
      </c>
      <c r="Q38" s="1263" t="str">
        <f t="shared" si="11"/>
        <v>物业管理</v>
      </c>
      <c r="R38" s="667" t="s">
        <v>18</v>
      </c>
      <c r="S38" s="668">
        <f t="shared" si="12"/>
        <v>100</v>
      </c>
      <c r="T38" s="667" t="s">
        <v>18</v>
      </c>
      <c r="U38" s="668">
        <f t="shared" si="13"/>
        <v>100</v>
      </c>
      <c r="V38" s="667" t="s">
        <v>18</v>
      </c>
      <c r="W38" s="668">
        <f t="shared" si="14"/>
        <v>100</v>
      </c>
      <c r="X38" s="1265"/>
      <c r="Y38" s="3432" t="s">
        <v>1693</v>
      </c>
      <c r="Z38" s="1264" t="str">
        <f t="shared" si="18"/>
        <v>物业管理</v>
      </c>
      <c r="AA38" s="1264">
        <f t="shared" si="15"/>
        <v>1</v>
      </c>
      <c r="AB38" s="1264">
        <f t="shared" si="16"/>
        <v>1</v>
      </c>
      <c r="AC38" s="1264">
        <f t="shared" si="17"/>
        <v>1</v>
      </c>
    </row>
    <row r="39" spans="1:29" ht="15.5">
      <c r="A39" s="409"/>
      <c r="B39" s="364" t="s">
        <v>1700</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0"/>
      <c r="Q39" s="1263" t="str">
        <f t="shared" si="11"/>
        <v>市政基础设施</v>
      </c>
      <c r="R39" s="667" t="s">
        <v>18</v>
      </c>
      <c r="S39" s="668">
        <f t="shared" si="12"/>
        <v>100</v>
      </c>
      <c r="T39" s="667" t="s">
        <v>18</v>
      </c>
      <c r="U39" s="668">
        <f t="shared" si="13"/>
        <v>100</v>
      </c>
      <c r="V39" s="667" t="s">
        <v>18</v>
      </c>
      <c r="W39" s="668">
        <f t="shared" si="14"/>
        <v>100</v>
      </c>
      <c r="X39" s="1265"/>
      <c r="Y39" s="3432"/>
      <c r="Z39" s="1264" t="str">
        <f t="shared" si="18"/>
        <v>市政基础设施</v>
      </c>
      <c r="AA39" s="1264">
        <f t="shared" si="15"/>
        <v>1</v>
      </c>
      <c r="AB39" s="1264">
        <f t="shared" si="16"/>
        <v>1</v>
      </c>
      <c r="AC39" s="1264">
        <f t="shared" si="17"/>
        <v>1</v>
      </c>
    </row>
    <row r="40" spans="1:29" ht="15.5">
      <c r="A40" s="409"/>
      <c r="B40" s="364" t="s">
        <v>1701</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0"/>
      <c r="Q40" s="1263" t="str">
        <f t="shared" si="11"/>
        <v>房型</v>
      </c>
      <c r="R40" s="667" t="s">
        <v>18</v>
      </c>
      <c r="S40" s="668">
        <f t="shared" si="12"/>
        <v>100</v>
      </c>
      <c r="T40" s="667" t="s">
        <v>18</v>
      </c>
      <c r="U40" s="668">
        <f t="shared" si="13"/>
        <v>100</v>
      </c>
      <c r="V40" s="667" t="s">
        <v>18</v>
      </c>
      <c r="W40" s="668">
        <f t="shared" si="14"/>
        <v>100</v>
      </c>
      <c r="X40" s="1265"/>
      <c r="Y40" s="3432"/>
      <c r="Z40" s="1264" t="str">
        <f t="shared" si="18"/>
        <v>房型</v>
      </c>
      <c r="AA40" s="1264">
        <f t="shared" si="15"/>
        <v>1</v>
      </c>
      <c r="AB40" s="1264">
        <f t="shared" si="16"/>
        <v>1</v>
      </c>
      <c r="AC40" s="1264">
        <f t="shared" si="17"/>
        <v>1</v>
      </c>
    </row>
    <row r="41" spans="1:29" s="408" customFormat="1" ht="28.5">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0"/>
      <c r="Q41" s="531" t="str">
        <f t="shared" si="11"/>
        <v>单套/主力户型建筑面积</v>
      </c>
      <c r="R41" s="669" t="s">
        <v>18</v>
      </c>
      <c r="S41" s="670">
        <f t="shared" si="12"/>
        <v>100</v>
      </c>
      <c r="T41" s="669" t="s">
        <v>18</v>
      </c>
      <c r="U41" s="670">
        <f t="shared" si="13"/>
        <v>100</v>
      </c>
      <c r="V41" s="669" t="s">
        <v>18</v>
      </c>
      <c r="W41" s="670">
        <f t="shared" si="14"/>
        <v>100</v>
      </c>
      <c r="X41" s="671"/>
      <c r="Y41" s="3432"/>
      <c r="Z41" s="672" t="str">
        <f t="shared" si="18"/>
        <v>单套/主力户型建筑面积</v>
      </c>
      <c r="AA41" s="1264">
        <f t="shared" si="15"/>
        <v>1</v>
      </c>
      <c r="AB41" s="1264">
        <f t="shared" si="16"/>
        <v>1</v>
      </c>
      <c r="AC41" s="1264">
        <f t="shared" si="17"/>
        <v>1</v>
      </c>
    </row>
    <row r="42" spans="1:29" ht="15.5">
      <c r="A42" s="409"/>
      <c r="B42" s="364" t="s">
        <v>1703</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0"/>
      <c r="Q42" s="1263" t="str">
        <f t="shared" si="11"/>
        <v>内部装修</v>
      </c>
      <c r="R42" s="667" t="s">
        <v>18</v>
      </c>
      <c r="S42" s="668">
        <f t="shared" si="12"/>
        <v>100</v>
      </c>
      <c r="T42" s="667" t="s">
        <v>18</v>
      </c>
      <c r="U42" s="668">
        <f t="shared" si="13"/>
        <v>100</v>
      </c>
      <c r="V42" s="667" t="s">
        <v>18</v>
      </c>
      <c r="W42" s="668">
        <f t="shared" si="14"/>
        <v>100</v>
      </c>
      <c r="X42" s="1265"/>
      <c r="Y42" s="3432"/>
      <c r="Z42" s="1264" t="str">
        <f t="shared" si="18"/>
        <v>内部装修</v>
      </c>
      <c r="AA42" s="1264">
        <f t="shared" si="15"/>
        <v>1</v>
      </c>
      <c r="AB42" s="1264">
        <f t="shared" si="16"/>
        <v>1</v>
      </c>
      <c r="AC42" s="1264">
        <f t="shared" si="17"/>
        <v>1</v>
      </c>
    </row>
    <row r="43" spans="1:29" ht="28">
      <c r="A43" s="409"/>
      <c r="B43" s="364" t="s">
        <v>1704</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0"/>
      <c r="Q43" s="1263" t="str">
        <f t="shared" si="11"/>
        <v>内部装修维护情况</v>
      </c>
      <c r="R43" s="667" t="s">
        <v>18</v>
      </c>
      <c r="S43" s="668">
        <f t="shared" si="12"/>
        <v>100</v>
      </c>
      <c r="T43" s="667" t="s">
        <v>18</v>
      </c>
      <c r="U43" s="668">
        <f t="shared" si="13"/>
        <v>100</v>
      </c>
      <c r="V43" s="667" t="s">
        <v>18</v>
      </c>
      <c r="W43" s="668">
        <f t="shared" si="14"/>
        <v>100</v>
      </c>
      <c r="X43" s="1265"/>
      <c r="Y43" s="343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30"/>
      <c r="Q44" s="530">
        <f t="shared" si="11"/>
        <v>111</v>
      </c>
      <c r="R44" s="664" t="s">
        <v>18</v>
      </c>
      <c r="S44" s="665">
        <f t="shared" si="12"/>
        <v>100</v>
      </c>
      <c r="T44" s="664" t="s">
        <v>18</v>
      </c>
      <c r="U44" s="665">
        <f t="shared" si="13"/>
        <v>100</v>
      </c>
      <c r="V44" s="664" t="s">
        <v>18</v>
      </c>
      <c r="W44" s="665">
        <f t="shared" si="14"/>
        <v>100</v>
      </c>
      <c r="X44" s="666"/>
      <c r="Y44" s="343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0"/>
      <c r="Q45" s="1263">
        <f t="shared" si="11"/>
        <v>111</v>
      </c>
      <c r="R45" s="667" t="s">
        <v>18</v>
      </c>
      <c r="S45" s="668">
        <f t="shared" si="12"/>
        <v>100</v>
      </c>
      <c r="T45" s="667" t="s">
        <v>18</v>
      </c>
      <c r="U45" s="668">
        <f t="shared" si="13"/>
        <v>100</v>
      </c>
      <c r="V45" s="667" t="s">
        <v>18</v>
      </c>
      <c r="W45" s="668">
        <f t="shared" si="14"/>
        <v>100</v>
      </c>
      <c r="X45" s="1265"/>
      <c r="Y45" s="343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1"/>
      <c r="Q46" s="1263">
        <f t="shared" si="11"/>
        <v>111</v>
      </c>
      <c r="R46" s="667" t="s">
        <v>17</v>
      </c>
      <c r="S46" s="668">
        <f t="shared" si="12"/>
        <v>100</v>
      </c>
      <c r="T46" s="667" t="s">
        <v>17</v>
      </c>
      <c r="U46" s="668">
        <f t="shared" si="13"/>
        <v>100</v>
      </c>
      <c r="V46" s="667" t="s">
        <v>17</v>
      </c>
      <c r="W46" s="668">
        <f t="shared" si="14"/>
        <v>100</v>
      </c>
      <c r="X46" s="1265"/>
      <c r="Y46" s="3433"/>
      <c r="Z46" s="1264">
        <f t="shared" si="18"/>
        <v>111</v>
      </c>
      <c r="AA46" s="1264">
        <f t="shared" si="15"/>
        <v>1</v>
      </c>
      <c r="AB46" s="1264">
        <f t="shared" si="16"/>
        <v>1</v>
      </c>
      <c r="AC46" s="1264">
        <f t="shared" si="17"/>
        <v>1</v>
      </c>
    </row>
    <row r="47" spans="1:29">
      <c r="A47" s="416" t="s">
        <v>1705</v>
      </c>
      <c r="B47" s="417"/>
      <c r="C47" s="1081" t="s">
        <v>16</v>
      </c>
      <c r="D47" s="418"/>
      <c r="E47" s="419"/>
      <c r="F47" s="420"/>
      <c r="G47" s="421"/>
      <c r="H47" s="422"/>
      <c r="I47" s="419"/>
      <c r="J47" s="422"/>
      <c r="K47" s="1767"/>
      <c r="L47" s="2493"/>
      <c r="M47" s="2486"/>
      <c r="N47" s="2486"/>
      <c r="O47" s="2486"/>
      <c r="P47" s="3425" t="str">
        <f>A47</f>
        <v>成交单价（元/平方米）</v>
      </c>
      <c r="Q47" s="3425"/>
      <c r="R47" s="3426">
        <f>E47</f>
        <v>0</v>
      </c>
      <c r="S47" s="3426"/>
      <c r="T47" s="3426">
        <f>G47</f>
        <v>0</v>
      </c>
      <c r="U47" s="3426"/>
      <c r="V47" s="3426">
        <f>I47</f>
        <v>0</v>
      </c>
      <c r="W47" s="3426"/>
      <c r="X47" s="385"/>
      <c r="Y47" s="673"/>
      <c r="Z47" s="385"/>
      <c r="AA47" s="385"/>
      <c r="AB47" s="385"/>
      <c r="AC47" s="385"/>
    </row>
    <row r="48" spans="1:29" ht="14.5" thickBot="1">
      <c r="A48" s="423" t="s">
        <v>1706</v>
      </c>
      <c r="B48" s="424"/>
      <c r="C48" s="1082" t="e">
        <f>R49</f>
        <v>#DIV/0!</v>
      </c>
      <c r="D48" s="2141" t="s">
        <v>2132</v>
      </c>
      <c r="E48" s="1083" t="e">
        <f>R48</f>
        <v>#DIV/0!</v>
      </c>
      <c r="F48" s="2142"/>
      <c r="G48" s="1082" t="e">
        <f>T48</f>
        <v>#DIV/0!</v>
      </c>
      <c r="H48" s="2142"/>
      <c r="I48" s="1083" t="e">
        <f>V48</f>
        <v>#DIV/0!</v>
      </c>
      <c r="J48" s="2142"/>
      <c r="K48" s="2143">
        <f>F48+H48+J48</f>
        <v>0</v>
      </c>
      <c r="L48" s="2493"/>
      <c r="M48" s="2486"/>
      <c r="N48" s="2486"/>
      <c r="O48" s="2486"/>
      <c r="P48" s="3425" t="str">
        <f>A48</f>
        <v>比较价值（元/平方米）</v>
      </c>
      <c r="Q48" s="3425"/>
      <c r="R48" s="3426" t="e">
        <f>IF(F1="售价",ROUND(PRODUCT(R47,AA7:AA46),0),ROUND(PRODUCT(R47,AA7:AA46),1))</f>
        <v>#DIV/0!</v>
      </c>
      <c r="S48" s="3426"/>
      <c r="T48" s="3426" t="e">
        <f>IF(F1="售价",ROUND(PRODUCT(T47,AB7:AB46),0),ROUND(PRODUCT(T47,AB7:AB46),1))</f>
        <v>#DIV/0!</v>
      </c>
      <c r="U48" s="3426"/>
      <c r="V48" s="3426" t="e">
        <f>IF(F1="售价",ROUND(PRODUCT(V47,AC7:AC46),0),ROUND(PRODUCT(V47,AC7:AC46),1))</f>
        <v>#DIV/0!</v>
      </c>
      <c r="W48" s="3426"/>
      <c r="X48" s="385"/>
      <c r="Y48" s="385"/>
      <c r="Z48" s="385"/>
      <c r="AA48" s="385"/>
      <c r="AB48" s="385"/>
      <c r="AC48" s="385"/>
    </row>
    <row r="49" spans="1:29" ht="14.5" thickBot="1">
      <c r="A49" s="427" t="s">
        <v>1707</v>
      </c>
      <c r="B49" s="428"/>
      <c r="C49" s="1084" t="e">
        <f>R49</f>
        <v>#DIV/0!</v>
      </c>
      <c r="D49" s="351"/>
      <c r="E49" s="351"/>
      <c r="F49" s="351"/>
      <c r="G49" s="351"/>
      <c r="H49" s="351"/>
      <c r="I49" s="351"/>
      <c r="J49" s="351"/>
      <c r="K49" s="1768"/>
      <c r="L49" s="2493"/>
      <c r="M49" s="2486"/>
      <c r="N49" s="2486"/>
      <c r="O49" s="2486"/>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1711</v>
      </c>
      <c r="B57" s="385"/>
      <c r="C57" s="659"/>
      <c r="D57" s="659"/>
      <c r="E57" s="659"/>
      <c r="F57" s="660"/>
      <c r="G57" s="660"/>
      <c r="H57" s="659"/>
      <c r="I57" s="659"/>
      <c r="J57" s="659"/>
      <c r="K57" s="887"/>
      <c r="L57" s="888"/>
      <c r="M57" s="886"/>
      <c r="N57" s="886"/>
      <c r="O57" s="886"/>
      <c r="P57" s="1771"/>
      <c r="Q57" s="439"/>
    </row>
    <row r="58" spans="1:29" s="442" customFormat="1">
      <c r="A58" s="440" t="s">
        <v>1712</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1713</v>
      </c>
      <c r="B60" s="450"/>
      <c r="C60" s="451"/>
      <c r="D60" s="452"/>
      <c r="E60" s="452"/>
      <c r="F60" s="452"/>
      <c r="G60" s="452"/>
      <c r="H60" s="452"/>
      <c r="I60" s="452"/>
      <c r="J60" s="452"/>
      <c r="K60" s="452"/>
      <c r="L60" s="452"/>
      <c r="M60" s="453"/>
      <c r="N60" s="452"/>
      <c r="O60" s="453"/>
      <c r="P60" s="1773"/>
      <c r="Q60" s="439"/>
    </row>
    <row r="61" spans="1:29" s="102" customFormat="1">
      <c r="A61" s="455" t="s">
        <v>1714</v>
      </c>
      <c r="B61" s="444"/>
      <c r="C61" s="456" t="s">
        <v>1715</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1716</v>
      </c>
      <c r="B63" s="460" t="s">
        <v>1682</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1685</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1687</v>
      </c>
      <c r="B76" s="460" t="s">
        <v>1717</v>
      </c>
      <c r="C76" s="504" t="s">
        <v>1718</v>
      </c>
      <c r="D76" s="504" t="s">
        <v>1719</v>
      </c>
      <c r="E76" s="504" t="s">
        <v>1720</v>
      </c>
      <c r="F76" s="504" t="s">
        <v>1721</v>
      </c>
      <c r="G76" s="504" t="s">
        <v>1722</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1723</v>
      </c>
      <c r="C78" s="509" t="s">
        <v>1718</v>
      </c>
      <c r="D78" s="509" t="s">
        <v>1719</v>
      </c>
      <c r="E78" s="509" t="s">
        <v>1720</v>
      </c>
      <c r="F78" s="509" t="s">
        <v>1721</v>
      </c>
      <c r="G78" s="509" t="s">
        <v>1722</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1724</v>
      </c>
      <c r="C80" s="509" t="s">
        <v>1718</v>
      </c>
      <c r="D80" s="509" t="s">
        <v>1719</v>
      </c>
      <c r="E80" s="509" t="s">
        <v>1720</v>
      </c>
      <c r="F80" s="509" t="s">
        <v>1721</v>
      </c>
      <c r="G80" s="509" t="s">
        <v>1722</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1257</v>
      </c>
      <c r="C82" s="470" t="s">
        <v>1725</v>
      </c>
      <c r="D82" s="470" t="s">
        <v>1726</v>
      </c>
      <c r="E82" s="470" t="s">
        <v>1727</v>
      </c>
      <c r="F82" s="470" t="s">
        <v>1728</v>
      </c>
      <c r="G82" s="470" t="s">
        <v>1729</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1730</v>
      </c>
      <c r="C84" s="509" t="s">
        <v>1718</v>
      </c>
      <c r="D84" s="509" t="s">
        <v>1719</v>
      </c>
      <c r="E84" s="509" t="s">
        <v>1720</v>
      </c>
      <c r="F84" s="509" t="s">
        <v>1721</v>
      </c>
      <c r="G84" s="509" t="s">
        <v>1722</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1731</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1732</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1691</v>
      </c>
      <c r="B100" s="460" t="s">
        <v>1733</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1735</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1736</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1737</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1187</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1738</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1739</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1740</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1702</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1741</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1742</v>
      </c>
      <c r="C124" s="509" t="s">
        <v>1718</v>
      </c>
      <c r="D124" s="509" t="s">
        <v>1719</v>
      </c>
      <c r="E124" s="509" t="s">
        <v>1720</v>
      </c>
      <c r="F124" s="509" t="s">
        <v>1721</v>
      </c>
      <c r="G124" s="509" t="s">
        <v>1722</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1743</v>
      </c>
    </row>
    <row r="137" spans="1:17" ht="15.5">
      <c r="B137" s="1782" t="s">
        <v>1744</v>
      </c>
      <c r="C137" s="1783"/>
      <c r="D137" s="1783"/>
      <c r="E137" s="1783"/>
      <c r="F137" s="1783"/>
      <c r="G137" s="1784"/>
      <c r="H137" s="1785"/>
      <c r="I137" s="1786" t="s">
        <v>1745</v>
      </c>
      <c r="J137" s="1783"/>
      <c r="K137" s="1787"/>
    </row>
    <row r="138" spans="1:17" ht="15.5">
      <c r="B138" s="1788"/>
      <c r="C138" s="129" t="s">
        <v>1746</v>
      </c>
      <c r="D138" s="129" t="s">
        <v>1747</v>
      </c>
      <c r="E138" s="1789" t="s">
        <v>1748</v>
      </c>
      <c r="F138" s="1790" t="s">
        <v>1749</v>
      </c>
      <c r="G138" s="129" t="s">
        <v>1747</v>
      </c>
      <c r="H138" s="130" t="s">
        <v>1748</v>
      </c>
      <c r="I138" s="1791"/>
      <c r="J138" s="129" t="s">
        <v>1750</v>
      </c>
      <c r="K138" s="130" t="s">
        <v>1751</v>
      </c>
    </row>
    <row r="139" spans="1:17" ht="15.5">
      <c r="B139" s="814">
        <v>6</v>
      </c>
      <c r="C139" s="815">
        <v>96</v>
      </c>
      <c r="D139" s="1792" t="s">
        <v>1752</v>
      </c>
      <c r="E139" s="816">
        <v>100</v>
      </c>
      <c r="F139" s="817">
        <v>102.5</v>
      </c>
      <c r="G139" s="1792" t="s">
        <v>1752</v>
      </c>
      <c r="H139" s="818">
        <v>105</v>
      </c>
      <c r="I139" s="1793" t="s">
        <v>1753</v>
      </c>
      <c r="J139" s="815">
        <v>20</v>
      </c>
      <c r="K139" s="819">
        <f>C145/(J139-2)</f>
        <v>4.0555555555555553E-3</v>
      </c>
    </row>
    <row r="140" spans="1:17" ht="15.5">
      <c r="B140" s="820">
        <v>5</v>
      </c>
      <c r="C140" s="821">
        <v>100</v>
      </c>
      <c r="D140" s="821"/>
      <c r="E140" s="822"/>
      <c r="F140" s="823">
        <v>102</v>
      </c>
      <c r="G140" s="821"/>
      <c r="H140" s="824"/>
      <c r="I140" s="1794" t="s">
        <v>1754</v>
      </c>
      <c r="J140" s="263">
        <f>ROUNDUP((J139-1)/2,0)</f>
        <v>10</v>
      </c>
      <c r="K140" s="825">
        <v>100</v>
      </c>
    </row>
    <row r="141" spans="1:17" ht="15.5">
      <c r="B141" s="820">
        <v>4</v>
      </c>
      <c r="C141" s="821">
        <v>102</v>
      </c>
      <c r="D141" s="821"/>
      <c r="E141" s="822"/>
      <c r="F141" s="823">
        <v>101.5</v>
      </c>
      <c r="G141" s="821"/>
      <c r="H141" s="824"/>
      <c r="I141" s="1794" t="s">
        <v>1755</v>
      </c>
      <c r="J141" s="263">
        <v>1</v>
      </c>
      <c r="K141" s="826">
        <f>ROUND(100+(J141-J140)*K139*100,1)</f>
        <v>96.4</v>
      </c>
    </row>
    <row r="142" spans="1:17" ht="15.5">
      <c r="B142" s="820">
        <v>3</v>
      </c>
      <c r="C142" s="821">
        <v>103</v>
      </c>
      <c r="D142" s="821"/>
      <c r="E142" s="822"/>
      <c r="F142" s="823">
        <v>101</v>
      </c>
      <c r="G142" s="821"/>
      <c r="H142" s="824"/>
      <c r="I142" s="1794" t="s">
        <v>1756</v>
      </c>
      <c r="J142" s="263">
        <f>J139</f>
        <v>20</v>
      </c>
      <c r="K142" s="827">
        <v>95</v>
      </c>
    </row>
    <row r="143" spans="1:17" ht="15.5">
      <c r="B143" s="820">
        <v>2</v>
      </c>
      <c r="C143" s="821">
        <v>100</v>
      </c>
      <c r="D143" s="821"/>
      <c r="E143" s="822"/>
      <c r="F143" s="823">
        <v>100.5</v>
      </c>
      <c r="G143" s="821"/>
      <c r="H143" s="824"/>
      <c r="I143" s="1794" t="s">
        <v>1757</v>
      </c>
      <c r="J143" s="821">
        <v>15</v>
      </c>
      <c r="K143" s="826">
        <f>ROUND(100+(J143-J140)*K139*100,1)</f>
        <v>102</v>
      </c>
    </row>
    <row r="144" spans="1:17" ht="15.5">
      <c r="B144" s="820">
        <v>1</v>
      </c>
      <c r="C144" s="821">
        <v>98</v>
      </c>
      <c r="D144" s="1795" t="s">
        <v>1758</v>
      </c>
      <c r="E144" s="822">
        <v>102</v>
      </c>
      <c r="F144" s="828">
        <v>100</v>
      </c>
      <c r="G144" s="1795" t="s">
        <v>1758</v>
      </c>
      <c r="H144" s="824">
        <v>105</v>
      </c>
      <c r="I144" s="1794" t="s">
        <v>1757</v>
      </c>
      <c r="J144" s="821">
        <v>18</v>
      </c>
      <c r="K144" s="826">
        <f>ROUND(100+(J144-J140)*K139*100,1)</f>
        <v>103.2</v>
      </c>
    </row>
    <row r="145" spans="2:11" ht="16" thickBot="1">
      <c r="B145" s="1796" t="s">
        <v>1759</v>
      </c>
      <c r="C145" s="829">
        <f>ROUND(MAX(C139:C144)/MIN(C139:C144)-1,3)</f>
        <v>7.2999999999999995E-2</v>
      </c>
      <c r="D145" s="830"/>
      <c r="E145" s="830"/>
      <c r="F145" s="1797" t="s">
        <v>1760</v>
      </c>
      <c r="G145" s="1798"/>
      <c r="H145" s="1799"/>
      <c r="I145" s="1800" t="s">
        <v>1757</v>
      </c>
      <c r="J145" s="831">
        <v>8</v>
      </c>
      <c r="K145" s="832">
        <f>ROUND(100+(J145-J140)*K139*100,1)</f>
        <v>99.2</v>
      </c>
    </row>
    <row r="147" spans="2:11">
      <c r="B147" s="1781" t="s">
        <v>1761</v>
      </c>
    </row>
    <row r="148" spans="2:11">
      <c r="B148" s="1781"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B19" zoomScale="55" zoomScaleNormal="70" zoomScaleSheetLayoutView="55" workbookViewId="0">
      <selection activeCell="G17" sqref="G17"/>
    </sheetView>
  </sheetViews>
  <sheetFormatPr defaultColWidth="9" defaultRowHeight="14"/>
  <cols>
    <col min="1" max="1" width="10.453125" style="347" customWidth="1"/>
    <col min="2" max="2" width="15.7265625" style="347" customWidth="1"/>
    <col min="3" max="3" width="34.1796875" style="347" customWidth="1"/>
    <col min="4" max="4" width="12.26953125" style="347" customWidth="1"/>
    <col min="5" max="5" width="33.453125" style="347" customWidth="1"/>
    <col min="6" max="6" width="12.26953125" style="347" customWidth="1"/>
    <col min="7" max="7" width="35.08984375" style="347" customWidth="1"/>
    <col min="8" max="8" width="12.26953125" style="347" customWidth="1"/>
    <col min="9" max="9" width="36.81640625" style="347" customWidth="1"/>
    <col min="10" max="10" width="12.26953125" style="347" customWidth="1"/>
    <col min="11" max="11" width="12.26953125" style="430" customWidth="1"/>
    <col min="12" max="12" width="12.26953125" style="431" customWidth="1"/>
    <col min="13" max="14" width="12.26953125" style="347" customWidth="1"/>
    <col min="15" max="15" width="18.72656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1657</v>
      </c>
      <c r="B1" s="1734" t="s">
        <v>1763</v>
      </c>
      <c r="C1" s="1155" t="s">
        <v>1659</v>
      </c>
      <c r="D1" s="1142" t="s">
        <v>3436</v>
      </c>
      <c r="E1" s="3123" t="s">
        <v>3442</v>
      </c>
      <c r="F1" s="1735" t="s">
        <v>3443</v>
      </c>
      <c r="G1" s="1152" t="s">
        <v>1764</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1459</v>
      </c>
      <c r="B2" s="1085">
        <f>IF(E1="项目模式",IF(C2="——",ROUND(C49*D3/10000,0),ROUND(C49*D3/10000,0)-D2),IF(E1="单套模式",IF(C2="——",ROUND(C49*D3/10000,4),ROUND(C49*D3/10000,4)-D2)))</f>
        <v>0.1222</v>
      </c>
      <c r="C2" s="1737" t="s">
        <v>43</v>
      </c>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1461</v>
      </c>
      <c r="B3" s="536">
        <f>IF(C2="——",C49,ROUND(B2*10000/D3,0))</f>
        <v>1.35</v>
      </c>
      <c r="C3" s="344" t="s">
        <v>1765</v>
      </c>
      <c r="D3" s="343">
        <f>IF(D1="",'数据-汇总表'!E3,SUMIF('数据-汇总表'!$C19:$C33,D1,'数据-汇总表'!$E19:$E33))</f>
        <v>905.30000000000018</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1766</v>
      </c>
      <c r="B4" s="346"/>
      <c r="C4" s="3440" t="s">
        <v>1767</v>
      </c>
      <c r="D4" s="3441"/>
      <c r="E4" s="3442" t="s">
        <v>1768</v>
      </c>
      <c r="F4" s="3443"/>
      <c r="G4" s="3440" t="s">
        <v>1769</v>
      </c>
      <c r="H4" s="3441"/>
      <c r="I4" s="3440" t="s">
        <v>1770</v>
      </c>
      <c r="J4" s="3441"/>
      <c r="K4" s="537" t="s">
        <v>1771</v>
      </c>
      <c r="L4" s="2485"/>
      <c r="M4" s="2486"/>
      <c r="N4" s="2486"/>
      <c r="O4" s="2486"/>
      <c r="P4" s="3444" t="s">
        <v>1772</v>
      </c>
      <c r="Q4" s="3445"/>
      <c r="R4" s="3450" t="s">
        <v>1768</v>
      </c>
      <c r="S4" s="3451"/>
      <c r="T4" s="3450" t="s">
        <v>1769</v>
      </c>
      <c r="U4" s="3451"/>
      <c r="V4" s="3426" t="s">
        <v>1770</v>
      </c>
      <c r="W4" s="3426"/>
      <c r="X4" s="1265"/>
      <c r="Y4" s="3450" t="s">
        <v>1772</v>
      </c>
      <c r="Z4" s="3451"/>
      <c r="AA4" s="3437" t="s">
        <v>1768</v>
      </c>
      <c r="AB4" s="3426" t="s">
        <v>1769</v>
      </c>
      <c r="AC4" s="3437" t="s">
        <v>1770</v>
      </c>
    </row>
    <row r="5" spans="1:29">
      <c r="A5" s="348"/>
      <c r="B5" s="349"/>
      <c r="C5" s="3469" t="s">
        <v>3444</v>
      </c>
      <c r="D5" s="3459"/>
      <c r="E5" s="3470" t="s">
        <v>3592</v>
      </c>
      <c r="F5" s="3466"/>
      <c r="G5" s="3469" t="s">
        <v>3571</v>
      </c>
      <c r="H5" s="3459"/>
      <c r="I5" s="3469" t="s">
        <v>3571</v>
      </c>
      <c r="J5" s="3459"/>
      <c r="K5" s="537"/>
      <c r="L5" s="2485"/>
      <c r="M5" s="2486"/>
      <c r="N5" s="2486"/>
      <c r="O5" s="2486"/>
      <c r="P5" s="3446"/>
      <c r="Q5" s="3447"/>
      <c r="R5" s="3452"/>
      <c r="S5" s="3453"/>
      <c r="T5" s="3452"/>
      <c r="U5" s="3453"/>
      <c r="V5" s="3426"/>
      <c r="W5" s="3426"/>
      <c r="X5" s="1265"/>
      <c r="Y5" s="3452"/>
      <c r="Z5" s="3453"/>
      <c r="AA5" s="3438"/>
      <c r="AB5" s="3426"/>
      <c r="AC5" s="3438"/>
    </row>
    <row r="6" spans="1:29" ht="15" thickBot="1">
      <c r="A6" s="350"/>
      <c r="B6" s="351"/>
      <c r="C6" s="3456" t="s">
        <v>1674</v>
      </c>
      <c r="D6" s="3457"/>
      <c r="E6" s="3463" t="s">
        <v>1674</v>
      </c>
      <c r="F6" s="3464"/>
      <c r="G6" s="3456" t="s">
        <v>1674</v>
      </c>
      <c r="H6" s="3457"/>
      <c r="I6" s="3456" t="s">
        <v>1674</v>
      </c>
      <c r="J6" s="3457"/>
      <c r="K6" s="537" t="s">
        <v>1675</v>
      </c>
      <c r="L6" s="2485"/>
      <c r="M6" s="2486"/>
      <c r="N6" s="2486"/>
      <c r="O6" s="2486"/>
      <c r="P6" s="3448"/>
      <c r="Q6" s="3449"/>
      <c r="R6" s="3452"/>
      <c r="S6" s="3453"/>
      <c r="T6" s="3454"/>
      <c r="U6" s="3455"/>
      <c r="V6" s="3426"/>
      <c r="W6" s="3426"/>
      <c r="X6" s="1265"/>
      <c r="Y6" s="3454"/>
      <c r="Z6" s="3455"/>
      <c r="AA6" s="3439"/>
      <c r="AB6" s="3426"/>
      <c r="AC6" s="3439"/>
    </row>
    <row r="7" spans="1:29" s="102" customFormat="1" ht="14.5" thickBot="1">
      <c r="A7" s="352" t="s">
        <v>1676</v>
      </c>
      <c r="B7" s="353"/>
      <c r="C7" s="354">
        <f>'数据-取费表'!B2</f>
        <v>45957</v>
      </c>
      <c r="D7" s="355">
        <v>100</v>
      </c>
      <c r="E7" s="356">
        <f>C7</f>
        <v>45957</v>
      </c>
      <c r="F7" s="357">
        <f>SUMIF(58:58,YEAR(E7)&amp;"-"&amp;MONTH(E7),59:59)</f>
        <v>100</v>
      </c>
      <c r="G7" s="356">
        <f>C7</f>
        <v>45957</v>
      </c>
      <c r="H7" s="355">
        <f>SUMIF(58:58,YEAR(G7)&amp;"-"&amp;MONTH(G7),59:59)</f>
        <v>100</v>
      </c>
      <c r="I7" s="356">
        <f>C7</f>
        <v>45957</v>
      </c>
      <c r="J7" s="355">
        <f>SUMIF(58:58,YEAR(I7)&amp;"-"&amp;MONTH(I7),59:59)</f>
        <v>100</v>
      </c>
      <c r="K7" s="38"/>
      <c r="L7" s="2487"/>
      <c r="M7" s="2438"/>
      <c r="N7" s="2438"/>
      <c r="O7" s="2438"/>
      <c r="P7" s="3460" t="s">
        <v>1677</v>
      </c>
      <c r="Q7" s="3462"/>
      <c r="R7" s="664" t="s">
        <v>14</v>
      </c>
      <c r="S7" s="665">
        <f t="shared" ref="S7:S15" si="0">F7</f>
        <v>100</v>
      </c>
      <c r="T7" s="664" t="s">
        <v>14</v>
      </c>
      <c r="U7" s="665">
        <f t="shared" ref="U7:U15" si="1">H7</f>
        <v>100</v>
      </c>
      <c r="V7" s="664" t="s">
        <v>14</v>
      </c>
      <c r="W7" s="665">
        <f t="shared" ref="W7:W15" si="2">J7</f>
        <v>100</v>
      </c>
      <c r="X7" s="666"/>
      <c r="Y7" s="3460" t="s">
        <v>1677</v>
      </c>
      <c r="Z7" s="3461"/>
      <c r="AA7" s="50">
        <f>D7/F7</f>
        <v>1</v>
      </c>
      <c r="AB7" s="50">
        <f>D7/H7</f>
        <v>1</v>
      </c>
      <c r="AC7" s="50">
        <f>D7/J7</f>
        <v>1</v>
      </c>
    </row>
    <row r="8" spans="1:29" s="102" customFormat="1" ht="14.5" thickBot="1">
      <c r="A8" s="352" t="s">
        <v>1678</v>
      </c>
      <c r="B8" s="353"/>
      <c r="C8" s="358" t="s">
        <v>3445</v>
      </c>
      <c r="D8" s="355">
        <v>100</v>
      </c>
      <c r="E8" s="358" t="s">
        <v>3446</v>
      </c>
      <c r="F8" s="357">
        <f>SUMIF(61:61,E8,62:62)-SUMIF(61:61,C8,62:62)+100</f>
        <v>105</v>
      </c>
      <c r="G8" s="358" t="s">
        <v>3446</v>
      </c>
      <c r="H8" s="355">
        <f>SUMIF(61:61,G8,62:62)-SUMIF(61:61,C8,62:62)+100</f>
        <v>105</v>
      </c>
      <c r="I8" s="358" t="s">
        <v>3446</v>
      </c>
      <c r="J8" s="355">
        <f>SUMIF(61:61,I8,62:62)-SUMIF(61:61,C8,62:62)+100</f>
        <v>105</v>
      </c>
      <c r="K8" s="38"/>
      <c r="L8" s="2487"/>
      <c r="M8" s="2438"/>
      <c r="N8" s="2438"/>
      <c r="O8" s="2438"/>
      <c r="P8" s="3460" t="s">
        <v>1680</v>
      </c>
      <c r="Q8" s="3461"/>
      <c r="R8" s="664" t="s">
        <v>14</v>
      </c>
      <c r="S8" s="665">
        <f t="shared" si="0"/>
        <v>105</v>
      </c>
      <c r="T8" s="664" t="s">
        <v>14</v>
      </c>
      <c r="U8" s="665">
        <f t="shared" si="1"/>
        <v>105</v>
      </c>
      <c r="V8" s="664" t="s">
        <v>14</v>
      </c>
      <c r="W8" s="665">
        <f t="shared" si="2"/>
        <v>105</v>
      </c>
      <c r="X8" s="666"/>
      <c r="Y8" s="3460" t="s">
        <v>1680</v>
      </c>
      <c r="Z8" s="3461"/>
      <c r="AA8" s="50">
        <f t="shared" ref="AA8:AA46" si="3">D8/F8</f>
        <v>0.95238095238095233</v>
      </c>
      <c r="AB8" s="50">
        <f t="shared" ref="AB8:AB46" si="4">D8/H8</f>
        <v>0.95238095238095233</v>
      </c>
      <c r="AC8" s="50">
        <f t="shared" ref="AC8:AC46" si="5">D8/J8</f>
        <v>0.95238095238095233</v>
      </c>
    </row>
    <row r="9" spans="1:29" s="102" customFormat="1">
      <c r="A9" s="359" t="s">
        <v>1681</v>
      </c>
      <c r="B9" s="60" t="s">
        <v>1682</v>
      </c>
      <c r="C9" s="3172" t="s">
        <v>3448</v>
      </c>
      <c r="D9" s="59">
        <v>100</v>
      </c>
      <c r="E9" s="361" t="s">
        <v>670</v>
      </c>
      <c r="F9" s="60">
        <f>SUMIF(63:63,E9,64:64)-SUMIF(63:63,C9,64:64)+100</f>
        <v>100</v>
      </c>
      <c r="G9" s="361" t="s">
        <v>670</v>
      </c>
      <c r="H9" s="59">
        <f>SUMIF(63:63,G9,64:64)-SUMIF(63:63,C9,64:64)+100</f>
        <v>100</v>
      </c>
      <c r="I9" s="361" t="s">
        <v>670</v>
      </c>
      <c r="J9" s="59">
        <f>SUMIF(63:63,I9,64:64)-SUMIF(63:63,C9,64:64)+100</f>
        <v>100</v>
      </c>
      <c r="K9" s="38"/>
      <c r="L9" s="2487"/>
      <c r="M9" s="2438"/>
      <c r="N9" s="2438"/>
      <c r="O9" s="2438"/>
      <c r="P9" s="3436" t="s">
        <v>1683</v>
      </c>
      <c r="Q9" s="530" t="str">
        <f t="shared" ref="Q9:Q15" si="6">B9</f>
        <v>用途</v>
      </c>
      <c r="R9" s="664" t="s">
        <v>14</v>
      </c>
      <c r="S9" s="665">
        <f t="shared" si="0"/>
        <v>100</v>
      </c>
      <c r="T9" s="664" t="s">
        <v>14</v>
      </c>
      <c r="U9" s="665">
        <f t="shared" si="1"/>
        <v>100</v>
      </c>
      <c r="V9" s="664" t="s">
        <v>14</v>
      </c>
      <c r="W9" s="665">
        <f t="shared" si="2"/>
        <v>100</v>
      </c>
      <c r="X9" s="666"/>
      <c r="Y9" s="3300" t="s">
        <v>1684</v>
      </c>
      <c r="Z9" s="50" t="str">
        <f t="shared" ref="Z9:Z15" si="7">Q9</f>
        <v>用途</v>
      </c>
      <c r="AA9" s="50">
        <f t="shared" si="3"/>
        <v>1</v>
      </c>
      <c r="AB9" s="50">
        <f t="shared" si="4"/>
        <v>1</v>
      </c>
      <c r="AC9" s="50">
        <f t="shared" si="5"/>
        <v>1</v>
      </c>
    </row>
    <row r="10" spans="1:29" s="366" customFormat="1" ht="28">
      <c r="A10" s="363"/>
      <c r="B10" s="364" t="s">
        <v>1685</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36"/>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5">
      <c r="A11" s="367"/>
      <c r="B11" s="364" t="s">
        <v>1686</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36"/>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50">
        <f t="shared" si="5"/>
        <v>1</v>
      </c>
    </row>
    <row r="12" spans="1:29" s="102" customFormat="1" ht="15.5">
      <c r="A12" s="370"/>
      <c r="B12" s="447">
        <v>111</v>
      </c>
      <c r="C12" s="371"/>
      <c r="D12" s="372">
        <v>100</v>
      </c>
      <c r="E12" s="3187" t="s">
        <v>3579</v>
      </c>
      <c r="F12" s="364">
        <f>SUMIF(70:70,E12,71:71)-SUMIF(70:70,C12,71:71)+100</f>
        <v>100</v>
      </c>
      <c r="G12" s="373"/>
      <c r="H12" s="119">
        <f>SUMIF(70:70,G12,71:71)-SUMIF(70:70,C12,71:71)+100</f>
        <v>100</v>
      </c>
      <c r="I12" s="373"/>
      <c r="J12" s="119">
        <f>SUMIF(70:70,I12,71:71)-SUMIF(70:70,C12,71:71)+100</f>
        <v>100</v>
      </c>
      <c r="K12" s="539"/>
      <c r="L12" s="2487"/>
      <c r="M12" s="2438"/>
      <c r="N12" s="2438"/>
      <c r="O12" s="2438"/>
      <c r="P12" s="3436"/>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5">
      <c r="A13" s="367"/>
      <c r="B13" s="447">
        <v>111</v>
      </c>
      <c r="C13" s="373"/>
      <c r="D13" s="374">
        <v>100</v>
      </c>
      <c r="E13" s="373">
        <v>2009</v>
      </c>
      <c r="F13" s="364">
        <f>SUMIF(72:72,E13,73:73)-SUMIF(72:72,C13,73:73)+100</f>
        <v>100</v>
      </c>
      <c r="G13" s="373">
        <v>2017</v>
      </c>
      <c r="H13" s="374">
        <f>SUMIF(72:72,G13,73:73)-SUMIF(72:72,C13,73:73)+100</f>
        <v>100</v>
      </c>
      <c r="I13" s="373">
        <f>G13</f>
        <v>2017</v>
      </c>
      <c r="J13" s="374">
        <f>SUMIF(72:72,I13,73:73)-SUMIF(72:72,C13,73:73)+100</f>
        <v>100</v>
      </c>
      <c r="K13" s="539"/>
      <c r="L13" s="2491"/>
      <c r="M13" s="2486"/>
      <c r="N13" s="2486"/>
      <c r="O13" s="2486"/>
      <c r="P13" s="3436"/>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6" thickBot="1">
      <c r="A14" s="375"/>
      <c r="B14" s="1749">
        <v>111</v>
      </c>
      <c r="C14" s="376"/>
      <c r="D14" s="377">
        <v>100</v>
      </c>
      <c r="E14" s="373">
        <f>ROUND(1-(1-0)*(2025-E13)/60,2)</f>
        <v>0.73</v>
      </c>
      <c r="F14" s="378">
        <f>SUMIF(74:74,E14,75:75)-SUMIF(74:74,C14,75:75)+100</f>
        <v>100</v>
      </c>
      <c r="G14" s="373">
        <f>ROUND(1-(1-0)*(2025-G13)/60,2)</f>
        <v>0.87</v>
      </c>
      <c r="H14" s="377">
        <f>SUMIF(74:74,G14,75:75)-SUMIF(74:74,C14,75:75)+100</f>
        <v>100</v>
      </c>
      <c r="I14" s="373">
        <f>ROUND(1-(1-0)*(2025-I13)/60,2)</f>
        <v>0.87</v>
      </c>
      <c r="J14" s="377">
        <f>SUMIF(74:74,I14,75:75)-SUMIF(74:74,C14,75:75)+100</f>
        <v>100</v>
      </c>
      <c r="K14" s="539"/>
      <c r="L14" s="2491"/>
      <c r="M14" s="2486"/>
      <c r="N14" s="2486"/>
      <c r="O14" s="2486"/>
      <c r="P14" s="3436"/>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74" customHeight="1">
      <c r="A15" s="379" t="s">
        <v>1687</v>
      </c>
      <c r="B15" s="58" t="s">
        <v>1774</v>
      </c>
      <c r="C15" s="1750" t="str">
        <f>估价对象房地状况!C4</f>
        <v>咨询对象位于大兴区西红门镇大白楼村，周边多为大白楼村村民居住用房，人流量小，商业繁华度较差</v>
      </c>
      <c r="D15" s="380">
        <v>100</v>
      </c>
      <c r="E15" s="3195" t="s">
        <v>3625</v>
      </c>
      <c r="F15" s="382">
        <f>SUMIF(76:76,E16,77:77)-SUMIF(76:76,C16,77:77)+100</f>
        <v>102</v>
      </c>
      <c r="G15" s="3201" t="s">
        <v>3633</v>
      </c>
      <c r="H15" s="380">
        <f>SUMIF(76:76,G16,77:77)-SUMIF(76:76,C16,77:77)+100</f>
        <v>104</v>
      </c>
      <c r="I15" s="3195" t="s">
        <v>3633</v>
      </c>
      <c r="J15" s="380">
        <f>SUMIF(76:76,I16,77:77)-SUMIF(76:76,C16,77:77)+100</f>
        <v>104</v>
      </c>
      <c r="K15" s="540">
        <v>2</v>
      </c>
      <c r="L15" s="2491"/>
      <c r="M15" s="2486"/>
      <c r="N15" s="2486"/>
      <c r="O15" s="2486"/>
      <c r="P15" s="3434" t="s">
        <v>1688</v>
      </c>
      <c r="Q15" s="1263" t="str">
        <f t="shared" si="6"/>
        <v>商业繁华度</v>
      </c>
      <c r="R15" s="667" t="s">
        <v>14</v>
      </c>
      <c r="S15" s="668">
        <f t="shared" si="0"/>
        <v>102</v>
      </c>
      <c r="T15" s="667" t="s">
        <v>14</v>
      </c>
      <c r="U15" s="668">
        <f t="shared" si="1"/>
        <v>104</v>
      </c>
      <c r="V15" s="667" t="s">
        <v>14</v>
      </c>
      <c r="W15" s="668">
        <f t="shared" si="2"/>
        <v>104</v>
      </c>
      <c r="X15" s="1265"/>
      <c r="Y15" s="3427" t="s">
        <v>1688</v>
      </c>
      <c r="Z15" s="1264" t="str">
        <f t="shared" si="7"/>
        <v>商业繁华度</v>
      </c>
      <c r="AA15" s="1264">
        <f t="shared" si="3"/>
        <v>0.98039215686274506</v>
      </c>
      <c r="AB15" s="1264">
        <f t="shared" si="4"/>
        <v>0.96153846153846156</v>
      </c>
      <c r="AC15" s="1264">
        <f t="shared" si="5"/>
        <v>0.96153846153846156</v>
      </c>
    </row>
    <row r="16" spans="1:29" ht="15.5">
      <c r="A16" s="367"/>
      <c r="B16" s="385"/>
      <c r="C16" s="386" t="s">
        <v>3457</v>
      </c>
      <c r="D16" s="387"/>
      <c r="E16" s="386" t="s">
        <v>3455</v>
      </c>
      <c r="F16" s="388"/>
      <c r="G16" s="386" t="s">
        <v>3453</v>
      </c>
      <c r="H16" s="389"/>
      <c r="I16" s="386" t="s">
        <v>3453</v>
      </c>
      <c r="J16" s="387"/>
      <c r="K16" s="541"/>
      <c r="L16" s="2491"/>
      <c r="M16" s="2486"/>
      <c r="N16" s="2486"/>
      <c r="O16" s="2486"/>
      <c r="P16" s="3435"/>
      <c r="Q16" s="1263"/>
      <c r="R16" s="667"/>
      <c r="S16" s="668"/>
      <c r="T16" s="667"/>
      <c r="U16" s="668"/>
      <c r="V16" s="667"/>
      <c r="W16" s="668"/>
      <c r="X16" s="1265"/>
      <c r="Y16" s="3428"/>
      <c r="Z16" s="1264"/>
      <c r="AA16" s="1264">
        <v>1</v>
      </c>
      <c r="AB16" s="1264">
        <v>1</v>
      </c>
      <c r="AC16" s="1264">
        <v>1</v>
      </c>
    </row>
    <row r="17" spans="1:29" ht="114" customHeight="1">
      <c r="A17" s="367"/>
      <c r="B17" s="390" t="s">
        <v>1256</v>
      </c>
      <c r="C17" s="1754" t="str">
        <f>估价对象房地状况!C6</f>
        <v>咨询对象北侧临城市支路——大金北路，西侧距城市次干道——团河路直线距离约110米，周边1公里范围内有369、485、676等多条线路经过，2公里范围内无地铁，项目内部有地面停车位，综合评价交通便捷度一般</v>
      </c>
      <c r="D17" s="389">
        <v>100</v>
      </c>
      <c r="E17" s="3190" t="s">
        <v>3626</v>
      </c>
      <c r="F17" s="392">
        <f>SUMIF(78:78,E18,79:79)-SUMIF(78:78,C18,79:79)+100</f>
        <v>100</v>
      </c>
      <c r="G17" s="3190" t="s">
        <v>3632</v>
      </c>
      <c r="H17" s="394">
        <f>SUMIF(78:78,G18,79:79)-SUMIF(78:78,C18,79:79)+100</f>
        <v>102</v>
      </c>
      <c r="I17" s="3190" t="s">
        <v>3631</v>
      </c>
      <c r="J17" s="394">
        <f>SUMIF(78:78,I18,79:79)-SUMIF(78:78,C18,79:79)+100</f>
        <v>102</v>
      </c>
      <c r="K17" s="540">
        <v>2</v>
      </c>
      <c r="L17" s="2491"/>
      <c r="M17" s="2486"/>
      <c r="N17" s="2486"/>
      <c r="O17" s="2486"/>
      <c r="P17" s="3435"/>
      <c r="Q17" s="1263" t="str">
        <f>B17</f>
        <v>交通便捷度</v>
      </c>
      <c r="R17" s="667" t="s">
        <v>14</v>
      </c>
      <c r="S17" s="668">
        <f>F17</f>
        <v>100</v>
      </c>
      <c r="T17" s="667" t="s">
        <v>14</v>
      </c>
      <c r="U17" s="668">
        <f>H17</f>
        <v>102</v>
      </c>
      <c r="V17" s="667" t="s">
        <v>14</v>
      </c>
      <c r="W17" s="668">
        <f>J17</f>
        <v>102</v>
      </c>
      <c r="X17" s="1265"/>
      <c r="Y17" s="3428"/>
      <c r="Z17" s="1264" t="str">
        <f>Q17</f>
        <v>交通便捷度</v>
      </c>
      <c r="AA17" s="1264">
        <f t="shared" si="3"/>
        <v>1</v>
      </c>
      <c r="AB17" s="1264">
        <f t="shared" si="4"/>
        <v>0.98039215686274506</v>
      </c>
      <c r="AC17" s="1264">
        <f t="shared" si="5"/>
        <v>0.98039215686274506</v>
      </c>
    </row>
    <row r="18" spans="1:29" ht="15.5">
      <c r="A18" s="367"/>
      <c r="B18" s="395"/>
      <c r="C18" s="1755" t="s">
        <v>3455</v>
      </c>
      <c r="D18" s="389"/>
      <c r="E18" s="1757" t="s">
        <v>3455</v>
      </c>
      <c r="F18" s="392"/>
      <c r="G18" s="1756" t="s">
        <v>3453</v>
      </c>
      <c r="H18" s="387"/>
      <c r="I18" s="1757" t="s">
        <v>3453</v>
      </c>
      <c r="J18" s="387"/>
      <c r="K18" s="541"/>
      <c r="L18" s="2491"/>
      <c r="M18" s="2486"/>
      <c r="N18" s="2486"/>
      <c r="O18" s="2486"/>
      <c r="P18" s="3435"/>
      <c r="Q18" s="1263"/>
      <c r="R18" s="667"/>
      <c r="S18" s="668"/>
      <c r="T18" s="667"/>
      <c r="U18" s="668"/>
      <c r="V18" s="667"/>
      <c r="W18" s="668"/>
      <c r="X18" s="1265"/>
      <c r="Y18" s="3428"/>
      <c r="Z18" s="1264"/>
      <c r="AA18" s="1264">
        <v>1</v>
      </c>
      <c r="AB18" s="1264">
        <v>1</v>
      </c>
      <c r="AC18" s="1264">
        <v>1</v>
      </c>
    </row>
    <row r="19" spans="1:29" ht="145" customHeight="1">
      <c r="A19" s="367"/>
      <c r="B19" s="390" t="s">
        <v>1775</v>
      </c>
      <c r="C19" s="1754" t="str">
        <f>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9" s="394">
        <v>100</v>
      </c>
      <c r="E19" s="3198" t="s">
        <v>3627</v>
      </c>
      <c r="F19" s="397">
        <f>SUMIF(80:80,E20,81:81)-SUMIF(80:80,C20,81:81)+100</f>
        <v>102</v>
      </c>
      <c r="G19" s="3200" t="s">
        <v>3630</v>
      </c>
      <c r="H19" s="389">
        <f>SUMIF(80:80,G20,81:81)-SUMIF(80:80,C20,81:81)+100</f>
        <v>102</v>
      </c>
      <c r="I19" s="3198" t="s">
        <v>3630</v>
      </c>
      <c r="J19" s="389">
        <f>SUMIF(80:80,I20,81:81)-SUMIF(80:80,C20,81:81)+100</f>
        <v>102</v>
      </c>
      <c r="K19" s="540">
        <v>2</v>
      </c>
      <c r="L19" s="2491"/>
      <c r="M19" s="2486"/>
      <c r="N19" s="2486"/>
      <c r="O19" s="2486"/>
      <c r="P19" s="3435"/>
      <c r="Q19" s="1263" t="str">
        <f>B19</f>
        <v>公共配套设施</v>
      </c>
      <c r="R19" s="667" t="s">
        <v>14</v>
      </c>
      <c r="S19" s="668">
        <f>F19</f>
        <v>102</v>
      </c>
      <c r="T19" s="667" t="s">
        <v>14</v>
      </c>
      <c r="U19" s="668">
        <f>H19</f>
        <v>102</v>
      </c>
      <c r="V19" s="667" t="s">
        <v>14</v>
      </c>
      <c r="W19" s="668">
        <f>J19</f>
        <v>102</v>
      </c>
      <c r="X19" s="1265"/>
      <c r="Y19" s="3428"/>
      <c r="Z19" s="1264" t="str">
        <f>Q19</f>
        <v>公共配套设施</v>
      </c>
      <c r="AA19" s="1264">
        <f t="shared" si="3"/>
        <v>0.98039215686274506</v>
      </c>
      <c r="AB19" s="1264">
        <f t="shared" si="4"/>
        <v>0.98039215686274506</v>
      </c>
      <c r="AC19" s="1264">
        <f t="shared" si="5"/>
        <v>0.98039215686274506</v>
      </c>
    </row>
    <row r="20" spans="1:29" ht="15.5">
      <c r="A20" s="367"/>
      <c r="B20" s="395"/>
      <c r="C20" s="386" t="s">
        <v>3455</v>
      </c>
      <c r="D20" s="387"/>
      <c r="E20" s="1752" t="s">
        <v>3453</v>
      </c>
      <c r="F20" s="388"/>
      <c r="G20" s="1751" t="s">
        <v>3453</v>
      </c>
      <c r="H20" s="387"/>
      <c r="I20" s="1752" t="s">
        <v>3453</v>
      </c>
      <c r="J20" s="387"/>
      <c r="K20" s="541"/>
      <c r="L20" s="2491"/>
      <c r="M20" s="2486"/>
      <c r="N20" s="2486"/>
      <c r="O20" s="2486"/>
      <c r="P20" s="3435"/>
      <c r="Q20" s="1263"/>
      <c r="R20" s="667"/>
      <c r="S20" s="668"/>
      <c r="T20" s="667"/>
      <c r="U20" s="668"/>
      <c r="V20" s="667"/>
      <c r="W20" s="668"/>
      <c r="X20" s="1265"/>
      <c r="Y20" s="3428"/>
      <c r="Z20" s="1264"/>
      <c r="AA20" s="1264">
        <v>1</v>
      </c>
      <c r="AB20" s="1264">
        <v>1</v>
      </c>
      <c r="AC20" s="1264">
        <v>1</v>
      </c>
    </row>
    <row r="21" spans="1:29" ht="28">
      <c r="A21" s="367"/>
      <c r="B21" s="586" t="s">
        <v>1776</v>
      </c>
      <c r="C21" s="1754"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v>1</v>
      </c>
      <c r="L21" s="2491"/>
      <c r="M21" s="2486"/>
      <c r="N21" s="2486"/>
      <c r="O21" s="2486"/>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5">
      <c r="A22" s="367"/>
      <c r="B22" s="586"/>
      <c r="C22" s="1755" t="s">
        <v>3472</v>
      </c>
      <c r="D22" s="387"/>
      <c r="E22" s="1755" t="s">
        <v>3472</v>
      </c>
      <c r="F22" s="388"/>
      <c r="G22" s="1755" t="s">
        <v>3472</v>
      </c>
      <c r="H22" s="387"/>
      <c r="I22" s="1755" t="s">
        <v>3472</v>
      </c>
      <c r="J22" s="387"/>
      <c r="K22" s="1064"/>
      <c r="L22" s="2491"/>
      <c r="M22" s="2486"/>
      <c r="N22" s="2486"/>
      <c r="O22" s="2486"/>
      <c r="P22" s="3435"/>
      <c r="Q22" s="1263"/>
      <c r="R22" s="667"/>
      <c r="S22" s="668"/>
      <c r="T22" s="667"/>
      <c r="U22" s="668"/>
      <c r="V22" s="667"/>
      <c r="W22" s="668"/>
      <c r="X22" s="1265"/>
      <c r="Y22" s="3428"/>
      <c r="Z22" s="1264"/>
      <c r="AA22" s="1264">
        <v>1</v>
      </c>
      <c r="AB22" s="1264">
        <v>1</v>
      </c>
      <c r="AC22" s="1264">
        <v>1</v>
      </c>
    </row>
    <row r="23" spans="1:29" ht="93.5" customHeight="1">
      <c r="A23" s="367"/>
      <c r="B23" s="390" t="s">
        <v>1258</v>
      </c>
      <c r="C23" s="1806" t="str">
        <f>估价对象房地状况!C9</f>
        <v>区域自然环境：寿保庄公园、敬贤公园、新三余公园、星光·视界公园；人文环境：中国人民公安大学（团河校区）、民政职业大学（大兴校区）；综合评价环境状况较好</v>
      </c>
      <c r="D23" s="389">
        <v>100</v>
      </c>
      <c r="E23" s="3190" t="s">
        <v>3628</v>
      </c>
      <c r="F23" s="392">
        <f>SUMIF(84:84,E24,85:85)-SUMIF(84:84,C24,85:85)+100</f>
        <v>100</v>
      </c>
      <c r="G23" s="3199" t="s">
        <v>3629</v>
      </c>
      <c r="H23" s="389">
        <f>SUMIF(84:84,G24,85:85)-SUMIF(84:84,C24,85:85)+100</f>
        <v>100</v>
      </c>
      <c r="I23" s="3190" t="s">
        <v>3629</v>
      </c>
      <c r="J23" s="389">
        <f>SUMIF(84:84,I24,85:85)-SUMIF(84:84,C24,85:85)+100</f>
        <v>100</v>
      </c>
      <c r="K23" s="540">
        <v>2</v>
      </c>
      <c r="L23" s="2491"/>
      <c r="M23" s="3189" t="s">
        <v>3555</v>
      </c>
      <c r="N23" s="2486">
        <v>50</v>
      </c>
      <c r="O23" s="2486"/>
      <c r="P23" s="3435"/>
      <c r="Q23" s="1263" t="str">
        <f>B23</f>
        <v>自然及人文环境</v>
      </c>
      <c r="R23" s="667" t="s">
        <v>14</v>
      </c>
      <c r="S23" s="668">
        <f>F23</f>
        <v>100</v>
      </c>
      <c r="T23" s="667" t="s">
        <v>14</v>
      </c>
      <c r="U23" s="668">
        <f>H23</f>
        <v>100</v>
      </c>
      <c r="V23" s="667" t="s">
        <v>14</v>
      </c>
      <c r="W23" s="668">
        <f>J23</f>
        <v>100</v>
      </c>
      <c r="X23" s="1265"/>
      <c r="Y23" s="3428"/>
      <c r="Z23" s="1264" t="str">
        <f>Q23</f>
        <v>自然及人文环境</v>
      </c>
      <c r="AA23" s="1264">
        <f t="shared" si="3"/>
        <v>1</v>
      </c>
      <c r="AB23" s="1264">
        <f t="shared" si="4"/>
        <v>1</v>
      </c>
      <c r="AC23" s="1264">
        <f t="shared" si="5"/>
        <v>1</v>
      </c>
    </row>
    <row r="24" spans="1:29" ht="15.5">
      <c r="A24" s="367"/>
      <c r="B24" s="395"/>
      <c r="C24" s="386" t="s">
        <v>3453</v>
      </c>
      <c r="D24" s="387"/>
      <c r="E24" s="1752" t="s">
        <v>3453</v>
      </c>
      <c r="F24" s="388"/>
      <c r="G24" s="1751" t="s">
        <v>3453</v>
      </c>
      <c r="H24" s="387"/>
      <c r="I24" s="1752" t="s">
        <v>3453</v>
      </c>
      <c r="J24" s="387"/>
      <c r="K24" s="541"/>
      <c r="L24" s="2491"/>
      <c r="M24" s="2486" t="s">
        <v>3552</v>
      </c>
      <c r="N24" s="2486">
        <v>100</v>
      </c>
      <c r="O24" s="2486"/>
      <c r="P24" s="3435"/>
      <c r="Q24" s="1263"/>
      <c r="R24" s="667"/>
      <c r="S24" s="668"/>
      <c r="T24" s="667"/>
      <c r="U24" s="668"/>
      <c r="V24" s="667"/>
      <c r="W24" s="668"/>
      <c r="X24" s="1265"/>
      <c r="Y24" s="3428"/>
      <c r="Z24" s="1264"/>
      <c r="AA24" s="1264">
        <v>1</v>
      </c>
      <c r="AB24" s="1264">
        <v>1</v>
      </c>
      <c r="AC24" s="1264">
        <v>1</v>
      </c>
    </row>
    <row r="25" spans="1:29" ht="15.5">
      <c r="A25" s="367"/>
      <c r="B25" s="364" t="s">
        <v>1777</v>
      </c>
      <c r="C25" s="542" t="s">
        <v>3450</v>
      </c>
      <c r="D25" s="374">
        <v>100</v>
      </c>
      <c r="E25" s="542" t="s">
        <v>3593</v>
      </c>
      <c r="F25" s="400">
        <f>SUMIF(86:86,E25,87:87)-SUMIF(86:86,C25,87:87)+100</f>
        <v>95</v>
      </c>
      <c r="G25" s="542" t="s">
        <v>3450</v>
      </c>
      <c r="H25" s="374">
        <f>SUMIF(86:86,G25,87:87)-SUMIF(86:86,C25,87:87)+100</f>
        <v>100</v>
      </c>
      <c r="I25" s="542" t="s">
        <v>3450</v>
      </c>
      <c r="J25" s="374">
        <f>SUMIF(86:86,I25,87:87)-SUMIF(86:86,C25,87:87)+100</f>
        <v>100</v>
      </c>
      <c r="K25" s="538">
        <v>5</v>
      </c>
      <c r="L25" s="2491"/>
      <c r="M25" s="2486" t="s">
        <v>3553</v>
      </c>
      <c r="N25" s="2486">
        <v>70</v>
      </c>
      <c r="O25" s="2486"/>
      <c r="P25" s="3435"/>
      <c r="Q25" s="1263" t="str">
        <f t="shared" ref="Q25:Q46" si="11">B25</f>
        <v>临街状况</v>
      </c>
      <c r="R25" s="667" t="s">
        <v>14</v>
      </c>
      <c r="S25" s="668">
        <f>F25</f>
        <v>95</v>
      </c>
      <c r="T25" s="667" t="s">
        <v>14</v>
      </c>
      <c r="U25" s="668">
        <f>H25</f>
        <v>100</v>
      </c>
      <c r="V25" s="667" t="s">
        <v>14</v>
      </c>
      <c r="W25" s="668">
        <f>J25</f>
        <v>100</v>
      </c>
      <c r="X25" s="1265"/>
      <c r="Y25" s="3428"/>
      <c r="Z25" s="1264" t="str">
        <f>Q25</f>
        <v>临街状况</v>
      </c>
      <c r="AA25" s="1264">
        <f t="shared" si="3"/>
        <v>1.0526315789473684</v>
      </c>
      <c r="AB25" s="1264">
        <f t="shared" si="4"/>
        <v>1</v>
      </c>
      <c r="AC25" s="1264">
        <f t="shared" si="5"/>
        <v>1</v>
      </c>
    </row>
    <row r="26" spans="1:29" ht="15.5">
      <c r="A26" s="367"/>
      <c r="B26" s="1066" t="s">
        <v>1778</v>
      </c>
      <c r="C26" s="3187" t="s">
        <v>3458</v>
      </c>
      <c r="D26" s="374">
        <v>100</v>
      </c>
      <c r="E26" s="3187" t="s">
        <v>3454</v>
      </c>
      <c r="F26" s="400">
        <f>SUMIF(88:88,E26,89:89)-SUMIF(88:88,C26,89:89)+100</f>
        <v>110</v>
      </c>
      <c r="G26" s="3187" t="s">
        <v>3454</v>
      </c>
      <c r="H26" s="374">
        <f>SUMIF(88:88,G26,89:89)-SUMIF(88:88,C26,89:89)+100</f>
        <v>110</v>
      </c>
      <c r="I26" s="3187" t="s">
        <v>3454</v>
      </c>
      <c r="J26" s="374">
        <f>SUMIF(88:88,I26,89:89)-SUMIF(88:88,C26,89:89)+100</f>
        <v>110</v>
      </c>
      <c r="K26" s="539"/>
      <c r="L26" s="2491"/>
      <c r="M26" s="2486" t="s">
        <v>3554</v>
      </c>
      <c r="N26" s="2486">
        <f>ROUND((N24+N25)/2,2)</f>
        <v>85</v>
      </c>
      <c r="O26" s="2486"/>
      <c r="P26" s="3435"/>
      <c r="Q26" s="1263" t="str">
        <f t="shared" si="11"/>
        <v>平面位置/可视性</v>
      </c>
      <c r="R26" s="667" t="s">
        <v>14</v>
      </c>
      <c r="S26" s="668">
        <f>F26</f>
        <v>110</v>
      </c>
      <c r="T26" s="667" t="s">
        <v>14</v>
      </c>
      <c r="U26" s="668">
        <f>H26</f>
        <v>110</v>
      </c>
      <c r="V26" s="667" t="s">
        <v>14</v>
      </c>
      <c r="W26" s="668">
        <f>J26</f>
        <v>110</v>
      </c>
      <c r="X26" s="1265"/>
      <c r="Y26" s="3428"/>
      <c r="Z26" s="1264" t="str">
        <f>Q26</f>
        <v>平面位置/可视性</v>
      </c>
      <c r="AA26" s="1264">
        <f t="shared" si="3"/>
        <v>0.90909090909090906</v>
      </c>
      <c r="AB26" s="1264">
        <f t="shared" si="4"/>
        <v>0.90909090909090906</v>
      </c>
      <c r="AC26" s="1264">
        <f t="shared" si="5"/>
        <v>0.90909090909090906</v>
      </c>
    </row>
    <row r="27" spans="1:29" s="102" customFormat="1" ht="15.5">
      <c r="A27" s="370"/>
      <c r="B27" s="390" t="s">
        <v>1779</v>
      </c>
      <c r="C27" s="1807" t="s">
        <v>3464</v>
      </c>
      <c r="D27" s="401">
        <v>100</v>
      </c>
      <c r="E27" s="1807" t="s">
        <v>3604</v>
      </c>
      <c r="F27" s="395">
        <f>SUMIF(90:90,E27,91:91)-SUMIF(90:90,C27,91:91)+100</f>
        <v>103</v>
      </c>
      <c r="G27" s="1807" t="s">
        <v>3455</v>
      </c>
      <c r="H27" s="401">
        <f>SUMIF(90:90,G27,91:91)-SUMIF(90:90,C27,91:91)+100</f>
        <v>106</v>
      </c>
      <c r="I27" s="1807" t="s">
        <v>3455</v>
      </c>
      <c r="J27" s="401">
        <f>SUMIF(90:90,I27,91:91)-SUMIF(90:90,C27,91:91)+100</f>
        <v>106</v>
      </c>
      <c r="K27" s="538">
        <v>3</v>
      </c>
      <c r="L27" s="2487"/>
      <c r="M27" s="2438" t="s">
        <v>3566</v>
      </c>
      <c r="N27" s="2438">
        <f>ROUND(N24*0.1+N25*0.9,0)</f>
        <v>73</v>
      </c>
      <c r="O27" s="3194" t="s">
        <v>3606</v>
      </c>
      <c r="P27" s="3435"/>
      <c r="Q27" s="530" t="str">
        <f t="shared" si="11"/>
        <v>人流量</v>
      </c>
      <c r="R27" s="664" t="s">
        <v>14</v>
      </c>
      <c r="S27" s="665">
        <f>F27</f>
        <v>103</v>
      </c>
      <c r="T27" s="664" t="s">
        <v>14</v>
      </c>
      <c r="U27" s="665">
        <f>H27</f>
        <v>106</v>
      </c>
      <c r="V27" s="664" t="s">
        <v>14</v>
      </c>
      <c r="W27" s="665">
        <f>J27</f>
        <v>106</v>
      </c>
      <c r="X27" s="666"/>
      <c r="Y27" s="3428"/>
      <c r="Z27" s="50" t="str">
        <f>Q27</f>
        <v>人流量</v>
      </c>
      <c r="AA27" s="1264">
        <f>D27/F27</f>
        <v>0.970873786407767</v>
      </c>
      <c r="AB27" s="1264">
        <f>D27/H27</f>
        <v>0.94339622641509435</v>
      </c>
      <c r="AC27" s="1264">
        <f>D27/J27</f>
        <v>0.94339622641509435</v>
      </c>
    </row>
    <row r="28" spans="1:29" ht="15.5">
      <c r="A28" s="367"/>
      <c r="B28" s="364" t="s">
        <v>1780</v>
      </c>
      <c r="C28" s="542" t="s">
        <v>3489</v>
      </c>
      <c r="D28" s="374">
        <v>100</v>
      </c>
      <c r="E28" s="542" t="s">
        <v>3489</v>
      </c>
      <c r="F28" s="400">
        <f>SUMIF(92:92,E28,93:93)-SUMIF(92:92,C28,93:93)+100</f>
        <v>100</v>
      </c>
      <c r="G28" s="542" t="s">
        <v>3569</v>
      </c>
      <c r="H28" s="374">
        <f>SUMIF(92:92,G28,93:93)-SUMIF(92:92,C28,93:93)+100</f>
        <v>73</v>
      </c>
      <c r="I28" s="542" t="s">
        <v>3569</v>
      </c>
      <c r="J28" s="374">
        <f>SUMIF(92:92,I28,93:93)-SUMIF(92:92,C28,93:93)+100</f>
        <v>73</v>
      </c>
      <c r="K28" s="539"/>
      <c r="L28" s="2491"/>
      <c r="M28" s="2486"/>
      <c r="N28" s="2486"/>
      <c r="O28" s="2486"/>
      <c r="P28" s="3435"/>
      <c r="Q28" s="1263" t="str">
        <f t="shared" si="11"/>
        <v>楼层</v>
      </c>
      <c r="R28" s="667" t="s">
        <v>14</v>
      </c>
      <c r="S28" s="668">
        <f t="shared" ref="S28:S46" si="12">F28</f>
        <v>100</v>
      </c>
      <c r="T28" s="667" t="s">
        <v>14</v>
      </c>
      <c r="U28" s="668">
        <f t="shared" ref="U28:U46" si="13">H28</f>
        <v>73</v>
      </c>
      <c r="V28" s="667" t="s">
        <v>14</v>
      </c>
      <c r="W28" s="668">
        <f t="shared" ref="W28:W46" si="14">J28</f>
        <v>73</v>
      </c>
      <c r="X28" s="1265"/>
      <c r="Y28" s="3428"/>
      <c r="Z28" s="1264" t="str">
        <f t="shared" ref="Z28:Z46" si="15">Q28</f>
        <v>楼层</v>
      </c>
      <c r="AA28" s="1264">
        <f t="shared" si="3"/>
        <v>1</v>
      </c>
      <c r="AB28" s="1264">
        <f t="shared" si="4"/>
        <v>1.3698630136986301</v>
      </c>
      <c r="AC28" s="1264">
        <f t="shared" si="5"/>
        <v>1.3698630136986301</v>
      </c>
    </row>
    <row r="29" spans="1:29" ht="15.5">
      <c r="A29" s="367"/>
      <c r="B29" s="3196"/>
      <c r="C29" s="3187"/>
      <c r="D29" s="374">
        <v>100</v>
      </c>
      <c r="E29" s="3187"/>
      <c r="F29" s="400">
        <f>SUMIF(94:94,E29,95:95)-SUMIF(94:94,C29,95:95)+100</f>
        <v>100</v>
      </c>
      <c r="G29" s="373"/>
      <c r="H29" s="374">
        <f>SUMIF(94:94,G29,95:95)-SUMIF(94:94,C29,95:95)+100</f>
        <v>100</v>
      </c>
      <c r="I29" s="3187"/>
      <c r="J29" s="374">
        <f>SUMIF(94:94,I29,95:95)-SUMIF(94:94,C29,95:95)+100</f>
        <v>100</v>
      </c>
      <c r="K29" s="539"/>
      <c r="L29" s="2491"/>
      <c r="M29" s="2486"/>
      <c r="N29" s="2486"/>
      <c r="O29" s="2486"/>
      <c r="P29" s="3435"/>
      <c r="Q29" s="1263">
        <f t="shared" si="11"/>
        <v>0</v>
      </c>
      <c r="R29" s="667" t="s">
        <v>14</v>
      </c>
      <c r="S29" s="668">
        <f t="shared" si="12"/>
        <v>100</v>
      </c>
      <c r="T29" s="667" t="s">
        <v>14</v>
      </c>
      <c r="U29" s="668">
        <f t="shared" si="13"/>
        <v>100</v>
      </c>
      <c r="V29" s="667" t="s">
        <v>14</v>
      </c>
      <c r="W29" s="668">
        <f t="shared" si="14"/>
        <v>100</v>
      </c>
      <c r="X29" s="1265"/>
      <c r="Y29" s="3428"/>
      <c r="Z29" s="1264">
        <f t="shared" si="15"/>
        <v>0</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5"/>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5"/>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264">
        <f t="shared" si="5"/>
        <v>1</v>
      </c>
    </row>
    <row r="32" spans="1:29" ht="15.5">
      <c r="A32" s="379" t="s">
        <v>1691</v>
      </c>
      <c r="B32" s="60" t="s">
        <v>1781</v>
      </c>
      <c r="C32" s="1764" t="s">
        <v>3467</v>
      </c>
      <c r="D32" s="405">
        <v>100</v>
      </c>
      <c r="E32" s="1764" t="s">
        <v>3467</v>
      </c>
      <c r="F32" s="400">
        <f>SUMIF(100:100,E32,101:101)-SUMIF(100:100,C32,101:101)+100</f>
        <v>100</v>
      </c>
      <c r="G32" s="1764" t="s">
        <v>3467</v>
      </c>
      <c r="H32" s="374">
        <f>SUMIF(100:100,G32,101:101)-SUMIF(100:100,C32,101:101)+100</f>
        <v>100</v>
      </c>
      <c r="I32" s="1764" t="s">
        <v>3467</v>
      </c>
      <c r="J32" s="405">
        <f>SUMIF(100:100,I32,101:101)-SUMIF(100:100,C32,101:101)+100</f>
        <v>100</v>
      </c>
      <c r="K32" s="538">
        <v>2</v>
      </c>
      <c r="L32" s="2491"/>
      <c r="M32" s="2486"/>
      <c r="N32" s="2486"/>
      <c r="O32" s="2486"/>
      <c r="P32" s="3429" t="s">
        <v>1693</v>
      </c>
      <c r="Q32" s="1263" t="str">
        <f t="shared" si="11"/>
        <v>商业类型</v>
      </c>
      <c r="R32" s="667" t="s">
        <v>14</v>
      </c>
      <c r="S32" s="668">
        <f t="shared" si="12"/>
        <v>100</v>
      </c>
      <c r="T32" s="667" t="s">
        <v>14</v>
      </c>
      <c r="U32" s="668">
        <f t="shared" si="13"/>
        <v>100</v>
      </c>
      <c r="V32" s="667" t="s">
        <v>14</v>
      </c>
      <c r="W32" s="668">
        <f t="shared" si="14"/>
        <v>100</v>
      </c>
      <c r="X32" s="1265"/>
      <c r="Y32" s="3432" t="s">
        <v>1693</v>
      </c>
      <c r="Z32" s="1264" t="str">
        <f t="shared" si="15"/>
        <v>商业类型</v>
      </c>
      <c r="AA32" s="1264">
        <f t="shared" si="3"/>
        <v>1</v>
      </c>
      <c r="AB32" s="1264">
        <f t="shared" si="4"/>
        <v>1</v>
      </c>
      <c r="AC32" s="1264">
        <f t="shared" si="5"/>
        <v>1</v>
      </c>
    </row>
    <row r="33" spans="1:29" s="408" customFormat="1" ht="15.5">
      <c r="A33" s="406"/>
      <c r="B33" s="364" t="s">
        <v>1694</v>
      </c>
      <c r="C33" s="407">
        <f>'数据-汇总表'!E19</f>
        <v>905.30000000000018</v>
      </c>
      <c r="D33" s="119">
        <v>100</v>
      </c>
      <c r="E33" s="369">
        <v>180</v>
      </c>
      <c r="F33" s="364">
        <f>LOOKUP(E33,103:103,104:104)-LOOKUP(C33,103:103,104:104)+100</f>
        <v>108</v>
      </c>
      <c r="G33" s="368">
        <v>183</v>
      </c>
      <c r="H33" s="119">
        <f>LOOKUP(G33,103:103,104:104)-LOOKUP(C33,103:103,104:104)+100</f>
        <v>108</v>
      </c>
      <c r="I33" s="368">
        <v>129</v>
      </c>
      <c r="J33" s="119">
        <f>LOOKUP(I33,103:103,104:104)-LOOKUP(C33,103:103,104:104)+100</f>
        <v>108</v>
      </c>
      <c r="K33" s="539"/>
      <c r="L33" s="2490"/>
      <c r="M33" s="2492"/>
      <c r="N33" s="2492"/>
      <c r="O33" s="2492"/>
      <c r="P33" s="3430"/>
      <c r="Q33" s="531" t="str">
        <f t="shared" si="11"/>
        <v>项目建筑规模</v>
      </c>
      <c r="R33" s="669" t="s">
        <v>14</v>
      </c>
      <c r="S33" s="670">
        <f t="shared" si="12"/>
        <v>108</v>
      </c>
      <c r="T33" s="669" t="s">
        <v>14</v>
      </c>
      <c r="U33" s="670">
        <f t="shared" si="13"/>
        <v>108</v>
      </c>
      <c r="V33" s="669" t="s">
        <v>14</v>
      </c>
      <c r="W33" s="670">
        <f t="shared" si="14"/>
        <v>108</v>
      </c>
      <c r="X33" s="671"/>
      <c r="Y33" s="3432"/>
      <c r="Z33" s="672" t="str">
        <f t="shared" si="15"/>
        <v>项目建筑规模</v>
      </c>
      <c r="AA33" s="1264">
        <f t="shared" si="3"/>
        <v>0.92592592592592593</v>
      </c>
      <c r="AB33" s="1264">
        <f t="shared" si="4"/>
        <v>0.92592592592592593</v>
      </c>
      <c r="AC33" s="1264">
        <f t="shared" si="5"/>
        <v>0.92592592592592593</v>
      </c>
    </row>
    <row r="34" spans="1:29" ht="15.5">
      <c r="A34" s="409"/>
      <c r="B34" s="364" t="s">
        <v>1695</v>
      </c>
      <c r="C34" s="399" t="s">
        <v>3469</v>
      </c>
      <c r="D34" s="374">
        <v>100</v>
      </c>
      <c r="E34" s="399" t="s">
        <v>3469</v>
      </c>
      <c r="F34" s="400">
        <f>SUMIF(105:105,E34,106:106)-SUMIF(105:105,C34,106:106)+100</f>
        <v>100</v>
      </c>
      <c r="G34" s="399" t="s">
        <v>3469</v>
      </c>
      <c r="H34" s="374">
        <f>SUMIF(105:105,G34,106:106)-SUMIF(105:105,C34,106:106)+100</f>
        <v>100</v>
      </c>
      <c r="I34" s="399" t="s">
        <v>3469</v>
      </c>
      <c r="J34" s="374">
        <f>SUMIF(105:105,I34,106:106)-SUMIF(105:105,C34,106:106)+100</f>
        <v>100</v>
      </c>
      <c r="K34" s="538">
        <v>2</v>
      </c>
      <c r="L34" s="2491"/>
      <c r="M34" s="3189" t="s">
        <v>3607</v>
      </c>
      <c r="N34" s="2486"/>
      <c r="O34" s="2486"/>
      <c r="P34" s="3430"/>
      <c r="Q34" s="1263" t="str">
        <f t="shared" si="11"/>
        <v>建筑结构</v>
      </c>
      <c r="R34" s="667" t="s">
        <v>14</v>
      </c>
      <c r="S34" s="668">
        <f t="shared" si="12"/>
        <v>100</v>
      </c>
      <c r="T34" s="667" t="s">
        <v>14</v>
      </c>
      <c r="U34" s="668">
        <f t="shared" si="13"/>
        <v>100</v>
      </c>
      <c r="V34" s="667" t="s">
        <v>14</v>
      </c>
      <c r="W34" s="668">
        <f t="shared" si="14"/>
        <v>100</v>
      </c>
      <c r="X34" s="1265"/>
      <c r="Y34" s="3432"/>
      <c r="Z34" s="1264" t="str">
        <f t="shared" si="15"/>
        <v>建筑结构</v>
      </c>
      <c r="AA34" s="1264">
        <f t="shared" si="3"/>
        <v>1</v>
      </c>
      <c r="AB34" s="1264">
        <f t="shared" si="4"/>
        <v>1</v>
      </c>
      <c r="AC34" s="1264">
        <f t="shared" si="5"/>
        <v>1</v>
      </c>
    </row>
    <row r="35" spans="1:29" ht="15.5">
      <c r="A35" s="409"/>
      <c r="B35" s="364" t="s">
        <v>1782</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t="s">
        <v>3567</v>
      </c>
      <c r="N35" s="2486">
        <f>商业租金案例!T79</f>
        <v>0.11</v>
      </c>
      <c r="O35" s="2486"/>
      <c r="P35" s="3430"/>
      <c r="Q35" s="1263" t="str">
        <f t="shared" si="11"/>
        <v>公共部分装修</v>
      </c>
      <c r="R35" s="667" t="s">
        <v>14</v>
      </c>
      <c r="S35" s="668">
        <f t="shared" si="12"/>
        <v>100</v>
      </c>
      <c r="T35" s="667" t="s">
        <v>14</v>
      </c>
      <c r="U35" s="668">
        <f t="shared" si="13"/>
        <v>100</v>
      </c>
      <c r="V35" s="667" t="s">
        <v>14</v>
      </c>
      <c r="W35" s="668">
        <f t="shared" si="14"/>
        <v>100</v>
      </c>
      <c r="X35" s="1265"/>
      <c r="Y35" s="3432"/>
      <c r="Z35" s="1264" t="str">
        <f t="shared" si="15"/>
        <v>公共部分装修</v>
      </c>
      <c r="AA35" s="1264">
        <f t="shared" si="3"/>
        <v>1</v>
      </c>
      <c r="AB35" s="1264">
        <f t="shared" si="4"/>
        <v>1</v>
      </c>
      <c r="AC35" s="1264">
        <f t="shared" si="5"/>
        <v>1</v>
      </c>
    </row>
    <row r="36" spans="1:29" ht="15.5">
      <c r="A36" s="409"/>
      <c r="B36" s="364" t="s">
        <v>1783</v>
      </c>
      <c r="C36" s="411">
        <f>'数据-取费表'!N6</f>
        <v>0.98</v>
      </c>
      <c r="D36" s="374">
        <v>100</v>
      </c>
      <c r="E36" s="411">
        <v>0.8</v>
      </c>
      <c r="F36" s="400">
        <f>LOOKUP(E36,110:110,111:111)-LOOKUP(C36,110:110,111:111)+100</f>
        <v>99</v>
      </c>
      <c r="G36" s="411">
        <f>G14</f>
        <v>0.87</v>
      </c>
      <c r="H36" s="400">
        <f>LOOKUP(G36,110:110,111:111)-LOOKUP(C36,110:110,111:111)+100</f>
        <v>99</v>
      </c>
      <c r="I36" s="411">
        <f>G36</f>
        <v>0.87</v>
      </c>
      <c r="J36" s="374">
        <f>LOOKUP(I36,110:110,111:111)-LOOKUP(C36,110:110,111:111)+100</f>
        <v>99</v>
      </c>
      <c r="K36" s="538">
        <v>1</v>
      </c>
      <c r="L36" s="2491"/>
      <c r="M36" s="2486" t="s">
        <v>3568</v>
      </c>
      <c r="N36" s="2486">
        <f>商业租金案例!T80</f>
        <v>0.89</v>
      </c>
      <c r="O36" s="2486"/>
      <c r="P36" s="3430"/>
      <c r="Q36" s="1263" t="str">
        <f t="shared" si="11"/>
        <v>成新度</v>
      </c>
      <c r="R36" s="667" t="s">
        <v>14</v>
      </c>
      <c r="S36" s="668">
        <f t="shared" si="12"/>
        <v>99</v>
      </c>
      <c r="T36" s="667" t="s">
        <v>14</v>
      </c>
      <c r="U36" s="668">
        <f t="shared" si="13"/>
        <v>99</v>
      </c>
      <c r="V36" s="667" t="s">
        <v>14</v>
      </c>
      <c r="W36" s="668">
        <f t="shared" si="14"/>
        <v>99</v>
      </c>
      <c r="X36" s="1265"/>
      <c r="Y36" s="3432"/>
      <c r="Z36" s="1264" t="str">
        <f t="shared" si="15"/>
        <v>成新度</v>
      </c>
      <c r="AA36" s="1264">
        <f t="shared" si="3"/>
        <v>1.0101010101010102</v>
      </c>
      <c r="AB36" s="1264">
        <f t="shared" si="4"/>
        <v>1.0101010101010102</v>
      </c>
      <c r="AC36" s="1264">
        <f t="shared" si="5"/>
        <v>1.0101010101010102</v>
      </c>
    </row>
    <row r="37" spans="1:29" s="102" customFormat="1" ht="15.5">
      <c r="A37" s="410"/>
      <c r="B37" s="364" t="s">
        <v>1784</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v>1</v>
      </c>
      <c r="L37" s="2487"/>
      <c r="M37" s="2438"/>
      <c r="N37" s="2438"/>
      <c r="O37" s="2438"/>
      <c r="P37" s="3430"/>
      <c r="Q37" s="530" t="str">
        <f t="shared" si="11"/>
        <v>市政基础设施</v>
      </c>
      <c r="R37" s="664" t="s">
        <v>14</v>
      </c>
      <c r="S37" s="665">
        <f t="shared" si="12"/>
        <v>100</v>
      </c>
      <c r="T37" s="664" t="s">
        <v>14</v>
      </c>
      <c r="U37" s="665">
        <f t="shared" si="13"/>
        <v>100</v>
      </c>
      <c r="V37" s="664" t="s">
        <v>14</v>
      </c>
      <c r="W37" s="665">
        <f t="shared" si="14"/>
        <v>100</v>
      </c>
      <c r="X37" s="666"/>
      <c r="Y37" s="3432"/>
      <c r="Z37" s="50" t="str">
        <f t="shared" si="15"/>
        <v>市政基础设施</v>
      </c>
      <c r="AA37" s="50">
        <f t="shared" si="3"/>
        <v>1</v>
      </c>
      <c r="AB37" s="50">
        <f t="shared" si="4"/>
        <v>1</v>
      </c>
      <c r="AC37" s="50">
        <f t="shared" si="5"/>
        <v>1</v>
      </c>
    </row>
    <row r="38" spans="1:29" ht="15.5">
      <c r="A38" s="409"/>
      <c r="B38" s="364" t="s">
        <v>1785</v>
      </c>
      <c r="C38" s="1760" t="s">
        <v>3478</v>
      </c>
      <c r="D38" s="374">
        <v>100</v>
      </c>
      <c r="E38" s="1760" t="s">
        <v>3476</v>
      </c>
      <c r="F38" s="400">
        <f>SUMIF(114:114,E38,115:115)-SUMIF(114:114,C38,115:115)+100</f>
        <v>110</v>
      </c>
      <c r="G38" s="1760" t="s">
        <v>3476</v>
      </c>
      <c r="H38" s="374">
        <f>SUMIF(114:114,G38,115:115)-SUMIF(114:114,C38,115:115)+100</f>
        <v>110</v>
      </c>
      <c r="I38" s="1760" t="s">
        <v>3476</v>
      </c>
      <c r="J38" s="374">
        <f>SUMIF(114:114,I38,115:115)-SUMIF(114:114,C38,115:115)+100</f>
        <v>110</v>
      </c>
      <c r="K38" s="538">
        <v>10</v>
      </c>
      <c r="L38" s="2491"/>
      <c r="M38" s="3189" t="s">
        <v>3608</v>
      </c>
      <c r="N38" s="2486"/>
      <c r="O38" s="2486"/>
      <c r="P38" s="3430" t="s">
        <v>1693</v>
      </c>
      <c r="Q38" s="1263" t="str">
        <f t="shared" si="11"/>
        <v>业态</v>
      </c>
      <c r="R38" s="667" t="s">
        <v>14</v>
      </c>
      <c r="S38" s="668">
        <f t="shared" si="12"/>
        <v>110</v>
      </c>
      <c r="T38" s="667" t="s">
        <v>14</v>
      </c>
      <c r="U38" s="668">
        <f t="shared" si="13"/>
        <v>110</v>
      </c>
      <c r="V38" s="667" t="s">
        <v>14</v>
      </c>
      <c r="W38" s="668">
        <f t="shared" si="14"/>
        <v>110</v>
      </c>
      <c r="X38" s="1265"/>
      <c r="Y38" s="3432" t="s">
        <v>1693</v>
      </c>
      <c r="Z38" s="1264" t="str">
        <f t="shared" si="15"/>
        <v>业态</v>
      </c>
      <c r="AA38" s="1264">
        <f t="shared" si="3"/>
        <v>0.90909090909090906</v>
      </c>
      <c r="AB38" s="1264">
        <f t="shared" si="4"/>
        <v>0.90909090909090906</v>
      </c>
      <c r="AC38" s="1264">
        <f t="shared" si="5"/>
        <v>0.90909090909090906</v>
      </c>
    </row>
    <row r="39" spans="1:29" ht="15.5">
      <c r="A39" s="409"/>
      <c r="B39" s="364" t="s">
        <v>1786</v>
      </c>
      <c r="C39" s="1760" t="s">
        <v>3482</v>
      </c>
      <c r="D39" s="374">
        <v>100</v>
      </c>
      <c r="E39" s="1760" t="s">
        <v>3482</v>
      </c>
      <c r="F39" s="400">
        <f>SUMIF(116:116,E39,117:117)-SUMIF(116:116,C39,117:117)+100</f>
        <v>100</v>
      </c>
      <c r="G39" s="1760" t="s">
        <v>3480</v>
      </c>
      <c r="H39" s="374">
        <f>SUMIF(116:116,G39,117:117)-SUMIF(116:116,C39,117:117)+100</f>
        <v>105</v>
      </c>
      <c r="I39" s="1760" t="s">
        <v>3480</v>
      </c>
      <c r="J39" s="374">
        <f>SUMIF(116:116,I39,117:117)-SUMIF(116:116,C39,117:117)+100</f>
        <v>105</v>
      </c>
      <c r="K39" s="538">
        <v>5</v>
      </c>
      <c r="L39" s="2491"/>
      <c r="M39" s="2486" t="s">
        <v>3609</v>
      </c>
      <c r="N39" s="2486">
        <f>商业租金案例!T325</f>
        <v>0.08</v>
      </c>
      <c r="O39" s="2486"/>
      <c r="P39" s="3430"/>
      <c r="Q39" s="1263" t="str">
        <f t="shared" si="11"/>
        <v>层高</v>
      </c>
      <c r="R39" s="667" t="s">
        <v>14</v>
      </c>
      <c r="S39" s="668">
        <f t="shared" si="12"/>
        <v>100</v>
      </c>
      <c r="T39" s="667" t="s">
        <v>14</v>
      </c>
      <c r="U39" s="668">
        <f t="shared" si="13"/>
        <v>105</v>
      </c>
      <c r="V39" s="667" t="s">
        <v>14</v>
      </c>
      <c r="W39" s="668">
        <f t="shared" si="14"/>
        <v>105</v>
      </c>
      <c r="X39" s="1265"/>
      <c r="Y39" s="3432"/>
      <c r="Z39" s="1264" t="str">
        <f t="shared" si="15"/>
        <v>层高</v>
      </c>
      <c r="AA39" s="1264">
        <f t="shared" si="3"/>
        <v>1</v>
      </c>
      <c r="AB39" s="1264">
        <f t="shared" si="4"/>
        <v>0.95238095238095233</v>
      </c>
      <c r="AC39" s="1264">
        <f t="shared" si="5"/>
        <v>0.95238095238095233</v>
      </c>
    </row>
    <row r="40" spans="1:29" ht="15.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t="s">
        <v>3610</v>
      </c>
      <c r="N40" s="2486">
        <f>商业租金案例!T326</f>
        <v>0.92</v>
      </c>
      <c r="O40" s="2486"/>
      <c r="P40" s="3430"/>
      <c r="Q40" s="1263" t="str">
        <f t="shared" si="11"/>
        <v>单套建筑面积</v>
      </c>
      <c r="R40" s="667" t="s">
        <v>14</v>
      </c>
      <c r="S40" s="668">
        <f t="shared" si="12"/>
        <v>100</v>
      </c>
      <c r="T40" s="667" t="s">
        <v>14</v>
      </c>
      <c r="U40" s="668">
        <f t="shared" si="13"/>
        <v>100</v>
      </c>
      <c r="V40" s="667" t="s">
        <v>14</v>
      </c>
      <c r="W40" s="668">
        <f t="shared" si="14"/>
        <v>100</v>
      </c>
      <c r="X40" s="1265"/>
      <c r="Y40" s="3432"/>
      <c r="Z40" s="1264" t="str">
        <f t="shared" si="15"/>
        <v>单套建筑面积</v>
      </c>
      <c r="AA40" s="1264">
        <f t="shared" si="3"/>
        <v>1</v>
      </c>
      <c r="AB40" s="1264">
        <f t="shared" si="4"/>
        <v>1</v>
      </c>
      <c r="AC40" s="1264">
        <f t="shared" si="5"/>
        <v>1</v>
      </c>
    </row>
    <row r="41" spans="1:29" s="408" customFormat="1" ht="15.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0"/>
      <c r="Q41" s="531" t="str">
        <f t="shared" si="11"/>
        <v>进深比</v>
      </c>
      <c r="R41" s="669" t="s">
        <v>14</v>
      </c>
      <c r="S41" s="670">
        <f t="shared" si="12"/>
        <v>100</v>
      </c>
      <c r="T41" s="669" t="s">
        <v>14</v>
      </c>
      <c r="U41" s="670">
        <f t="shared" si="13"/>
        <v>100</v>
      </c>
      <c r="V41" s="669" t="s">
        <v>14</v>
      </c>
      <c r="W41" s="670">
        <f t="shared" si="14"/>
        <v>100</v>
      </c>
      <c r="X41" s="671"/>
      <c r="Y41" s="3432"/>
      <c r="Z41" s="672" t="str">
        <f t="shared" si="15"/>
        <v>进深比</v>
      </c>
      <c r="AA41" s="1264">
        <f t="shared" si="3"/>
        <v>1</v>
      </c>
      <c r="AB41" s="1264">
        <f t="shared" si="4"/>
        <v>1</v>
      </c>
      <c r="AC41" s="1264">
        <f t="shared" si="5"/>
        <v>1</v>
      </c>
    </row>
    <row r="42" spans="1:29" ht="15.5">
      <c r="A42" s="409"/>
      <c r="B42" s="364" t="s">
        <v>1789</v>
      </c>
      <c r="C42" s="1760" t="s">
        <v>3485</v>
      </c>
      <c r="D42" s="374">
        <v>100</v>
      </c>
      <c r="E42" s="1760" t="s">
        <v>3485</v>
      </c>
      <c r="F42" s="400">
        <f>SUMIF(122:122,E42,123:123)-SUMIF(122:122,C42,123:123)+100</f>
        <v>100</v>
      </c>
      <c r="G42" s="1760" t="s">
        <v>3485</v>
      </c>
      <c r="H42" s="374">
        <f>SUMIF(122:122,G42,123:123)-SUMIF(122:122,C42,123:123)+100</f>
        <v>100</v>
      </c>
      <c r="I42" s="1760" t="s">
        <v>3485</v>
      </c>
      <c r="J42" s="374">
        <f>SUMIF(122:122,I42,123:123)-SUMIF(122:122,C42,123:123)+100</f>
        <v>100</v>
      </c>
      <c r="K42" s="538">
        <v>1</v>
      </c>
      <c r="L42" s="2491"/>
      <c r="M42" s="2486"/>
      <c r="N42" s="2486"/>
      <c r="O42" s="2486"/>
      <c r="P42" s="3430"/>
      <c r="Q42" s="1263" t="str">
        <f t="shared" si="11"/>
        <v>内部装修</v>
      </c>
      <c r="R42" s="667" t="s">
        <v>14</v>
      </c>
      <c r="S42" s="668">
        <f t="shared" si="12"/>
        <v>100</v>
      </c>
      <c r="T42" s="667" t="s">
        <v>14</v>
      </c>
      <c r="U42" s="668">
        <f t="shared" si="13"/>
        <v>100</v>
      </c>
      <c r="V42" s="667" t="s">
        <v>14</v>
      </c>
      <c r="W42" s="668">
        <f t="shared" si="14"/>
        <v>100</v>
      </c>
      <c r="X42" s="1265"/>
      <c r="Y42" s="3432"/>
      <c r="Z42" s="1264" t="str">
        <f t="shared" si="15"/>
        <v>内部装修</v>
      </c>
      <c r="AA42" s="1264">
        <f t="shared" si="3"/>
        <v>1</v>
      </c>
      <c r="AB42" s="1264">
        <f t="shared" si="4"/>
        <v>1</v>
      </c>
      <c r="AC42" s="1264">
        <f t="shared" si="5"/>
        <v>1</v>
      </c>
    </row>
    <row r="43" spans="1:29" ht="28.5" thickBot="1">
      <c r="A43" s="409"/>
      <c r="B43" s="364" t="s">
        <v>1704</v>
      </c>
      <c r="C43" s="1760" t="s">
        <v>3453</v>
      </c>
      <c r="D43" s="374">
        <v>100</v>
      </c>
      <c r="E43" s="1760" t="s">
        <v>3453</v>
      </c>
      <c r="F43" s="400">
        <f>SUMIF(124:124,E43,125:125)-SUMIF(124:124,C43,125:125)+100</f>
        <v>100</v>
      </c>
      <c r="G43" s="1760" t="s">
        <v>3453</v>
      </c>
      <c r="H43" s="374">
        <f>SUMIF(124:124,G43,125:125)-SUMIF(124:124,C43,125:125)+100</f>
        <v>100</v>
      </c>
      <c r="I43" s="1760" t="s">
        <v>3453</v>
      </c>
      <c r="J43" s="374">
        <f>SUMIF(124:124,I43,125:125)-SUMIF(124:124,C43,125:125)+100</f>
        <v>100</v>
      </c>
      <c r="K43" s="538">
        <v>2</v>
      </c>
      <c r="L43" s="2491"/>
      <c r="M43" s="2486"/>
      <c r="N43" s="2486"/>
      <c r="O43" s="2486"/>
      <c r="P43" s="3430"/>
      <c r="Q43" s="1263" t="str">
        <f t="shared" si="11"/>
        <v>内部装修维护情况</v>
      </c>
      <c r="R43" s="667" t="s">
        <v>14</v>
      </c>
      <c r="S43" s="668">
        <f t="shared" si="12"/>
        <v>100</v>
      </c>
      <c r="T43" s="667" t="s">
        <v>14</v>
      </c>
      <c r="U43" s="668">
        <f t="shared" si="13"/>
        <v>100</v>
      </c>
      <c r="V43" s="667" t="s">
        <v>14</v>
      </c>
      <c r="W43" s="668">
        <f t="shared" si="14"/>
        <v>100</v>
      </c>
      <c r="X43" s="1265"/>
      <c r="Y43" s="3432"/>
      <c r="Z43" s="1264" t="str">
        <f t="shared" si="15"/>
        <v>内部装修维护情况</v>
      </c>
      <c r="AA43" s="1264">
        <f t="shared" si="3"/>
        <v>1</v>
      </c>
      <c r="AB43" s="1264">
        <f t="shared" si="4"/>
        <v>1</v>
      </c>
      <c r="AC43" s="1264">
        <f t="shared" si="5"/>
        <v>1</v>
      </c>
    </row>
    <row r="44" spans="1:29" s="102" customFormat="1" ht="56.5" thickTop="1">
      <c r="A44" s="410"/>
      <c r="B44" s="3196" t="s">
        <v>3621</v>
      </c>
      <c r="C44" s="3183" t="s">
        <v>3622</v>
      </c>
      <c r="D44" s="119">
        <v>100</v>
      </c>
      <c r="E44" s="3187" t="s">
        <v>3624</v>
      </c>
      <c r="F44" s="364">
        <f>SUMIF(126:126,E44,127:127)-SUMIF(126:126,C44,127:127)+100</f>
        <v>120</v>
      </c>
      <c r="G44" s="3187" t="s">
        <v>3624</v>
      </c>
      <c r="H44" s="119">
        <f>SUMIF(126:126,G44,127:127)-SUMIF(126:126,C44,127:127)+100</f>
        <v>120</v>
      </c>
      <c r="I44" s="3187" t="s">
        <v>3624</v>
      </c>
      <c r="J44" s="119">
        <f>SUMIF(126:126,I44,127:127)-SUMIF(126:126,C44,127:127)+100</f>
        <v>120</v>
      </c>
      <c r="K44" s="539"/>
      <c r="L44" s="2487"/>
      <c r="M44" s="2438"/>
      <c r="N44" s="2438"/>
      <c r="O44" s="2438"/>
      <c r="P44" s="3430"/>
      <c r="Q44" s="530" t="str">
        <f t="shared" si="11"/>
        <v>整租（考虑空置率、税费，二房东税费，经营风险等）</v>
      </c>
      <c r="R44" s="664" t="s">
        <v>14</v>
      </c>
      <c r="S44" s="665">
        <f t="shared" si="12"/>
        <v>120</v>
      </c>
      <c r="T44" s="664" t="s">
        <v>14</v>
      </c>
      <c r="U44" s="665">
        <f t="shared" si="13"/>
        <v>120</v>
      </c>
      <c r="V44" s="664" t="s">
        <v>14</v>
      </c>
      <c r="W44" s="665">
        <f t="shared" si="14"/>
        <v>120</v>
      </c>
      <c r="X44" s="666"/>
      <c r="Y44" s="3432"/>
      <c r="Z44" s="50" t="str">
        <f t="shared" si="15"/>
        <v>整租（考虑空置率、税费，二房东税费，经营风险等）</v>
      </c>
      <c r="AA44" s="50">
        <f t="shared" si="3"/>
        <v>0.83333333333333337</v>
      </c>
      <c r="AB44" s="50">
        <f t="shared" si="4"/>
        <v>0.83333333333333337</v>
      </c>
      <c r="AC44" s="50">
        <f t="shared" si="5"/>
        <v>0.83333333333333337</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0"/>
      <c r="Q45" s="1263">
        <f t="shared" si="11"/>
        <v>111</v>
      </c>
      <c r="R45" s="667" t="s">
        <v>14</v>
      </c>
      <c r="S45" s="668">
        <f t="shared" si="12"/>
        <v>100</v>
      </c>
      <c r="T45" s="667" t="s">
        <v>14</v>
      </c>
      <c r="U45" s="668">
        <f t="shared" si="13"/>
        <v>100</v>
      </c>
      <c r="V45" s="667" t="s">
        <v>14</v>
      </c>
      <c r="W45" s="668">
        <f t="shared" si="14"/>
        <v>100</v>
      </c>
      <c r="X45" s="1265"/>
      <c r="Y45" s="3432"/>
      <c r="Z45" s="1264">
        <f t="shared" si="15"/>
        <v>111</v>
      </c>
      <c r="AA45" s="1264">
        <f t="shared" si="3"/>
        <v>1</v>
      </c>
      <c r="AB45" s="1264">
        <f t="shared" si="4"/>
        <v>1</v>
      </c>
      <c r="AC45" s="1264">
        <f t="shared" si="5"/>
        <v>1</v>
      </c>
    </row>
    <row r="46" spans="1:29" ht="16" thickBot="1">
      <c r="A46" s="415"/>
      <c r="B46" s="1749">
        <v>111</v>
      </c>
      <c r="C46" s="376"/>
      <c r="D46" s="377">
        <v>100</v>
      </c>
      <c r="E46" s="3187" t="s">
        <v>3620</v>
      </c>
      <c r="F46" s="378">
        <f>SUMIF(130:130,E46,131:131)-SUMIF(130:130,C46,131:131)+100</f>
        <v>100</v>
      </c>
      <c r="G46" s="3187" t="s">
        <v>3620</v>
      </c>
      <c r="H46" s="377">
        <f>SUMIF(130:130,G46,131:131)-SUMIF(130:130,C46,131:131)+100</f>
        <v>100</v>
      </c>
      <c r="I46" s="3187" t="s">
        <v>3620</v>
      </c>
      <c r="J46" s="377">
        <f>SUMIF(130:130,I46,131:131)-SUMIF(130:130,C46,131:131)+100</f>
        <v>100</v>
      </c>
      <c r="K46" s="539"/>
      <c r="L46" s="2491"/>
      <c r="M46" s="2486"/>
      <c r="N46" s="2486"/>
      <c r="O46" s="2486"/>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264">
        <f t="shared" si="5"/>
        <v>1</v>
      </c>
    </row>
    <row r="47" spans="1:29">
      <c r="A47" s="416" t="s">
        <v>1705</v>
      </c>
      <c r="B47" s="417"/>
      <c r="C47" s="1081" t="s">
        <v>0</v>
      </c>
      <c r="D47" s="418"/>
      <c r="E47" s="419">
        <v>2.31</v>
      </c>
      <c r="F47" s="420"/>
      <c r="G47" s="421">
        <f>商业租金案例!Q83</f>
        <v>1.89</v>
      </c>
      <c r="H47" s="422"/>
      <c r="I47" s="419">
        <f>商业租金案例!P322</f>
        <v>1.9</v>
      </c>
      <c r="J47" s="422"/>
      <c r="K47" s="674"/>
      <c r="L47" s="2493"/>
      <c r="M47" s="2486"/>
      <c r="N47" s="2486"/>
      <c r="O47" s="2486"/>
      <c r="P47" s="3425" t="str">
        <f>A47</f>
        <v>成交单价（元/平方米）</v>
      </c>
      <c r="Q47" s="3425"/>
      <c r="R47" s="3426">
        <f>E47</f>
        <v>2.31</v>
      </c>
      <c r="S47" s="3426"/>
      <c r="T47" s="3426">
        <f>G47</f>
        <v>1.89</v>
      </c>
      <c r="U47" s="3426"/>
      <c r="V47" s="3426">
        <f>I47</f>
        <v>1.9</v>
      </c>
      <c r="W47" s="3426"/>
      <c r="X47" s="385"/>
      <c r="Y47" s="673"/>
      <c r="Z47" s="385"/>
      <c r="AA47" s="385"/>
      <c r="AB47" s="385"/>
      <c r="AC47" s="385"/>
    </row>
    <row r="48" spans="1:29" ht="14.5" thickBot="1">
      <c r="A48" s="423" t="s">
        <v>1790</v>
      </c>
      <c r="B48" s="424"/>
      <c r="C48" s="1082">
        <f>R49</f>
        <v>1.35</v>
      </c>
      <c r="D48" s="2141" t="s">
        <v>2132</v>
      </c>
      <c r="E48" s="1083">
        <f>R48</f>
        <v>1.39</v>
      </c>
      <c r="F48" s="2142"/>
      <c r="G48" s="1082">
        <f>T48</f>
        <v>1.32</v>
      </c>
      <c r="H48" s="2142"/>
      <c r="I48" s="1083">
        <f>V48</f>
        <v>1.33</v>
      </c>
      <c r="J48" s="2142"/>
      <c r="K48" s="2144">
        <f>F48+H48+J48</f>
        <v>0</v>
      </c>
      <c r="L48" s="2493"/>
      <c r="M48" s="2486"/>
      <c r="N48" s="2486"/>
      <c r="O48" s="2486"/>
      <c r="P48" s="3425" t="str">
        <f>A48</f>
        <v>比较价值（元/平方米）</v>
      </c>
      <c r="Q48" s="3425"/>
      <c r="R48" s="3467">
        <f>IF(F1="售价",ROUND(PRODUCT(R47,AA7:AA46),0),ROUND(PRODUCT(R47,AA7:AA46),2))</f>
        <v>1.39</v>
      </c>
      <c r="S48" s="3467"/>
      <c r="T48" s="3467">
        <f>IF(F1="售价",ROUND(PRODUCT(T47,AB7:AB46),0),ROUND(PRODUCT(T47,AB7:AB46),2))</f>
        <v>1.32</v>
      </c>
      <c r="U48" s="3467"/>
      <c r="V48" s="3467">
        <f>IF(F1="售价",ROUND(PRODUCT(V47,AC7:AC46),0),ROUND(PRODUCT(V47,AC7:AC46),2))</f>
        <v>1.33</v>
      </c>
      <c r="W48" s="3467"/>
      <c r="X48" s="385"/>
      <c r="Y48" s="385"/>
      <c r="Z48" s="385"/>
      <c r="AA48" s="385"/>
      <c r="AB48" s="385"/>
      <c r="AC48" s="385"/>
    </row>
    <row r="49" spans="1:29" ht="14.5" thickBot="1">
      <c r="A49" s="427" t="s">
        <v>1791</v>
      </c>
      <c r="B49" s="428"/>
      <c r="C49" s="351">
        <f>R49</f>
        <v>1.35</v>
      </c>
      <c r="D49" s="351"/>
      <c r="E49" s="351"/>
      <c r="F49" s="351"/>
      <c r="G49" s="351"/>
      <c r="H49" s="351"/>
      <c r="I49" s="351"/>
      <c r="J49" s="351"/>
      <c r="K49" s="675"/>
      <c r="L49" s="2493"/>
      <c r="M49" s="2486"/>
      <c r="N49" s="2486"/>
      <c r="O49" s="2486"/>
      <c r="P49" s="3422" t="str">
        <f>A49</f>
        <v>估价对象XX用房的比较价值（楼面单价，元/平方米）</v>
      </c>
      <c r="Q49" s="3423"/>
      <c r="R49" s="3468">
        <f>IF(F1="售价",ROUND(IF(D48="简单平均",AVERAGE(R48:V48),R48*F48+T48*H48+V48*J48),0),ROUND(IF(D48="简单平均",AVERAGE(R48:V48),R48*F48+T48*H48+V48*J48),2))</f>
        <v>1.35</v>
      </c>
      <c r="S49" s="3468"/>
      <c r="T49" s="3468"/>
      <c r="U49" s="3468"/>
      <c r="V49" s="3468"/>
      <c r="W49" s="3468"/>
      <c r="X49" s="385"/>
      <c r="Y49" s="385"/>
      <c r="Z49" s="385"/>
      <c r="AA49" s="385"/>
      <c r="AB49" s="385"/>
      <c r="AC49" s="385"/>
    </row>
    <row r="50" spans="1:29">
      <c r="A50" s="2486"/>
      <c r="B50" s="2486"/>
      <c r="C50" s="2486"/>
      <c r="D50" s="2486"/>
      <c r="E50" s="2486"/>
      <c r="F50" s="2486"/>
      <c r="G50" s="2486"/>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3189"/>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1792</v>
      </c>
      <c r="D52" s="433"/>
      <c r="E52" s="434">
        <f>IF(E47&lt;E48,E48/E47-1,E47/E48-1)</f>
        <v>0.66187050359712241</v>
      </c>
      <c r="F52" s="435" t="str">
        <f>IF(OR(E52&gt;=0.3,E52&lt;=-0.3),"超过30%","")</f>
        <v>超过30%</v>
      </c>
      <c r="G52" s="434">
        <f>IF(G47&lt;G48,G48/G47-1,G47/G48-1)</f>
        <v>0.43181818181818166</v>
      </c>
      <c r="H52" s="435" t="str">
        <f>IF(OR(G52&gt;=0.3,G52&lt;=-0.3),"超过30%","")</f>
        <v>超过30%</v>
      </c>
      <c r="I52" s="434">
        <f>IF(I47&lt;I48,I48/I47-1,I47/I48-1)</f>
        <v>0.42857142857142838</v>
      </c>
      <c r="J52" s="435" t="str">
        <f>IF(OR(I52&gt;=0.3,I52&lt;=-0.3),"超过30%","")</f>
        <v>超过30%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1793</v>
      </c>
      <c r="D53" s="436"/>
      <c r="E53" s="434">
        <f>IF(E48&lt;G48,G48/E48-1,E48/G48-1)</f>
        <v>5.3030303030302983E-2</v>
      </c>
      <c r="F53" s="435" t="str">
        <f>IF(OR(E53&gt;=0.2,E53&lt;=-0.2),"超过20%","")</f>
        <v/>
      </c>
      <c r="G53" s="434">
        <f>IF(G48&lt;I48,I48/G48-1,G48/I48-1)</f>
        <v>7.575757575757569E-3</v>
      </c>
      <c r="H53" s="435" t="str">
        <f>IF(OR(G53&gt;=0.2,G53&lt;=-0.2),"超过20%","")</f>
        <v/>
      </c>
      <c r="I53" s="434">
        <f>IF(I48&lt;E48,E48/I48-1,I48/E48-1)</f>
        <v>4.5112781954887105E-2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1794</v>
      </c>
      <c r="D54" s="436"/>
      <c r="E54" s="434">
        <f>IF(E47&lt;G47,G47/E47-1,E47/G47-1)</f>
        <v>0.22222222222222232</v>
      </c>
      <c r="F54" s="435" t="str">
        <f>IF(OR(E54&gt;=0.3,E54&lt;=-0.3),"超过30%","")</f>
        <v/>
      </c>
      <c r="G54" s="434">
        <f>IF(G47&lt;I47,I47/G47-1,G47/I47-1)</f>
        <v>5.2910052910053462E-3</v>
      </c>
      <c r="H54" s="435" t="str">
        <f>IF(OR(G54&gt;=0.3,G54&lt;=-0.3),"超过30%","")</f>
        <v/>
      </c>
      <c r="I54" s="434">
        <f>IF(I47&lt;E47,E47/I47-1,I47/E47-1)</f>
        <v>0.21578947368421053</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1795</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1676</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4.5" thickBot="1">
      <c r="A60" s="449" t="s">
        <v>1713</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c r="A61" s="455" t="s">
        <v>1678</v>
      </c>
      <c r="B61" s="444"/>
      <c r="C61" s="456" t="s">
        <v>1773</v>
      </c>
      <c r="D61" s="3171" t="s">
        <v>3447</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4.5" thickBot="1">
      <c r="A62" s="455"/>
      <c r="B62" s="444"/>
      <c r="C62" s="445">
        <v>100</v>
      </c>
      <c r="D62" s="446">
        <v>105</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1716</v>
      </c>
      <c r="B63" s="460" t="s">
        <v>1682</v>
      </c>
      <c r="C63" s="461" t="str">
        <f>C9</f>
        <v>商业</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1685</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1686</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1687</v>
      </c>
      <c r="B76" s="460" t="s">
        <v>1717</v>
      </c>
      <c r="C76" s="504" t="s">
        <v>1718</v>
      </c>
      <c r="D76" s="504" t="s">
        <v>1719</v>
      </c>
      <c r="E76" s="504" t="s">
        <v>1720</v>
      </c>
      <c r="F76" s="504" t="s">
        <v>1721</v>
      </c>
      <c r="G76" s="504" t="s">
        <v>1722</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98</v>
      </c>
      <c r="E77" s="475">
        <f>D77-$K15</f>
        <v>96</v>
      </c>
      <c r="F77" s="475">
        <f>E77-$K15</f>
        <v>94</v>
      </c>
      <c r="G77" s="475">
        <f>F77-$K15</f>
        <v>92</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1723</v>
      </c>
      <c r="C78" s="509" t="s">
        <v>1718</v>
      </c>
      <c r="D78" s="509" t="s">
        <v>1719</v>
      </c>
      <c r="E78" s="509" t="s">
        <v>1720</v>
      </c>
      <c r="F78" s="509" t="s">
        <v>1721</v>
      </c>
      <c r="G78" s="509" t="s">
        <v>1722</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1724</v>
      </c>
      <c r="C80" s="509" t="s">
        <v>1718</v>
      </c>
      <c r="D80" s="509" t="s">
        <v>1719</v>
      </c>
      <c r="E80" s="509" t="s">
        <v>1720</v>
      </c>
      <c r="F80" s="509" t="s">
        <v>1721</v>
      </c>
      <c r="G80" s="509" t="s">
        <v>1722</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98</v>
      </c>
      <c r="E81" s="475">
        <f>D81-$K19</f>
        <v>96</v>
      </c>
      <c r="F81" s="475">
        <f>E81-$K19</f>
        <v>94</v>
      </c>
      <c r="G81" s="475">
        <f>F81-$K19</f>
        <v>92</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1776</v>
      </c>
      <c r="C82" s="581" t="s">
        <v>1796</v>
      </c>
      <c r="D82" s="581" t="s">
        <v>1797</v>
      </c>
      <c r="E82" s="581" t="s">
        <v>1798</v>
      </c>
      <c r="F82" s="581" t="s">
        <v>1799</v>
      </c>
      <c r="G82" s="581" t="s">
        <v>1800</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1730</v>
      </c>
      <c r="C84" s="509" t="s">
        <v>1718</v>
      </c>
      <c r="D84" s="509" t="s">
        <v>1719</v>
      </c>
      <c r="E84" s="509" t="s">
        <v>1720</v>
      </c>
      <c r="F84" s="509" t="s">
        <v>1721</v>
      </c>
      <c r="G84" s="509" t="s">
        <v>1722</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98</v>
      </c>
      <c r="E85" s="475">
        <f>D85-$K23</f>
        <v>96</v>
      </c>
      <c r="F85" s="475">
        <f>E85-$K23</f>
        <v>94</v>
      </c>
      <c r="G85" s="475">
        <f>F85-$K23</f>
        <v>92</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1801</v>
      </c>
      <c r="C86" s="3173" t="s">
        <v>3449</v>
      </c>
      <c r="D86" s="3173" t="s">
        <v>3451</v>
      </c>
      <c r="E86" s="3173" t="s">
        <v>3452</v>
      </c>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4.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1"/>
      <c r="O87" s="2521"/>
      <c r="P87" s="2512"/>
      <c r="Q87" s="2507"/>
      <c r="R87" s="2438"/>
      <c r="S87" s="2438"/>
      <c r="T87" s="2438"/>
      <c r="U87" s="2438"/>
      <c r="V87" s="2438"/>
      <c r="W87" s="2438"/>
      <c r="X87" s="2438"/>
      <c r="Y87" s="2438"/>
      <c r="Z87" s="2438"/>
      <c r="AA87" s="2438"/>
      <c r="AB87" s="2438"/>
      <c r="AC87" s="2438"/>
    </row>
    <row r="88" spans="1:29" s="102" customFormat="1" ht="14.5" thickTop="1">
      <c r="A88" s="370"/>
      <c r="B88" s="469" t="str">
        <f>B26</f>
        <v>平面位置/可视性</v>
      </c>
      <c r="C88" s="3173" t="s">
        <v>3459</v>
      </c>
      <c r="D88" s="3173" t="s">
        <v>3454</v>
      </c>
      <c r="E88" s="3173" t="s">
        <v>3456</v>
      </c>
      <c r="F88" s="3173" t="s">
        <v>3458</v>
      </c>
      <c r="G88" s="3173" t="s">
        <v>3460</v>
      </c>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4.5" thickBot="1">
      <c r="A89" s="370"/>
      <c r="B89" s="474"/>
      <c r="C89" s="491">
        <v>100</v>
      </c>
      <c r="D89" s="467">
        <f>C89-5</f>
        <v>95</v>
      </c>
      <c r="E89" s="467">
        <f t="shared" ref="E89:G89" si="21">D89-5</f>
        <v>90</v>
      </c>
      <c r="F89" s="467">
        <f t="shared" si="21"/>
        <v>85</v>
      </c>
      <c r="G89" s="467">
        <f t="shared" si="21"/>
        <v>80</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4.5" thickTop="1">
      <c r="A90" s="484"/>
      <c r="B90" s="469" t="str">
        <f>B27</f>
        <v>人流量</v>
      </c>
      <c r="C90" s="3173" t="s">
        <v>3461</v>
      </c>
      <c r="D90" s="3173" t="s">
        <v>3462</v>
      </c>
      <c r="E90" s="3173" t="s">
        <v>3456</v>
      </c>
      <c r="F90" s="3173" t="s">
        <v>3463</v>
      </c>
      <c r="G90" s="3173" t="s">
        <v>3465</v>
      </c>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97</v>
      </c>
      <c r="E91" s="475">
        <f t="shared" ref="E91:M91" si="22">D91-$K27</f>
        <v>94</v>
      </c>
      <c r="F91" s="475">
        <f t="shared" si="22"/>
        <v>91</v>
      </c>
      <c r="G91" s="475">
        <f t="shared" si="22"/>
        <v>88</v>
      </c>
      <c r="H91" s="475">
        <f t="shared" si="22"/>
        <v>85</v>
      </c>
      <c r="I91" s="475">
        <f t="shared" si="22"/>
        <v>82</v>
      </c>
      <c r="J91" s="475">
        <f t="shared" si="22"/>
        <v>79</v>
      </c>
      <c r="K91" s="475">
        <f t="shared" si="22"/>
        <v>76</v>
      </c>
      <c r="L91" s="475">
        <f t="shared" si="22"/>
        <v>73</v>
      </c>
      <c r="M91" s="475">
        <f t="shared" si="22"/>
        <v>70</v>
      </c>
      <c r="N91" s="2522"/>
      <c r="O91" s="2522"/>
      <c r="P91" s="2513"/>
      <c r="Q91" s="2514"/>
      <c r="R91" s="2492"/>
      <c r="S91" s="2492"/>
      <c r="T91" s="2492"/>
      <c r="U91" s="2492"/>
      <c r="V91" s="2492"/>
      <c r="W91" s="2492"/>
      <c r="X91" s="2492"/>
      <c r="Y91" s="2492"/>
      <c r="Z91" s="2492"/>
      <c r="AA91" s="2492"/>
      <c r="AB91" s="2492"/>
      <c r="AC91" s="2492"/>
    </row>
    <row r="92" spans="1:29" ht="15" thickTop="1">
      <c r="A92" s="367"/>
      <c r="B92" s="469" t="str">
        <f>B28</f>
        <v>楼层</v>
      </c>
      <c r="C92" s="485" t="s">
        <v>3466</v>
      </c>
      <c r="D92" s="485" t="str">
        <f>M26</f>
        <v>1-2层</v>
      </c>
      <c r="E92" s="485" t="str">
        <f>M27</f>
        <v>1-2层（1层小）</v>
      </c>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v>100</v>
      </c>
      <c r="D93" s="467">
        <f>N26</f>
        <v>85</v>
      </c>
      <c r="E93" s="467">
        <f>N27</f>
        <v>73</v>
      </c>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0</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1691</v>
      </c>
      <c r="B100" s="460" t="s">
        <v>1802</v>
      </c>
      <c r="C100" s="3174" t="s">
        <v>3468</v>
      </c>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3">C101-$K32</f>
        <v>98</v>
      </c>
      <c r="E101" s="475">
        <f t="shared" si="23"/>
        <v>96</v>
      </c>
      <c r="F101" s="475">
        <f t="shared" si="23"/>
        <v>94</v>
      </c>
      <c r="G101" s="475">
        <f t="shared" si="23"/>
        <v>92</v>
      </c>
      <c r="H101" s="475">
        <f t="shared" si="23"/>
        <v>90</v>
      </c>
      <c r="I101" s="475">
        <f t="shared" si="23"/>
        <v>88</v>
      </c>
      <c r="J101" s="475">
        <f t="shared" si="23"/>
        <v>86</v>
      </c>
      <c r="K101" s="475">
        <f t="shared" si="23"/>
        <v>84</v>
      </c>
      <c r="L101" s="475">
        <f t="shared" si="23"/>
        <v>82</v>
      </c>
      <c r="M101" s="476">
        <f t="shared" si="23"/>
        <v>80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1734</v>
      </c>
      <c r="C102" s="509" t="str">
        <f>C103&amp;"(含)"&amp;"-"&amp;D103</f>
        <v>0(含)-50</v>
      </c>
      <c r="D102" s="509" t="str">
        <f t="shared" ref="D102:L102" si="24">D103&amp;"(含)"&amp;"-"&amp;E103</f>
        <v>50(含)-100</v>
      </c>
      <c r="E102" s="509" t="str">
        <f t="shared" si="24"/>
        <v>100(含)-200</v>
      </c>
      <c r="F102" s="509" t="str">
        <f t="shared" si="24"/>
        <v>200(含)-300</v>
      </c>
      <c r="G102" s="509" t="str">
        <f t="shared" si="24"/>
        <v>300(含)-500</v>
      </c>
      <c r="H102" s="509" t="str">
        <f t="shared" si="24"/>
        <v>500(含)-800</v>
      </c>
      <c r="I102" s="509" t="str">
        <f t="shared" si="24"/>
        <v>800(含)-1000</v>
      </c>
      <c r="J102" s="509" t="str">
        <f t="shared" si="24"/>
        <v>1000(含)-</v>
      </c>
      <c r="K102" s="509" t="str">
        <f t="shared" si="24"/>
        <v>(含)-</v>
      </c>
      <c r="L102" s="509" t="str">
        <f t="shared" si="24"/>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50</v>
      </c>
      <c r="E103" s="6">
        <v>100</v>
      </c>
      <c r="F103" s="6">
        <v>200</v>
      </c>
      <c r="G103" s="6">
        <v>300</v>
      </c>
      <c r="H103" s="6">
        <v>500</v>
      </c>
      <c r="I103" s="6">
        <v>800</v>
      </c>
      <c r="J103" s="524">
        <v>1000</v>
      </c>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v>100</v>
      </c>
      <c r="D104" s="467">
        <f>C104-2</f>
        <v>98</v>
      </c>
      <c r="E104" s="467">
        <f t="shared" ref="E104:J104" si="25">D104-2</f>
        <v>96</v>
      </c>
      <c r="F104" s="467">
        <f t="shared" si="25"/>
        <v>94</v>
      </c>
      <c r="G104" s="467">
        <f t="shared" si="25"/>
        <v>92</v>
      </c>
      <c r="H104" s="467">
        <f t="shared" si="25"/>
        <v>90</v>
      </c>
      <c r="I104" s="467">
        <f t="shared" si="25"/>
        <v>88</v>
      </c>
      <c r="J104" s="467">
        <f t="shared" si="25"/>
        <v>86</v>
      </c>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1735</v>
      </c>
      <c r="C105" s="3173" t="s">
        <v>3470</v>
      </c>
      <c r="D105" s="3173" t="s">
        <v>3471</v>
      </c>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6">C106-$K34</f>
        <v>98</v>
      </c>
      <c r="E106" s="475">
        <f t="shared" si="26"/>
        <v>96</v>
      </c>
      <c r="F106" s="475">
        <f t="shared" si="26"/>
        <v>94</v>
      </c>
      <c r="G106" s="475">
        <f t="shared" si="26"/>
        <v>92</v>
      </c>
      <c r="H106" s="475">
        <f t="shared" si="26"/>
        <v>90</v>
      </c>
      <c r="I106" s="475">
        <f t="shared" si="26"/>
        <v>88</v>
      </c>
      <c r="J106" s="475">
        <f t="shared" si="26"/>
        <v>86</v>
      </c>
      <c r="K106" s="475">
        <f t="shared" si="26"/>
        <v>84</v>
      </c>
      <c r="L106" s="475">
        <f t="shared" si="26"/>
        <v>82</v>
      </c>
      <c r="M106" s="476">
        <f t="shared" si="26"/>
        <v>80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1737</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7">C108-$K35</f>
        <v>100</v>
      </c>
      <c r="E108" s="475">
        <f t="shared" si="27"/>
        <v>100</v>
      </c>
      <c r="F108" s="475">
        <f t="shared" si="27"/>
        <v>100</v>
      </c>
      <c r="G108" s="475">
        <f t="shared" si="27"/>
        <v>100</v>
      </c>
      <c r="H108" s="475">
        <f t="shared" si="27"/>
        <v>100</v>
      </c>
      <c r="I108" s="475">
        <f t="shared" si="27"/>
        <v>100</v>
      </c>
      <c r="J108" s="475">
        <f t="shared" si="27"/>
        <v>100</v>
      </c>
      <c r="K108" s="475">
        <f t="shared" si="27"/>
        <v>100</v>
      </c>
      <c r="L108" s="475">
        <f t="shared" si="27"/>
        <v>100</v>
      </c>
      <c r="M108" s="476">
        <f t="shared" si="27"/>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1187</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101</v>
      </c>
      <c r="E111" s="475">
        <f t="shared" ref="E111:M111" si="28">D111+$K36</f>
        <v>102</v>
      </c>
      <c r="F111" s="475">
        <f t="shared" si="28"/>
        <v>103</v>
      </c>
      <c r="G111" s="475">
        <f t="shared" si="28"/>
        <v>104</v>
      </c>
      <c r="H111" s="475">
        <f t="shared" si="28"/>
        <v>105</v>
      </c>
      <c r="I111" s="475">
        <f t="shared" si="28"/>
        <v>106</v>
      </c>
      <c r="J111" s="475">
        <f t="shared" si="28"/>
        <v>107</v>
      </c>
      <c r="K111" s="475">
        <f t="shared" si="28"/>
        <v>108</v>
      </c>
      <c r="L111" s="475">
        <f t="shared" si="28"/>
        <v>109</v>
      </c>
      <c r="M111" s="475">
        <f t="shared" si="28"/>
        <v>110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1739</v>
      </c>
      <c r="C112" s="3173" t="s">
        <v>3473</v>
      </c>
      <c r="D112" s="3173" t="s">
        <v>3474</v>
      </c>
      <c r="E112" s="3173" t="s">
        <v>3475</v>
      </c>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99</v>
      </c>
      <c r="E113" s="475">
        <f t="shared" ref="E113:M113" si="29">D113-$K37</f>
        <v>98</v>
      </c>
      <c r="F113" s="475">
        <f t="shared" si="29"/>
        <v>97</v>
      </c>
      <c r="G113" s="475">
        <f t="shared" si="29"/>
        <v>96</v>
      </c>
      <c r="H113" s="475">
        <f t="shared" si="29"/>
        <v>95</v>
      </c>
      <c r="I113" s="475">
        <f t="shared" si="29"/>
        <v>94</v>
      </c>
      <c r="J113" s="475">
        <f t="shared" si="29"/>
        <v>93</v>
      </c>
      <c r="K113" s="475">
        <f t="shared" si="29"/>
        <v>92</v>
      </c>
      <c r="L113" s="475">
        <f t="shared" si="29"/>
        <v>91</v>
      </c>
      <c r="M113" s="475">
        <f t="shared" si="29"/>
        <v>90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1803</v>
      </c>
      <c r="C114" s="3173" t="s">
        <v>3477</v>
      </c>
      <c r="D114" s="3173" t="s">
        <v>3479</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30">C115-$K38</f>
        <v>90</v>
      </c>
      <c r="E115" s="475">
        <f t="shared" si="30"/>
        <v>80</v>
      </c>
      <c r="F115" s="475">
        <f t="shared" si="30"/>
        <v>70</v>
      </c>
      <c r="G115" s="475">
        <f t="shared" si="30"/>
        <v>60</v>
      </c>
      <c r="H115" s="475">
        <f t="shared" si="30"/>
        <v>50</v>
      </c>
      <c r="I115" s="475">
        <f t="shared" si="30"/>
        <v>40</v>
      </c>
      <c r="J115" s="475">
        <f t="shared" si="30"/>
        <v>30</v>
      </c>
      <c r="K115" s="475">
        <f t="shared" si="30"/>
        <v>20</v>
      </c>
      <c r="L115" s="475">
        <f t="shared" si="30"/>
        <v>10</v>
      </c>
      <c r="M115" s="476">
        <f t="shared" si="30"/>
        <v>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1804</v>
      </c>
      <c r="C116" s="3173" t="s">
        <v>3481</v>
      </c>
      <c r="D116" s="3173" t="s">
        <v>3483</v>
      </c>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95</v>
      </c>
      <c r="E117" s="475">
        <f>D117-$K39</f>
        <v>90</v>
      </c>
      <c r="F117" s="475">
        <f>E117-$K39</f>
        <v>85</v>
      </c>
      <c r="G117" s="475">
        <f>F117-$K39</f>
        <v>80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1805</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1806</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31">D121-$K41</f>
        <v>100</v>
      </c>
      <c r="F121" s="475">
        <f t="shared" si="31"/>
        <v>100</v>
      </c>
      <c r="G121" s="475">
        <f t="shared" si="31"/>
        <v>100</v>
      </c>
      <c r="H121" s="475">
        <f t="shared" si="31"/>
        <v>100</v>
      </c>
      <c r="I121" s="475">
        <f t="shared" si="31"/>
        <v>100</v>
      </c>
      <c r="J121" s="475">
        <f t="shared" si="31"/>
        <v>100</v>
      </c>
      <c r="K121" s="475">
        <f t="shared" si="31"/>
        <v>100</v>
      </c>
      <c r="L121" s="475">
        <f t="shared" si="31"/>
        <v>100</v>
      </c>
      <c r="M121" s="476">
        <f t="shared" si="31"/>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1741</v>
      </c>
      <c r="C122" s="3173" t="s">
        <v>3484</v>
      </c>
      <c r="D122" s="3173" t="s">
        <v>3486</v>
      </c>
      <c r="E122" s="3173" t="s">
        <v>3487</v>
      </c>
      <c r="F122" s="3175" t="s">
        <v>3488</v>
      </c>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6">
        <f t="shared" si="32"/>
        <v>90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1742</v>
      </c>
      <c r="C124" s="509" t="s">
        <v>1718</v>
      </c>
      <c r="D124" s="509" t="s">
        <v>1719</v>
      </c>
      <c r="E124" s="509" t="s">
        <v>1720</v>
      </c>
      <c r="F124" s="509" t="s">
        <v>1721</v>
      </c>
      <c r="G124" s="509" t="s">
        <v>1722</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98</v>
      </c>
      <c r="E125" s="475">
        <f>D125-$K43</f>
        <v>96</v>
      </c>
      <c r="F125" s="475">
        <f>E125-$K43</f>
        <v>94</v>
      </c>
      <c r="G125" s="475">
        <f>F125-$K43</f>
        <v>92</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77" customHeight="1" thickTop="1">
      <c r="A126" s="406"/>
      <c r="B126" s="469" t="str">
        <f>B44</f>
        <v>整租（考虑空置率、税费，二房东税费，经营风险等）</v>
      </c>
      <c r="C126" s="3187" t="s">
        <v>3624</v>
      </c>
      <c r="D126" s="3183" t="s">
        <v>3622</v>
      </c>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v>120</v>
      </c>
      <c r="D127" s="467">
        <v>100</v>
      </c>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algorithmName="SHA-512" hashValue="0T/bEd+t+G1J8oifOg94njOKE45620GROv/5AeGgaEaQmj9hOoEkCN+F2Sgu2fhRsu9c9AWExP4kDmTGgF+arQ==" saltValue="6asldXu9IylB5C6vwReQfQ=="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35"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tabSelected="1" zoomScale="90" zoomScaleNormal="90" workbookViewId="0">
      <pane ySplit="24" topLeftCell="A25" activePane="bottomLeft" state="frozen"/>
      <selection activeCell="E1" sqref="E1"/>
      <selection pane="bottomLeft" activeCell="V22" sqref="V22"/>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474" t="s">
        <v>2081</v>
      </c>
      <c r="D1" s="3475"/>
      <c r="E1" s="3475"/>
      <c r="F1" s="3475"/>
      <c r="G1" s="3475"/>
      <c r="H1" s="3475"/>
      <c r="I1" s="3475"/>
      <c r="J1" s="3475"/>
      <c r="K1" s="3475"/>
      <c r="L1" s="3475"/>
      <c r="M1" s="3475"/>
      <c r="N1" s="3475"/>
      <c r="O1" s="3475"/>
      <c r="P1" s="3475"/>
      <c r="Q1" s="3475"/>
      <c r="R1" s="3475"/>
      <c r="S1" s="3476"/>
      <c r="T1" s="929" t="s">
        <v>2082</v>
      </c>
    </row>
    <row r="2" spans="1:45" s="625" customFormat="1" ht="37.5">
      <c r="A2" s="930"/>
      <c r="B2" s="622" t="s">
        <v>2083</v>
      </c>
      <c r="C2" s="14" t="str">
        <f t="shared" ref="C2:L2" si="0">C3&amp;"(含)"&amp;"-"&amp;D3</f>
        <v>0(含)-50</v>
      </c>
      <c r="D2" s="623" t="str">
        <f t="shared" si="0"/>
        <v>50(含)-100</v>
      </c>
      <c r="E2" s="623" t="str">
        <f t="shared" si="0"/>
        <v>100(含)-200</v>
      </c>
      <c r="F2" s="623" t="str">
        <f t="shared" si="0"/>
        <v>200(含)-300</v>
      </c>
      <c r="G2" s="623" t="str">
        <f t="shared" si="0"/>
        <v>300(含)-500</v>
      </c>
      <c r="H2" s="623" t="str">
        <f t="shared" si="0"/>
        <v>500(含)-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'比较法-商业'!C103</f>
        <v>0</v>
      </c>
      <c r="D3" s="627">
        <f>'比较法-商业'!D103</f>
        <v>50</v>
      </c>
      <c r="E3" s="627">
        <f>'比较法-商业'!E103</f>
        <v>100</v>
      </c>
      <c r="F3" s="627">
        <f>'比较法-商业'!F103</f>
        <v>200</v>
      </c>
      <c r="G3" s="627">
        <f>'比较法-商业'!G103</f>
        <v>300</v>
      </c>
      <c r="H3" s="627">
        <f>'比较法-商业'!H103</f>
        <v>500</v>
      </c>
      <c r="I3" s="627"/>
      <c r="J3" s="627"/>
      <c r="K3" s="627"/>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627">
        <f>'比较法-商业'!C104</f>
        <v>100</v>
      </c>
      <c r="D4" s="627">
        <f>'比较法-商业'!D104</f>
        <v>98</v>
      </c>
      <c r="E4" s="627">
        <f>'比较法-商业'!E104</f>
        <v>96</v>
      </c>
      <c r="F4" s="627">
        <f>'比较法-商业'!F104</f>
        <v>94</v>
      </c>
      <c r="G4" s="627">
        <f>'比较法-商业'!G104</f>
        <v>92</v>
      </c>
      <c r="H4" s="627">
        <f>'比较法-商业'!H104</f>
        <v>90</v>
      </c>
      <c r="I4" s="627"/>
      <c r="J4" s="627"/>
      <c r="K4" s="627"/>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3181"/>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2084</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2085</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2086</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3181" t="s">
        <v>3492</v>
      </c>
      <c r="C13" s="940" t="s">
        <v>3493</v>
      </c>
      <c r="D13" s="3182" t="s">
        <v>3494</v>
      </c>
      <c r="E13" s="941" t="s">
        <v>3574</v>
      </c>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v>100</v>
      </c>
      <c r="D14" s="847">
        <v>50</v>
      </c>
      <c r="E14" s="847">
        <f>'比较法-商业'!N25</f>
        <v>70</v>
      </c>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2087</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2088</v>
      </c>
      <c r="B17" s="1987" t="s">
        <v>2089</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2090</v>
      </c>
      <c r="E19" s="1253"/>
      <c r="F19" s="1253"/>
      <c r="G19" s="1253"/>
      <c r="H19" s="996"/>
      <c r="I19" s="151"/>
      <c r="J19" s="151"/>
      <c r="K19" s="151"/>
      <c r="L19" s="151"/>
      <c r="M19" s="151"/>
      <c r="N19" s="151"/>
      <c r="O19" s="151"/>
      <c r="P19" s="151"/>
      <c r="Q19" s="151"/>
      <c r="R19" s="151"/>
      <c r="S19" s="121"/>
    </row>
    <row r="20" spans="1:45" ht="16" thickBot="1">
      <c r="A20" s="632" t="s">
        <v>2091</v>
      </c>
      <c r="B20" s="286">
        <f>IF(D20="——",S22,S22-F20)</f>
        <v>0</v>
      </c>
      <c r="C20" s="151"/>
      <c r="D20" s="1989" t="s">
        <v>43</v>
      </c>
      <c r="E20" s="1254"/>
      <c r="F20" s="929" t="e">
        <f ca="1">SUMIF(INDIRECT("'"&amp;H20&amp;"'"&amp;"!A:A"),"承租人权益价值",INDIRECT("'"&amp;H20&amp;"'"&amp;"!c:c"))</f>
        <v>#REF!</v>
      </c>
      <c r="G20" s="929" t="s">
        <v>2092</v>
      </c>
      <c r="H20" s="1990"/>
      <c r="I20" s="151"/>
      <c r="J20" s="151"/>
      <c r="K20" s="151"/>
      <c r="L20" s="151"/>
      <c r="M20" s="151"/>
      <c r="N20" s="151"/>
      <c r="O20" s="151"/>
      <c r="P20" s="151"/>
      <c r="Q20" s="151"/>
      <c r="R20" s="151"/>
      <c r="S20" s="121"/>
      <c r="W20" s="3193" t="s">
        <v>3652</v>
      </c>
    </row>
    <row r="21" spans="1:45" ht="15.5">
      <c r="A21" s="632" t="s">
        <v>2093</v>
      </c>
      <c r="B21" s="286">
        <f>ROUND(B20*10000/B22,0)</f>
        <v>0</v>
      </c>
      <c r="C21" s="151"/>
      <c r="D21" s="151"/>
      <c r="E21" s="151"/>
      <c r="F21" s="151"/>
      <c r="G21" s="151"/>
      <c r="H21" s="151"/>
      <c r="I21" s="151"/>
      <c r="J21" s="151"/>
      <c r="K21" s="151"/>
      <c r="L21" s="151"/>
      <c r="M21" s="151"/>
      <c r="N21" s="151"/>
      <c r="O21" s="151"/>
      <c r="P21" s="151"/>
      <c r="Q21" s="151"/>
      <c r="R21" s="151"/>
      <c r="S21" s="121"/>
      <c r="U21" s="3193" t="s">
        <v>3580</v>
      </c>
      <c r="V21" s="684">
        <f>ROUND((R24*B24+R25*B25+R26*B26)/B22,2)</f>
        <v>0.95</v>
      </c>
      <c r="W21" s="684">
        <f>B22</f>
        <v>3730.1800000000003</v>
      </c>
    </row>
    <row r="22" spans="1:45" ht="13">
      <c r="A22" s="308" t="s">
        <v>2094</v>
      </c>
      <c r="B22" s="21">
        <f>SUM(B24:B10000)</f>
        <v>3730.1800000000003</v>
      </c>
      <c r="C22" s="3471" t="s">
        <v>27</v>
      </c>
      <c r="D22" s="3472"/>
      <c r="E22" s="3472"/>
      <c r="F22" s="3472"/>
      <c r="G22" s="3472"/>
      <c r="H22" s="3472"/>
      <c r="I22" s="3472"/>
      <c r="J22" s="3472"/>
      <c r="K22" s="3472"/>
      <c r="L22" s="3472"/>
      <c r="M22" s="3472"/>
      <c r="N22" s="3472"/>
      <c r="O22" s="3472"/>
      <c r="P22" s="3472"/>
      <c r="Q22" s="3473"/>
      <c r="R22" s="21">
        <f>ROUND(S22*10000/B22,0)</f>
        <v>0</v>
      </c>
      <c r="S22" s="21">
        <f>SUM(S24:S10000)</f>
        <v>0</v>
      </c>
      <c r="U22" s="684" t="s">
        <v>3613</v>
      </c>
      <c r="V22" s="684">
        <f>ROUND((B24*R24+B25*R25)/W22,2)</f>
        <v>1.1000000000000001</v>
      </c>
      <c r="W22" s="684">
        <f>B24+B25</f>
        <v>2343.7800000000002</v>
      </c>
    </row>
    <row r="23" spans="1:45" s="9" customFormat="1" ht="26">
      <c r="A23" s="8" t="s">
        <v>2095</v>
      </c>
      <c r="B23" s="8" t="s">
        <v>2096</v>
      </c>
      <c r="C23" s="8" t="s">
        <v>2097</v>
      </c>
      <c r="D23" s="8">
        <f>B5</f>
        <v>0</v>
      </c>
      <c r="E23" s="8" t="s">
        <v>2097</v>
      </c>
      <c r="F23" s="8" t="str">
        <f>B7</f>
        <v>修正项3</v>
      </c>
      <c r="G23" s="8" t="s">
        <v>2097</v>
      </c>
      <c r="H23" s="8" t="str">
        <f>B9</f>
        <v>修正项4</v>
      </c>
      <c r="I23" s="8" t="s">
        <v>2097</v>
      </c>
      <c r="J23" s="8" t="str">
        <f>B11</f>
        <v>修正项5</v>
      </c>
      <c r="K23" s="8" t="s">
        <v>2097</v>
      </c>
      <c r="L23" s="8" t="str">
        <f>B13</f>
        <v>楼层</v>
      </c>
      <c r="M23" s="8" t="s">
        <v>2097</v>
      </c>
      <c r="N23" s="8" t="str">
        <f>B15</f>
        <v>修正项7</v>
      </c>
      <c r="O23" s="8" t="s">
        <v>2097</v>
      </c>
      <c r="P23" s="8" t="str">
        <f>B17</f>
        <v>楼层</v>
      </c>
      <c r="Q23" s="8" t="s">
        <v>2097</v>
      </c>
      <c r="R23" s="8" t="s">
        <v>2098</v>
      </c>
      <c r="S23" s="8" t="s">
        <v>2099</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3179" t="s">
        <v>3490</v>
      </c>
      <c r="B24" s="633">
        <f>'数据-汇总表'!E19</f>
        <v>905.30000000000018</v>
      </c>
      <c r="C24" s="2569">
        <v>1</v>
      </c>
      <c r="D24" s="2570"/>
      <c r="E24" s="2569">
        <v>1</v>
      </c>
      <c r="F24" s="2570"/>
      <c r="G24" s="2569">
        <v>1</v>
      </c>
      <c r="H24" s="2570"/>
      <c r="I24" s="2569">
        <v>1</v>
      </c>
      <c r="J24" s="2570"/>
      <c r="K24" s="2569">
        <v>1</v>
      </c>
      <c r="L24" s="2570" t="s">
        <v>3489</v>
      </c>
      <c r="M24" s="2569">
        <v>1</v>
      </c>
      <c r="N24" s="2570"/>
      <c r="O24" s="2569">
        <v>1</v>
      </c>
      <c r="P24" s="2570"/>
      <c r="Q24" s="2569">
        <v>1</v>
      </c>
      <c r="R24" s="633">
        <f>'比较法-商业'!C49</f>
        <v>1.35</v>
      </c>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3197" t="s">
        <v>3623</v>
      </c>
      <c r="B25" s="52">
        <f>'数据-汇总表'!F20</f>
        <v>1438.48</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t="s">
        <v>3575</v>
      </c>
      <c r="M25" s="21">
        <f>(SUMIF($13:$13,L25,$14:$14)-SUMIF($13:$13,$L$24,$14:$14)+100)/100</f>
        <v>0.7</v>
      </c>
      <c r="N25" s="635"/>
      <c r="O25" s="21">
        <f>(SUMIF($15:$15,N25,$16:$16)-SUMIF($15:$15,$N$24,$16:$16)+100)/100</f>
        <v>1</v>
      </c>
      <c r="P25" s="635"/>
      <c r="Q25" s="21">
        <f>(SUMIF($17:$17,P25,$18:$18)-SUMIF($17:$17,$P$24,$18:$18)+100)/100</f>
        <v>1</v>
      </c>
      <c r="R25" s="3192">
        <f>IF(B25="",0,ROUND($R$24*C25*E25*G25*I25*K25*M25*O25*Q25,2))</f>
        <v>0.95</v>
      </c>
      <c r="S25" s="308">
        <f t="shared" si="11"/>
        <v>0</v>
      </c>
    </row>
    <row r="26" spans="1:45" ht="13">
      <c r="A26" s="3180" t="s">
        <v>3491</v>
      </c>
      <c r="B26" s="52">
        <f>'数据-汇总表'!E21</f>
        <v>1386.4</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t="s">
        <v>3495</v>
      </c>
      <c r="M26" s="21">
        <f t="shared" ref="M26:M89" si="17">(SUMIF($13:$13,L26,$14:$14)-SUMIF($13:$13,$L$24,$14:$14)+100)/100</f>
        <v>0.5</v>
      </c>
      <c r="N26" s="635"/>
      <c r="O26" s="21">
        <f t="shared" ref="O26:O89" si="18">(SUMIF($15:$15,N26,$16:$16)-SUMIF($15:$15,$N$24,$16:$16)+100)/100</f>
        <v>1</v>
      </c>
      <c r="P26" s="635"/>
      <c r="Q26" s="21">
        <f t="shared" ref="Q26:Q89" si="19">(SUMIF($17:$17,P26,$18:$18)-SUMIF($17:$17,$P$24,$18:$18)+100)/100</f>
        <v>1</v>
      </c>
      <c r="R26" s="3192">
        <f>IF(B26="",0,ROUND($R$24*C26*E26*G26*I26*K26*M26*O26*Q26,2))</f>
        <v>0.68</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0</v>
      </c>
      <c r="N27" s="635"/>
      <c r="O27" s="21">
        <f t="shared" si="18"/>
        <v>1</v>
      </c>
      <c r="P27" s="635"/>
      <c r="Q27" s="21">
        <f t="shared" si="19"/>
        <v>1</v>
      </c>
      <c r="R27" s="21">
        <f t="shared" ref="R27:R89" si="20">IF(B27="",0,ROUND($R$24*C27*E27*G27*I27*K27*M27*O27*Q27,0))</f>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0</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0</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0</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0</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0</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0</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0</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0</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0</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0</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0</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0</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0</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0</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0</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0</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0</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0</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0</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0</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0</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0</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0</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0</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0</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0</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0</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0</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0</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0</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0</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0</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0</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0</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0</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0</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0</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0</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0</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0</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0</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0</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0</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0</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0</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0</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0</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0</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0</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0</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0</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0</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0</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0</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0</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0</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0</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0</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0</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0</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0</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0</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0</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0</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0</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0</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0</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0</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0</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0</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0</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0</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0</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0</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0</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0</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0</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0</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0</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0</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0</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0</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0</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0</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0</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0</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0</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0</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0</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0</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0</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0</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0</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0</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0</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0</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0</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0</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0</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0</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0</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0</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0</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0</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0</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0</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0</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0</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0</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0</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0</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0</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0</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0</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0</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0</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0</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0</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0</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0</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0</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0</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0</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0</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0</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0</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0</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0</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0</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0</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0</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0</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0</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0</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0</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0</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0</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0</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0</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0</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0</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0</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0</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0</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0</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0</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0</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0</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0</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0</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0</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0</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0</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0</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0</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0</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0</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0</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0</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0</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0</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0</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0</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0</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0</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0</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0</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0</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0</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0</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0</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0</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0</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0</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0</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0</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0</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0</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0</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0</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0</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0</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0</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0</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0</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0</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0</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0</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0</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0</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0</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0</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0</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0</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0</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0</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0</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0</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0</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0</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0</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0</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0</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0</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0</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0</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0</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0</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0</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0</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0</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0</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0</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0</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0</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0</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0</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0</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0</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0</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0</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0</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0</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0</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0</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0</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0</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0</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0</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0</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0</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0</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0</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0</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0</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0</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0</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0</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0</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0</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0</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0</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0</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0</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0</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0</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0</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0</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0</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0</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0</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0</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0</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0</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0</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0</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0</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0</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0</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0</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0</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0</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0</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0</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0</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0</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0</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0</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0</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0</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0</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0</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0</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0</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0</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0</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0</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0</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0</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0</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0</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0</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0</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0</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0</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0</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0</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0</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0</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0</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0</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0</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0</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0</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0</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0</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0</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0</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0</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0</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0</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0</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0</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0</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0</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0</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0</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0</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0</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0</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0</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0</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0</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0</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0</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0</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0</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0</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0</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0</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0</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0</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0</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0</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0</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0</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0</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0</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0</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0</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0</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0</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0</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0</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0</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0</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0</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0</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0</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0</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0</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0</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0</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0</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0</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0</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0</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0</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0</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0</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0</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0</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0</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0</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0</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0</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0</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0</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0</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0</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0</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0</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0</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0</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0</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0</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0</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0</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0</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0</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0</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0</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0</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0</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0</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0</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0</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0</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0</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0</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0</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0</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0</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0</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0</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0</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0</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0</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0</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0</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0</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0</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0</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0</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0</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0</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0</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0</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0</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0</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0</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0</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0</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0</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0</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0</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0</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0</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0</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0</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0</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0</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0</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0</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0</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0</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0</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0</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0</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0</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0</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0</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0</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0</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0</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0</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0</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0</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0</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0</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0</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0</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0</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0</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0</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0</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0</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0</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0</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0</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0</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0</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0</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0</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0</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0</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0</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0</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0</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0</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0</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0</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0</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0</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0</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0</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0</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0</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0</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0</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0</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0</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0</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0</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0</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0</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0</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0</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0</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0</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0</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0</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0</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0</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0</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0</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0</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0</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0</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0</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0</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0</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0</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0</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0</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0</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0</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0</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0</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0</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0</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0</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0</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0</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0</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0</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0</v>
      </c>
      <c r="N524" s="635"/>
      <c r="O524" s="21">
        <f t="shared" si="91"/>
        <v>1</v>
      </c>
      <c r="P524" s="635"/>
      <c r="Q524" s="21">
        <f t="shared" si="92"/>
        <v>1</v>
      </c>
      <c r="R524" s="21">
        <f t="shared" si="93"/>
        <v>0</v>
      </c>
      <c r="S524" s="308">
        <f t="shared" si="94"/>
        <v>0</v>
      </c>
    </row>
  </sheetData>
  <sheetProtection algorithmName="SHA-512" hashValue="4zfHQHNzpwF8oUlR5gTldX0Vz/ithgP5QC7lqRMNXR5Q5x2MHP+N6LARfQJN/qDmxF7TbMR9ynhqOkKAZNSqpA==" saltValue="SH0D/kE3GmXBS2EVsPrfvA==" spinCount="100000"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FE42-57F3-4B33-B6CB-36C2121FC17A}">
  <sheetPr>
    <tabColor rgb="FF7030A0"/>
  </sheetPr>
  <dimension ref="A1:F36"/>
  <sheetViews>
    <sheetView topLeftCell="A13" workbookViewId="0">
      <selection activeCell="D28" sqref="D28"/>
    </sheetView>
  </sheetViews>
  <sheetFormatPr defaultRowHeight="14"/>
  <cols>
    <col min="1" max="1" width="15.453125" customWidth="1"/>
    <col min="2" max="2" width="10.6328125" customWidth="1"/>
    <col min="3" max="3" width="13.36328125" customWidth="1"/>
    <col min="4" max="4" width="14.1796875" customWidth="1"/>
  </cols>
  <sheetData>
    <row r="1" spans="1:6">
      <c r="A1" s="1405" t="s">
        <v>3414</v>
      </c>
    </row>
    <row r="3" spans="1:6">
      <c r="A3" s="1405" t="s">
        <v>3415</v>
      </c>
      <c r="B3" s="1405" t="s">
        <v>3416</v>
      </c>
      <c r="C3" s="1405" t="s">
        <v>3417</v>
      </c>
      <c r="D3" s="1405" t="s">
        <v>3418</v>
      </c>
      <c r="E3" s="1405" t="s">
        <v>3421</v>
      </c>
      <c r="F3" s="1405" t="s">
        <v>3422</v>
      </c>
    </row>
    <row r="4" spans="1:6">
      <c r="B4">
        <v>5350.41</v>
      </c>
      <c r="C4">
        <v>3024.15</v>
      </c>
      <c r="D4">
        <v>2326.2600000000002</v>
      </c>
      <c r="E4">
        <v>2</v>
      </c>
      <c r="F4">
        <v>2</v>
      </c>
    </row>
    <row r="6" spans="1:6">
      <c r="B6" s="1405" t="s">
        <v>3423</v>
      </c>
      <c r="C6">
        <v>881.74</v>
      </c>
    </row>
    <row r="7" spans="1:6">
      <c r="B7" s="1405" t="s">
        <v>3424</v>
      </c>
      <c r="C7">
        <v>47.11</v>
      </c>
    </row>
    <row r="8" spans="1:6">
      <c r="B8" s="1405" t="s">
        <v>3425</v>
      </c>
      <c r="C8">
        <v>834.63</v>
      </c>
    </row>
    <row r="11" spans="1:6">
      <c r="A11" s="1405" t="s">
        <v>3426</v>
      </c>
    </row>
    <row r="12" spans="1:6">
      <c r="A12" s="1405" t="s">
        <v>3428</v>
      </c>
    </row>
    <row r="13" spans="1:6">
      <c r="A13" s="1405" t="s">
        <v>3581</v>
      </c>
    </row>
    <row r="14" spans="1:6">
      <c r="C14" s="1405" t="s">
        <v>2534</v>
      </c>
    </row>
    <row r="15" spans="1:6">
      <c r="A15" s="1405" t="s">
        <v>3427</v>
      </c>
      <c r="B15">
        <f>D4-C8</f>
        <v>1491.63</v>
      </c>
      <c r="C15" s="1405" t="s">
        <v>3432</v>
      </c>
    </row>
    <row r="16" spans="1:6">
      <c r="A16" s="1405" t="s">
        <v>3429</v>
      </c>
      <c r="B16">
        <f>C4/2-C7-500</f>
        <v>964.96500000000015</v>
      </c>
      <c r="C16" s="1405" t="s">
        <v>3432</v>
      </c>
    </row>
    <row r="17" spans="1:4">
      <c r="A17" s="1405" t="s">
        <v>3430</v>
      </c>
      <c r="B17">
        <f>C4/2</f>
        <v>1512.075</v>
      </c>
      <c r="C17" s="1405" t="s">
        <v>3432</v>
      </c>
    </row>
    <row r="18" spans="1:4">
      <c r="A18" s="1405" t="s">
        <v>3431</v>
      </c>
      <c r="B18">
        <f>B15+B16+B17</f>
        <v>3968.67</v>
      </c>
    </row>
    <row r="21" spans="1:4">
      <c r="A21" s="3188" t="s">
        <v>3634</v>
      </c>
    </row>
    <row r="22" spans="1:4">
      <c r="A22" s="3188" t="s">
        <v>3635</v>
      </c>
      <c r="B22" s="3210">
        <f>D33</f>
        <v>1386.4</v>
      </c>
    </row>
    <row r="23" spans="1:4">
      <c r="A23" s="3188" t="s">
        <v>3636</v>
      </c>
      <c r="B23" s="3210">
        <f>D34</f>
        <v>905.30000000000018</v>
      </c>
    </row>
    <row r="24" spans="1:4">
      <c r="A24" s="3188" t="s">
        <v>3637</v>
      </c>
      <c r="B24" s="3210">
        <f>D35</f>
        <v>1438.48</v>
      </c>
    </row>
    <row r="25" spans="1:4">
      <c r="A25" s="3188" t="s">
        <v>3651</v>
      </c>
      <c r="B25" s="3209">
        <f>SUM(B22:B24)</f>
        <v>3730.1800000000003</v>
      </c>
    </row>
    <row r="29" spans="1:4" ht="21">
      <c r="A29" s="3477" t="s">
        <v>3638</v>
      </c>
      <c r="B29" s="3478"/>
      <c r="C29" s="3479"/>
      <c r="D29" s="3202"/>
    </row>
    <row r="30" spans="1:4">
      <c r="A30" s="3480" t="s">
        <v>3639</v>
      </c>
      <c r="B30" s="3480"/>
      <c r="C30" s="3480"/>
      <c r="D30" s="3202"/>
    </row>
    <row r="31" spans="1:4">
      <c r="A31" s="3203" t="s">
        <v>3640</v>
      </c>
      <c r="B31" s="3204" t="s">
        <v>2319</v>
      </c>
      <c r="C31" s="3205" t="s">
        <v>3641</v>
      </c>
      <c r="D31" s="3202"/>
    </row>
    <row r="32" spans="1:4">
      <c r="A32" s="3203" t="s">
        <v>3642</v>
      </c>
      <c r="B32" s="3204">
        <v>817.85</v>
      </c>
      <c r="C32" s="3206" t="s">
        <v>3643</v>
      </c>
      <c r="D32" s="3202"/>
    </row>
    <row r="33" spans="1:4">
      <c r="A33" s="3203" t="s">
        <v>3644</v>
      </c>
      <c r="B33" s="3204">
        <v>1415.45</v>
      </c>
      <c r="C33" s="3207" t="s">
        <v>3645</v>
      </c>
      <c r="D33" s="3208">
        <f>B33-29.05</f>
        <v>1386.4</v>
      </c>
    </row>
    <row r="34" spans="1:4">
      <c r="A34" s="3203" t="s">
        <v>3646</v>
      </c>
      <c r="B34" s="3204">
        <v>1452.65</v>
      </c>
      <c r="C34" s="3206" t="s">
        <v>3647</v>
      </c>
      <c r="D34" s="3208">
        <f>B34-47.35-500</f>
        <v>905.30000000000018</v>
      </c>
    </row>
    <row r="35" spans="1:4">
      <c r="A35" s="3203" t="s">
        <v>3648</v>
      </c>
      <c r="B35" s="3204">
        <v>1438.48</v>
      </c>
      <c r="C35" s="3207" t="s">
        <v>3649</v>
      </c>
      <c r="D35" s="3208">
        <f>B35</f>
        <v>1438.48</v>
      </c>
    </row>
    <row r="36" spans="1:4">
      <c r="A36" s="3203" t="s">
        <v>3650</v>
      </c>
      <c r="B36" s="3204">
        <v>141.32</v>
      </c>
      <c r="C36" s="3206" t="s">
        <v>3649</v>
      </c>
      <c r="D36" s="3202"/>
    </row>
  </sheetData>
  <mergeCells count="2">
    <mergeCell ref="A29:C29"/>
    <mergeCell ref="A30:C30"/>
  </mergeCells>
  <phoneticPr fontId="13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895</v>
      </c>
    </row>
    <row r="3" spans="1:1" ht="18">
      <c r="A3" s="1381" t="str">
        <f>项目基本情况!B5&amp;"："</f>
        <v>：</v>
      </c>
    </row>
    <row r="4" spans="1:1" ht="17.5">
      <c r="A4" s="1382" t="str">
        <f>"受贵公司委托，我公司对"&amp;项目基本情况!S1&amp;"进行了预评估。"</f>
        <v>受贵公司委托，我公司对北京市进行了预评估。</v>
      </c>
    </row>
    <row r="5" spans="1:1" ht="18">
      <c r="A5" s="1383" t="s">
        <v>896</v>
      </c>
    </row>
    <row r="6" spans="1:1" ht="17.5">
      <c r="A6" s="1384" t="s">
        <v>897</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估价对象为北京市房地产，为所有。根据《国有土地使用证》[]，估价对象（分摊）出让国有建设用地使用权面积为0平方米，建筑面积为3730.18平方米。</v>
      </c>
    </row>
    <row r="8" spans="1:1" ht="53.5">
      <c r="A8" s="1385" t="s">
        <v>898</v>
      </c>
    </row>
    <row r="9" spans="1:1" ht="17.5">
      <c r="A9" s="1384" t="s">
        <v>899</v>
      </c>
    </row>
    <row r="10" spans="1:1" ht="52.5">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估价对象为北京市房地产,属开发建设的商业项目，该项目尚在开发建设中。根据《国有土地使用证》[]，估价对象（分摊）出让国有建设用地使用权面积为0平方米，规划建筑面积为3730.18平方米。</v>
      </c>
    </row>
    <row r="11" spans="1:1" ht="71">
      <c r="A11" s="1385" t="s">
        <v>900</v>
      </c>
    </row>
    <row r="12" spans="1:1" ht="18">
      <c r="A12" s="1383" t="s">
        <v>901</v>
      </c>
    </row>
    <row r="13" spans="1:1" ht="38.25" customHeight="1">
      <c r="A13" s="1382" t="str">
        <f>IF(项目基本情况!B8="抵押",IF(项目基本情况!B5=项目基本情况!B6,定义!C51,定义!B51),定义!D51)</f>
        <v>为估价委托人了解估价对象房地产市场价值提供参考依据。</v>
      </c>
    </row>
    <row r="14" spans="1:1" ht="18">
      <c r="A14" s="1381" t="s">
        <v>902</v>
      </c>
    </row>
    <row r="15" spans="1:1" ht="17.5">
      <c r="A15" s="1386" t="str">
        <f>TEXT(项目基本情况!D3,"yyyy年m月d日;;")&amp;IF(项目基本情况!D3=项目基本情况!B3,"（评估专业人员实地查勘之日）","")</f>
        <v>2025年10月27日</v>
      </c>
    </row>
    <row r="16" spans="1:1" ht="18">
      <c r="A16" s="1381" t="s">
        <v>903</v>
      </c>
    </row>
    <row r="17" spans="1:1" ht="70">
      <c r="A17" s="1382" t="s">
        <v>904</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893</v>
      </c>
    </row>
    <row r="24" spans="1:1" ht="17.5">
      <c r="A24" s="1387" t="str">
        <f>"本次评估采用的主估价方法为"&amp;结果表!K4&amp;"和"&amp;结果表!L4&amp;"。"</f>
        <v>本次评估采用的主估价方法为基准地价系数修正法和基准地价系数修正法。</v>
      </c>
    </row>
    <row r="25" spans="1:1" ht="17.5">
      <c r="A25" s="1387"/>
    </row>
    <row r="26" spans="1:1" ht="17.5">
      <c r="A26" s="1388" t="s">
        <v>894</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C8460-0815-4561-A294-AD732D87C63B}">
  <sheetPr>
    <tabColor rgb="FF7030A0"/>
  </sheetPr>
  <dimension ref="M7:T327"/>
  <sheetViews>
    <sheetView workbookViewId="0">
      <selection activeCell="O215" sqref="O215"/>
    </sheetView>
  </sheetViews>
  <sheetFormatPr defaultRowHeight="14"/>
  <cols>
    <col min="14" max="14" width="12.36328125" customWidth="1"/>
    <col min="15" max="15" width="10.26953125" bestFit="1" customWidth="1"/>
    <col min="16" max="17" width="12.54296875" customWidth="1"/>
  </cols>
  <sheetData>
    <row r="7" spans="13:13">
      <c r="M7" s="1405" t="s">
        <v>3545</v>
      </c>
    </row>
    <row r="8" spans="13:13">
      <c r="M8" s="1405" t="s">
        <v>3546</v>
      </c>
    </row>
    <row r="9" spans="13:13">
      <c r="M9" s="1405" t="s">
        <v>3560</v>
      </c>
    </row>
    <row r="12" spans="13:13">
      <c r="M12" s="1405" t="s">
        <v>3559</v>
      </c>
    </row>
    <row r="13" spans="13:13">
      <c r="M13" s="1405" t="s">
        <v>3561</v>
      </c>
    </row>
    <row r="14" spans="13:13">
      <c r="M14" s="1405" t="s">
        <v>3562</v>
      </c>
    </row>
    <row r="15" spans="13:13">
      <c r="M15" s="1405" t="s">
        <v>3563</v>
      </c>
    </row>
    <row r="16" spans="13:13">
      <c r="M16">
        <v>3.14</v>
      </c>
    </row>
    <row r="36" spans="14:19">
      <c r="N36" s="1405"/>
    </row>
    <row r="37" spans="14:19">
      <c r="N37" s="1405" t="s">
        <v>3523</v>
      </c>
      <c r="R37" s="1405" t="s">
        <v>3529</v>
      </c>
    </row>
    <row r="38" spans="14:19">
      <c r="N38" s="1405" t="s">
        <v>3524</v>
      </c>
      <c r="R38">
        <f>16000/165/30</f>
        <v>3.2323232323232323</v>
      </c>
    </row>
    <row r="39" spans="14:19">
      <c r="N39" s="3188" t="s">
        <v>3525</v>
      </c>
      <c r="R39">
        <f>350000/300/365</f>
        <v>3.1963470319634704</v>
      </c>
      <c r="S39" s="1405" t="s">
        <v>3532</v>
      </c>
    </row>
    <row r="40" spans="14:19">
      <c r="N40" s="1405" t="s">
        <v>3526</v>
      </c>
    </row>
    <row r="41" spans="14:19">
      <c r="N41" s="1405" t="s">
        <v>3527</v>
      </c>
    </row>
    <row r="42" spans="14:19">
      <c r="N42" s="1405" t="s">
        <v>3528</v>
      </c>
    </row>
    <row r="43" spans="14:19">
      <c r="N43" s="1405" t="s">
        <v>3530</v>
      </c>
    </row>
    <row r="44" spans="14:19">
      <c r="N44" s="1405" t="s">
        <v>3531</v>
      </c>
    </row>
    <row r="46" spans="14:19">
      <c r="N46" s="1405" t="s">
        <v>3548</v>
      </c>
    </row>
    <row r="47" spans="14:19">
      <c r="N47" s="1405" t="s">
        <v>3547</v>
      </c>
    </row>
    <row r="48" spans="14:19">
      <c r="N48">
        <f>43*300</f>
        <v>12900</v>
      </c>
    </row>
    <row r="49" spans="14:15">
      <c r="N49" s="1405" t="s">
        <v>3549</v>
      </c>
      <c r="O49">
        <v>350000</v>
      </c>
    </row>
    <row r="50" spans="14:15">
      <c r="N50" s="1405" t="s">
        <v>3550</v>
      </c>
      <c r="O50">
        <f>O49-N48</f>
        <v>337100</v>
      </c>
    </row>
    <row r="51" spans="14:15">
      <c r="N51" s="1405" t="s">
        <v>3551</v>
      </c>
      <c r="O51" s="3157">
        <f>ROUND(O50/365/300,2)</f>
        <v>3.08</v>
      </c>
    </row>
    <row r="69" spans="16:20">
      <c r="P69" s="3188" t="s">
        <v>3614</v>
      </c>
    </row>
    <row r="71" spans="16:20">
      <c r="P71" s="1405" t="s">
        <v>3558</v>
      </c>
    </row>
    <row r="72" spans="16:20">
      <c r="P72" s="1405" t="s">
        <v>3519</v>
      </c>
    </row>
    <row r="73" spans="16:20">
      <c r="P73" s="1405" t="s">
        <v>3520</v>
      </c>
    </row>
    <row r="74" spans="16:20">
      <c r="P74" s="1405" t="s">
        <v>3521</v>
      </c>
    </row>
    <row r="75" spans="16:20">
      <c r="P75" s="1405" t="s">
        <v>3522</v>
      </c>
    </row>
    <row r="77" spans="16:20">
      <c r="P77" s="1405" t="s">
        <v>3529</v>
      </c>
      <c r="Q77">
        <v>2.4</v>
      </c>
    </row>
    <row r="79" spans="16:20">
      <c r="P79" s="1405" t="s">
        <v>3549</v>
      </c>
      <c r="Q79">
        <f>2.4*365*183</f>
        <v>160308</v>
      </c>
      <c r="S79" s="1405" t="s">
        <v>3556</v>
      </c>
      <c r="T79">
        <f>ROUND(20/183,2)</f>
        <v>0.11</v>
      </c>
    </row>
    <row r="80" spans="16:20">
      <c r="P80" s="1405" t="s">
        <v>3570</v>
      </c>
      <c r="Q80">
        <v>8000</v>
      </c>
      <c r="S80" s="1405" t="s">
        <v>3557</v>
      </c>
      <c r="T80">
        <f>ROUND(163/183,2)</f>
        <v>0.89</v>
      </c>
    </row>
    <row r="81" spans="16:17">
      <c r="P81" s="1405" t="s">
        <v>3617</v>
      </c>
      <c r="Q81">
        <f>12*12*183</f>
        <v>26352</v>
      </c>
    </row>
    <row r="82" spans="16:17">
      <c r="P82" s="1405" t="s">
        <v>3618</v>
      </c>
      <c r="Q82">
        <f>Q79-Q80-Q81</f>
        <v>125956</v>
      </c>
    </row>
    <row r="83" spans="16:17">
      <c r="P83" s="1405" t="s">
        <v>3619</v>
      </c>
      <c r="Q83">
        <f>ROUND(Q82/183/365,2)</f>
        <v>1.89</v>
      </c>
    </row>
    <row r="124" spans="16:16">
      <c r="P124" s="1405" t="s">
        <v>3533</v>
      </c>
    </row>
    <row r="125" spans="16:16">
      <c r="P125" s="1405" t="s">
        <v>3564</v>
      </c>
    </row>
    <row r="126" spans="16:16">
      <c r="P126" s="1405" t="s">
        <v>3565</v>
      </c>
    </row>
    <row r="166" spans="16:17">
      <c r="P166" s="1405"/>
    </row>
    <row r="168" spans="16:17">
      <c r="P168" s="1405" t="s">
        <v>3534</v>
      </c>
    </row>
    <row r="169" spans="16:17">
      <c r="P169" s="1405" t="s">
        <v>3535</v>
      </c>
    </row>
    <row r="170" spans="16:17">
      <c r="P170" s="1405" t="s">
        <v>3536</v>
      </c>
    </row>
    <row r="171" spans="16:17">
      <c r="P171" s="1405" t="s">
        <v>3537</v>
      </c>
    </row>
    <row r="172" spans="16:17">
      <c r="P172" s="1405" t="s">
        <v>3538</v>
      </c>
    </row>
    <row r="173" spans="16:17">
      <c r="P173" s="1405" t="s">
        <v>3539</v>
      </c>
    </row>
    <row r="174" spans="16:17">
      <c r="P174" s="1405" t="s">
        <v>3573</v>
      </c>
      <c r="Q174" s="3191">
        <v>0.05</v>
      </c>
    </row>
    <row r="175" spans="16:17">
      <c r="P175" s="1405" t="s">
        <v>3572</v>
      </c>
      <c r="Q175">
        <f>ROUND(2.46*1.05,2)</f>
        <v>2.58</v>
      </c>
    </row>
    <row r="211" spans="15:15">
      <c r="O211" s="3188" t="s">
        <v>3587</v>
      </c>
    </row>
    <row r="212" spans="15:15">
      <c r="O212" s="1405" t="s">
        <v>3588</v>
      </c>
    </row>
    <row r="213" spans="15:15">
      <c r="O213" s="1405" t="s">
        <v>3583</v>
      </c>
    </row>
    <row r="214" spans="15:15">
      <c r="O214">
        <v>2.31</v>
      </c>
    </row>
    <row r="215" spans="15:15">
      <c r="O215" s="1405" t="s">
        <v>3584</v>
      </c>
    </row>
    <row r="216" spans="15:15">
      <c r="O216" s="1405" t="s">
        <v>3582</v>
      </c>
    </row>
    <row r="217" spans="15:15">
      <c r="O217" s="1405" t="s">
        <v>3585</v>
      </c>
    </row>
    <row r="218" spans="15:15">
      <c r="O218" s="1405" t="s">
        <v>3586</v>
      </c>
    </row>
    <row r="219" spans="15:15">
      <c r="O219" s="1405" t="s">
        <v>3589</v>
      </c>
    </row>
    <row r="220" spans="15:15">
      <c r="O220" s="1405" t="s">
        <v>3616</v>
      </c>
    </row>
    <row r="223" spans="15:15">
      <c r="O223" s="1405" t="s">
        <v>3590</v>
      </c>
    </row>
    <row r="225" spans="15:15">
      <c r="O225" s="1405" t="s">
        <v>3591</v>
      </c>
    </row>
    <row r="257" spans="16:16">
      <c r="P257" s="1405"/>
    </row>
    <row r="258" spans="16:16">
      <c r="P258" s="1405"/>
    </row>
    <row r="259" spans="16:16">
      <c r="P259" s="1405"/>
    </row>
    <row r="261" spans="16:16">
      <c r="P261" s="1405"/>
    </row>
    <row r="312" spans="16:16">
      <c r="P312" s="3188" t="s">
        <v>3615</v>
      </c>
    </row>
    <row r="313" spans="16:16">
      <c r="P313" s="1405" t="s">
        <v>3600</v>
      </c>
    </row>
    <row r="314" spans="16:16">
      <c r="P314" s="1405" t="s">
        <v>3594</v>
      </c>
    </row>
    <row r="315" spans="16:16">
      <c r="P315" s="1405" t="s">
        <v>3595</v>
      </c>
    </row>
    <row r="316" spans="16:16">
      <c r="P316" s="1405" t="s">
        <v>3596</v>
      </c>
    </row>
    <row r="317" spans="16:16">
      <c r="P317" s="1405" t="s">
        <v>3597</v>
      </c>
    </row>
    <row r="318" spans="16:16">
      <c r="P318" s="1405" t="s">
        <v>3598</v>
      </c>
    </row>
    <row r="319" spans="16:16">
      <c r="P319" s="1405" t="s">
        <v>3599</v>
      </c>
    </row>
    <row r="320" spans="16:16">
      <c r="P320">
        <v>1.81</v>
      </c>
    </row>
    <row r="321" spans="16:20">
      <c r="P321" s="1405" t="s">
        <v>3601</v>
      </c>
    </row>
    <row r="322" spans="16:20">
      <c r="P322">
        <f>ROUND(1.81*1.05,2)</f>
        <v>1.9</v>
      </c>
    </row>
    <row r="323" spans="16:20">
      <c r="P323" s="1405"/>
    </row>
    <row r="325" spans="16:20">
      <c r="P325" s="1405"/>
      <c r="S325" s="1405" t="s">
        <v>3602</v>
      </c>
      <c r="T325">
        <f>ROUND(10/129,2)</f>
        <v>0.08</v>
      </c>
    </row>
    <row r="326" spans="16:20">
      <c r="S326" s="1405" t="s">
        <v>3603</v>
      </c>
      <c r="T326">
        <f>ROUND(119/129,2)</f>
        <v>0.92</v>
      </c>
    </row>
    <row r="327" spans="16:20">
      <c r="P327" s="1405"/>
      <c r="S327" s="1405" t="s">
        <v>3605</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1657</v>
      </c>
      <c r="B1" s="1808" t="s">
        <v>1823</v>
      </c>
      <c r="C1" s="1141" t="s">
        <v>1659</v>
      </c>
      <c r="D1" s="1142"/>
      <c r="E1" s="3130"/>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1461</v>
      </c>
      <c r="B3" s="536">
        <f>IF(C2="——",C43,ROUND(B2*10000/D3,0))</f>
        <v>0</v>
      </c>
      <c r="C3" s="344" t="s">
        <v>1765</v>
      </c>
      <c r="D3" s="343">
        <f>IF(D1="",'数据-汇总表'!E3,SUMIF('数据-汇总表'!$C19:$C33,D1,'数据-汇总表'!$E19:$E33))</f>
        <v>3730.1800000000003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1766</v>
      </c>
      <c r="B4" s="346"/>
      <c r="C4" s="3440" t="s">
        <v>1767</v>
      </c>
      <c r="D4" s="3441"/>
      <c r="E4" s="3442" t="s">
        <v>1768</v>
      </c>
      <c r="F4" s="3443"/>
      <c r="G4" s="3440" t="s">
        <v>1769</v>
      </c>
      <c r="H4" s="3441"/>
      <c r="I4" s="3440" t="s">
        <v>1770</v>
      </c>
      <c r="J4" s="3441"/>
      <c r="K4" s="537" t="s">
        <v>1771</v>
      </c>
      <c r="L4" s="860"/>
      <c r="M4" s="861"/>
      <c r="N4" s="861"/>
      <c r="O4" s="861"/>
      <c r="P4" s="3444" t="s">
        <v>1772</v>
      </c>
      <c r="Q4" s="3445"/>
      <c r="R4" s="3450" t="s">
        <v>1768</v>
      </c>
      <c r="S4" s="3451"/>
      <c r="T4" s="3450" t="s">
        <v>1769</v>
      </c>
      <c r="U4" s="3451"/>
      <c r="V4" s="3426" t="s">
        <v>1770</v>
      </c>
      <c r="W4" s="3426"/>
      <c r="X4" s="1265"/>
      <c r="Y4" s="3450" t="s">
        <v>1772</v>
      </c>
      <c r="Z4" s="3451"/>
      <c r="AA4" s="3437" t="s">
        <v>1768</v>
      </c>
      <c r="AB4" s="3438" t="s">
        <v>1769</v>
      </c>
      <c r="AC4" s="3437" t="s">
        <v>1770</v>
      </c>
    </row>
    <row r="5" spans="1:29">
      <c r="A5" s="348"/>
      <c r="B5" s="349"/>
      <c r="C5" s="3458" t="s">
        <v>1670</v>
      </c>
      <c r="D5" s="3459"/>
      <c r="E5" s="3465" t="s">
        <v>1671</v>
      </c>
      <c r="F5" s="3466"/>
      <c r="G5" s="3458" t="s">
        <v>1672</v>
      </c>
      <c r="H5" s="3459"/>
      <c r="I5" s="3458" t="s">
        <v>1673</v>
      </c>
      <c r="J5" s="3459"/>
      <c r="K5" s="537"/>
      <c r="L5" s="860"/>
      <c r="M5" s="861"/>
      <c r="N5" s="861"/>
      <c r="O5" s="861"/>
      <c r="P5" s="3446"/>
      <c r="Q5" s="3447"/>
      <c r="R5" s="3452"/>
      <c r="S5" s="3453"/>
      <c r="T5" s="3452"/>
      <c r="U5" s="3453"/>
      <c r="V5" s="3426"/>
      <c r="W5" s="3426"/>
      <c r="X5" s="1265"/>
      <c r="Y5" s="3452"/>
      <c r="Z5" s="3453"/>
      <c r="AA5" s="3438"/>
      <c r="AB5" s="3438"/>
      <c r="AC5" s="3438"/>
    </row>
    <row r="6" spans="1:29" ht="15" thickBot="1">
      <c r="A6" s="350"/>
      <c r="B6" s="351"/>
      <c r="C6" s="3456" t="s">
        <v>1674</v>
      </c>
      <c r="D6" s="3457"/>
      <c r="E6" s="3463" t="s">
        <v>1674</v>
      </c>
      <c r="F6" s="3464"/>
      <c r="G6" s="3456" t="s">
        <v>1674</v>
      </c>
      <c r="H6" s="3457"/>
      <c r="I6" s="3456" t="s">
        <v>1674</v>
      </c>
      <c r="J6" s="3457"/>
      <c r="K6" s="537" t="s">
        <v>1675</v>
      </c>
      <c r="L6" s="860"/>
      <c r="M6" s="861"/>
      <c r="N6" s="861"/>
      <c r="O6" s="861"/>
      <c r="P6" s="3448"/>
      <c r="Q6" s="3449"/>
      <c r="R6" s="3452"/>
      <c r="S6" s="3453"/>
      <c r="T6" s="3454"/>
      <c r="U6" s="3455"/>
      <c r="V6" s="3426"/>
      <c r="W6" s="3426"/>
      <c r="X6" s="1265"/>
      <c r="Y6" s="3454"/>
      <c r="Z6" s="3455"/>
      <c r="AA6" s="3439"/>
      <c r="AB6" s="3439"/>
      <c r="AC6" s="3439"/>
    </row>
    <row r="7" spans="1:29" s="102" customFormat="1" ht="14.5" thickBot="1">
      <c r="A7" s="352" t="s">
        <v>1676</v>
      </c>
      <c r="B7" s="353"/>
      <c r="C7" s="354">
        <f>'数据-取费表'!B2</f>
        <v>45957</v>
      </c>
      <c r="D7" s="355">
        <v>100</v>
      </c>
      <c r="E7" s="356"/>
      <c r="F7" s="357">
        <f>SUMIF(52:52,YEAR(E7)&amp;"-"&amp;MONTH(E7),53:53)</f>
        <v>0</v>
      </c>
      <c r="G7" s="356"/>
      <c r="H7" s="355">
        <f>SUMIF(52:52,YEAR(G7)&amp;"-"&amp;MONTH(G7),53:53)</f>
        <v>0</v>
      </c>
      <c r="I7" s="356"/>
      <c r="J7" s="355">
        <f>SUMIF(52:52,YEAR(I7)&amp;"-"&amp;MONTH(I7),53:53)</f>
        <v>0</v>
      </c>
      <c r="K7" s="38"/>
      <c r="L7" s="862"/>
      <c r="M7" s="863"/>
      <c r="N7" s="863"/>
      <c r="O7" s="863"/>
      <c r="P7" s="3460" t="s">
        <v>1677</v>
      </c>
      <c r="Q7" s="3462"/>
      <c r="R7" s="664" t="s">
        <v>14</v>
      </c>
      <c r="S7" s="665">
        <f t="shared" ref="S7:S15" si="0">F7</f>
        <v>0</v>
      </c>
      <c r="T7" s="664" t="s">
        <v>14</v>
      </c>
      <c r="U7" s="665">
        <f t="shared" ref="U7:U15" si="1">H7</f>
        <v>0</v>
      </c>
      <c r="V7" s="664" t="s">
        <v>14</v>
      </c>
      <c r="W7" s="665">
        <f t="shared" ref="W7:W15" si="2">J7</f>
        <v>0</v>
      </c>
      <c r="X7" s="666"/>
      <c r="Y7" s="3460" t="s">
        <v>1677</v>
      </c>
      <c r="Z7" s="3461"/>
      <c r="AA7" s="50" t="e">
        <f>D7/F7</f>
        <v>#DIV/0!</v>
      </c>
      <c r="AB7" s="50" t="e">
        <f>D7/H7</f>
        <v>#DIV/0!</v>
      </c>
      <c r="AC7" s="50" t="e">
        <f>D7/J7</f>
        <v>#DIV/0!</v>
      </c>
    </row>
    <row r="8" spans="1:29" s="102" customFormat="1" ht="14.5" thickBot="1">
      <c r="A8" s="352" t="s">
        <v>1678</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60" t="s">
        <v>1680</v>
      </c>
      <c r="Q8" s="3461"/>
      <c r="R8" s="664" t="s">
        <v>14</v>
      </c>
      <c r="S8" s="665">
        <f t="shared" si="0"/>
        <v>100</v>
      </c>
      <c r="T8" s="664" t="s">
        <v>14</v>
      </c>
      <c r="U8" s="665">
        <f t="shared" si="1"/>
        <v>100</v>
      </c>
      <c r="V8" s="664" t="s">
        <v>14</v>
      </c>
      <c r="W8" s="665">
        <f t="shared" si="2"/>
        <v>100</v>
      </c>
      <c r="X8" s="666"/>
      <c r="Y8" s="3460" t="s">
        <v>1680</v>
      </c>
      <c r="Z8" s="3461"/>
      <c r="AA8" s="50">
        <f t="shared" ref="AA8:AA40" si="3">D8/F8</f>
        <v>1</v>
      </c>
      <c r="AB8" s="50">
        <f t="shared" ref="AB8:AB40" si="4">D8/H8</f>
        <v>1</v>
      </c>
      <c r="AC8" s="50">
        <f t="shared" ref="AC8:AC40" si="5">D8/J8</f>
        <v>1</v>
      </c>
    </row>
    <row r="9" spans="1:29" s="102" customFormat="1">
      <c r="A9" s="359" t="s">
        <v>1681</v>
      </c>
      <c r="B9" s="60" t="s">
        <v>1682</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5" t="s">
        <v>1683</v>
      </c>
      <c r="Q9" s="530" t="str">
        <f t="shared" ref="Q9:Q15" si="6">B9</f>
        <v>用途</v>
      </c>
      <c r="R9" s="664" t="s">
        <v>14</v>
      </c>
      <c r="S9" s="665">
        <f t="shared" si="0"/>
        <v>100</v>
      </c>
      <c r="T9" s="664" t="s">
        <v>14</v>
      </c>
      <c r="U9" s="665">
        <f t="shared" si="1"/>
        <v>100</v>
      </c>
      <c r="V9" s="664" t="s">
        <v>14</v>
      </c>
      <c r="W9" s="665">
        <f t="shared" si="2"/>
        <v>100</v>
      </c>
      <c r="X9" s="666"/>
      <c r="Y9" s="3300" t="s">
        <v>1684</v>
      </c>
      <c r="Z9" s="50" t="str">
        <f t="shared" ref="Z9:Z15" si="7">Q9</f>
        <v>用途</v>
      </c>
      <c r="AA9" s="50">
        <f t="shared" si="3"/>
        <v>1</v>
      </c>
      <c r="AB9" s="50">
        <f t="shared" si="4"/>
        <v>1</v>
      </c>
      <c r="AC9" s="50">
        <f t="shared" si="5"/>
        <v>1</v>
      </c>
    </row>
    <row r="10" spans="1:29" s="366" customFormat="1" ht="28">
      <c r="A10" s="363"/>
      <c r="B10" s="364" t="s">
        <v>1685</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5"/>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5"/>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70">
      <c r="A15" s="379" t="s">
        <v>1687</v>
      </c>
      <c r="B15" s="58" t="s">
        <v>1824</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7" t="s">
        <v>1688</v>
      </c>
      <c r="Q15" s="1263" t="str">
        <f t="shared" si="6"/>
        <v>产业集聚程度</v>
      </c>
      <c r="R15" s="667" t="s">
        <v>14</v>
      </c>
      <c r="S15" s="668">
        <f t="shared" si="0"/>
        <v>100</v>
      </c>
      <c r="T15" s="667" t="s">
        <v>14</v>
      </c>
      <c r="U15" s="668">
        <f t="shared" si="1"/>
        <v>100</v>
      </c>
      <c r="V15" s="667" t="s">
        <v>14</v>
      </c>
      <c r="W15" s="668">
        <f t="shared" si="2"/>
        <v>100</v>
      </c>
      <c r="X15" s="1265"/>
      <c r="Y15" s="3427" t="s">
        <v>1688</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28"/>
      <c r="Q16" s="1263"/>
      <c r="R16" s="667"/>
      <c r="S16" s="668"/>
      <c r="T16" s="667"/>
      <c r="U16" s="668"/>
      <c r="V16" s="667"/>
      <c r="W16" s="668"/>
      <c r="X16" s="1265"/>
      <c r="Y16" s="3428"/>
      <c r="Z16" s="1264"/>
      <c r="AA16" s="1264">
        <v>1</v>
      </c>
      <c r="AB16" s="1264">
        <v>1</v>
      </c>
      <c r="AC16" s="1264">
        <v>1</v>
      </c>
    </row>
    <row r="17" spans="1:29" ht="98">
      <c r="A17" s="367"/>
      <c r="B17" s="390" t="s">
        <v>1256</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8"/>
      <c r="Q18" s="1263"/>
      <c r="R18" s="667"/>
      <c r="S18" s="668"/>
      <c r="T18" s="667"/>
      <c r="U18" s="668"/>
      <c r="V18" s="667"/>
      <c r="W18" s="668"/>
      <c r="X18" s="1265"/>
      <c r="Y18" s="3428"/>
      <c r="Z18" s="1264"/>
      <c r="AA18" s="1264">
        <v>1</v>
      </c>
      <c r="AB18" s="1264">
        <v>1</v>
      </c>
      <c r="AC18" s="1264">
        <v>1</v>
      </c>
    </row>
    <row r="19" spans="1:29" ht="42">
      <c r="A19" s="367"/>
      <c r="B19" s="390" t="s">
        <v>1809</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8"/>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8"/>
      <c r="Q20" s="1263"/>
      <c r="R20" s="667"/>
      <c r="S20" s="668"/>
      <c r="T20" s="667"/>
      <c r="U20" s="668"/>
      <c r="V20" s="667"/>
      <c r="W20" s="668"/>
      <c r="X20" s="1265"/>
      <c r="Y20" s="3428"/>
      <c r="Z20" s="1264"/>
      <c r="AA20" s="1264">
        <v>1</v>
      </c>
      <c r="AB20" s="1264">
        <v>1</v>
      </c>
      <c r="AC20" s="1264">
        <v>1</v>
      </c>
    </row>
    <row r="21" spans="1:29" ht="42">
      <c r="A21" s="367"/>
      <c r="B21" s="586" t="s">
        <v>1810</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8"/>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8"/>
      <c r="Q22" s="1263"/>
      <c r="R22" s="667"/>
      <c r="S22" s="668"/>
      <c r="T22" s="667"/>
      <c r="U22" s="668"/>
      <c r="V22" s="667"/>
      <c r="W22" s="668"/>
      <c r="X22" s="1265"/>
      <c r="Y22" s="3428"/>
      <c r="Z22" s="1264"/>
      <c r="AA22" s="1264">
        <v>1</v>
      </c>
      <c r="AB22" s="1264">
        <v>1</v>
      </c>
      <c r="AC22" s="1264">
        <v>1</v>
      </c>
    </row>
    <row r="23" spans="1:29" ht="84">
      <c r="A23" s="367"/>
      <c r="B23" s="390" t="s">
        <v>1811</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8"/>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8"/>
      <c r="Q24" s="1263"/>
      <c r="R24" s="667"/>
      <c r="S24" s="668"/>
      <c r="T24" s="667"/>
      <c r="U24" s="668"/>
      <c r="V24" s="667"/>
      <c r="W24" s="668"/>
      <c r="X24" s="1265"/>
      <c r="Y24" s="342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8"/>
      <c r="Q25" s="1263">
        <f>B25</f>
        <v>111</v>
      </c>
      <c r="R25" s="667" t="s">
        <v>14</v>
      </c>
      <c r="S25" s="668">
        <f>F25</f>
        <v>100</v>
      </c>
      <c r="T25" s="667" t="s">
        <v>14</v>
      </c>
      <c r="U25" s="668">
        <f>H25</f>
        <v>100</v>
      </c>
      <c r="V25" s="667" t="s">
        <v>14</v>
      </c>
      <c r="W25" s="668">
        <f>J25</f>
        <v>100</v>
      </c>
      <c r="X25" s="1265"/>
      <c r="Y25" s="342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8"/>
      <c r="Q26" s="1263">
        <f t="shared" ref="Q26:Q40" si="11">B26</f>
        <v>111</v>
      </c>
      <c r="R26" s="667" t="s">
        <v>14</v>
      </c>
      <c r="S26" s="668">
        <f>F26</f>
        <v>100</v>
      </c>
      <c r="T26" s="667" t="s">
        <v>14</v>
      </c>
      <c r="U26" s="668">
        <f>H26</f>
        <v>100</v>
      </c>
      <c r="V26" s="667" t="s">
        <v>14</v>
      </c>
      <c r="W26" s="668">
        <f>J26</f>
        <v>100</v>
      </c>
      <c r="X26" s="1265"/>
      <c r="Y26" s="342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8"/>
      <c r="Q27" s="530">
        <f t="shared" si="11"/>
        <v>111</v>
      </c>
      <c r="R27" s="664" t="s">
        <v>14</v>
      </c>
      <c r="S27" s="665">
        <f>F27</f>
        <v>100</v>
      </c>
      <c r="T27" s="664" t="s">
        <v>14</v>
      </c>
      <c r="U27" s="665">
        <f>H27</f>
        <v>100</v>
      </c>
      <c r="V27" s="664" t="s">
        <v>14</v>
      </c>
      <c r="W27" s="665">
        <f>J27</f>
        <v>100</v>
      </c>
      <c r="X27" s="666"/>
      <c r="Y27" s="342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8"/>
      <c r="Q28" s="1263">
        <f t="shared" si="11"/>
        <v>111</v>
      </c>
      <c r="R28" s="667" t="s">
        <v>14</v>
      </c>
      <c r="S28" s="668">
        <f t="shared" ref="S28:S40" si="12">F28</f>
        <v>100</v>
      </c>
      <c r="T28" s="667" t="s">
        <v>14</v>
      </c>
      <c r="U28" s="668">
        <f t="shared" ref="U28:U40" si="13">H28</f>
        <v>100</v>
      </c>
      <c r="V28" s="667" t="s">
        <v>14</v>
      </c>
      <c r="W28" s="668">
        <f t="shared" ref="W28:W40" si="14">J28</f>
        <v>100</v>
      </c>
      <c r="X28" s="1265"/>
      <c r="Y28" s="3428"/>
      <c r="Z28" s="1264">
        <f t="shared" ref="Z28:Z40" si="15">Q28</f>
        <v>111</v>
      </c>
      <c r="AA28" s="1264">
        <f t="shared" si="3"/>
        <v>1</v>
      </c>
      <c r="AB28" s="1264">
        <f t="shared" si="4"/>
        <v>1</v>
      </c>
      <c r="AC28" s="1264">
        <f t="shared" si="5"/>
        <v>1</v>
      </c>
    </row>
    <row r="29" spans="1:29" ht="29">
      <c r="A29" s="404" t="s">
        <v>1691</v>
      </c>
      <c r="B29" s="60" t="s">
        <v>1814</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81" t="s">
        <v>1693</v>
      </c>
      <c r="Q29" s="1263" t="str">
        <f t="shared" si="11"/>
        <v>建筑类型</v>
      </c>
      <c r="R29" s="667" t="s">
        <v>14</v>
      </c>
      <c r="S29" s="668">
        <f t="shared" si="12"/>
        <v>100</v>
      </c>
      <c r="T29" s="667" t="s">
        <v>14</v>
      </c>
      <c r="U29" s="668">
        <f t="shared" si="13"/>
        <v>100</v>
      </c>
      <c r="V29" s="667" t="s">
        <v>14</v>
      </c>
      <c r="W29" s="668">
        <f t="shared" si="14"/>
        <v>100</v>
      </c>
      <c r="X29" s="1265"/>
      <c r="Y29" s="3432" t="s">
        <v>1693</v>
      </c>
      <c r="Z29" s="1264" t="str">
        <f t="shared" si="15"/>
        <v>建筑类型</v>
      </c>
      <c r="AA29" s="1264">
        <f t="shared" si="3"/>
        <v>1</v>
      </c>
      <c r="AB29" s="1264">
        <f t="shared" si="4"/>
        <v>1</v>
      </c>
      <c r="AC29" s="1264">
        <f t="shared" si="5"/>
        <v>1</v>
      </c>
    </row>
    <row r="30" spans="1:29" s="408" customFormat="1" ht="15.5">
      <c r="A30" s="406"/>
      <c r="B30" s="364" t="s">
        <v>1694</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2"/>
      <c r="Q30" s="531" t="str">
        <f t="shared" si="11"/>
        <v>项目建筑规模</v>
      </c>
      <c r="R30" s="669" t="s">
        <v>14</v>
      </c>
      <c r="S30" s="670" t="e">
        <f t="shared" si="12"/>
        <v>#N/A</v>
      </c>
      <c r="T30" s="669" t="s">
        <v>14</v>
      </c>
      <c r="U30" s="670" t="e">
        <f t="shared" si="13"/>
        <v>#N/A</v>
      </c>
      <c r="V30" s="669" t="s">
        <v>14</v>
      </c>
      <c r="W30" s="670" t="e">
        <f t="shared" si="14"/>
        <v>#N/A</v>
      </c>
      <c r="X30" s="671"/>
      <c r="Y30" s="3432"/>
      <c r="Z30" s="672" t="str">
        <f t="shared" si="15"/>
        <v>项目建筑规模</v>
      </c>
      <c r="AA30" s="1264" t="e">
        <f t="shared" si="3"/>
        <v>#N/A</v>
      </c>
      <c r="AB30" s="1264" t="e">
        <f t="shared" si="4"/>
        <v>#N/A</v>
      </c>
      <c r="AC30" s="1264" t="e">
        <f t="shared" si="5"/>
        <v>#N/A</v>
      </c>
    </row>
    <row r="31" spans="1:29" ht="15.5">
      <c r="A31" s="409"/>
      <c r="B31" s="364" t="s">
        <v>1695</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2"/>
      <c r="Q31" s="1263" t="str">
        <f t="shared" si="11"/>
        <v>建筑结构</v>
      </c>
      <c r="R31" s="667" t="s">
        <v>14</v>
      </c>
      <c r="S31" s="668">
        <f t="shared" si="12"/>
        <v>100</v>
      </c>
      <c r="T31" s="667" t="s">
        <v>14</v>
      </c>
      <c r="U31" s="668">
        <f t="shared" si="13"/>
        <v>100</v>
      </c>
      <c r="V31" s="667" t="s">
        <v>14</v>
      </c>
      <c r="W31" s="668">
        <f t="shared" si="14"/>
        <v>100</v>
      </c>
      <c r="X31" s="1265"/>
      <c r="Y31" s="3432"/>
      <c r="Z31" s="1264" t="str">
        <f t="shared" si="15"/>
        <v>建筑结构</v>
      </c>
      <c r="AA31" s="1264">
        <f t="shared" si="3"/>
        <v>1</v>
      </c>
      <c r="AB31" s="1264">
        <f t="shared" si="4"/>
        <v>1</v>
      </c>
      <c r="AC31" s="1264">
        <f t="shared" si="5"/>
        <v>1</v>
      </c>
    </row>
    <row r="32" spans="1:29" ht="15.5">
      <c r="A32" s="409"/>
      <c r="B32" s="364" t="s">
        <v>1782</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2"/>
      <c r="Q32" s="1263" t="str">
        <f t="shared" si="11"/>
        <v>公共部分装修</v>
      </c>
      <c r="R32" s="667" t="s">
        <v>14</v>
      </c>
      <c r="S32" s="668">
        <f t="shared" si="12"/>
        <v>100</v>
      </c>
      <c r="T32" s="667" t="s">
        <v>14</v>
      </c>
      <c r="U32" s="668">
        <f t="shared" si="13"/>
        <v>100</v>
      </c>
      <c r="V32" s="667" t="s">
        <v>14</v>
      </c>
      <c r="W32" s="668">
        <f t="shared" si="14"/>
        <v>100</v>
      </c>
      <c r="X32" s="1265"/>
      <c r="Y32" s="3432"/>
      <c r="Z32" s="1264" t="str">
        <f t="shared" si="15"/>
        <v>公共部分装修</v>
      </c>
      <c r="AA32" s="1264">
        <f t="shared" si="3"/>
        <v>1</v>
      </c>
      <c r="AB32" s="1264">
        <f t="shared" si="4"/>
        <v>1</v>
      </c>
      <c r="AC32" s="1264">
        <f t="shared" si="5"/>
        <v>1</v>
      </c>
    </row>
    <row r="33" spans="1:29" ht="15.5">
      <c r="A33" s="409"/>
      <c r="B33" s="364" t="s">
        <v>1783</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2"/>
      <c r="Q33" s="1263" t="str">
        <f t="shared" si="11"/>
        <v>成新度</v>
      </c>
      <c r="R33" s="667" t="s">
        <v>14</v>
      </c>
      <c r="S33" s="668" t="e">
        <f t="shared" si="12"/>
        <v>#N/A</v>
      </c>
      <c r="T33" s="667" t="s">
        <v>14</v>
      </c>
      <c r="U33" s="668" t="e">
        <f t="shared" si="13"/>
        <v>#N/A</v>
      </c>
      <c r="V33" s="667" t="s">
        <v>14</v>
      </c>
      <c r="W33" s="668" t="e">
        <f t="shared" si="14"/>
        <v>#N/A</v>
      </c>
      <c r="X33" s="1265"/>
      <c r="Y33" s="3432"/>
      <c r="Z33" s="1264" t="str">
        <f t="shared" si="15"/>
        <v>成新度</v>
      </c>
      <c r="AA33" s="1264" t="e">
        <f t="shared" si="3"/>
        <v>#N/A</v>
      </c>
      <c r="AB33" s="1264" t="e">
        <f t="shared" si="4"/>
        <v>#N/A</v>
      </c>
      <c r="AC33" s="1264" t="e">
        <f t="shared" si="5"/>
        <v>#N/A</v>
      </c>
    </row>
    <row r="34" spans="1:29" s="102" customFormat="1" ht="15.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2"/>
      <c r="Q34" s="530" t="str">
        <f t="shared" si="11"/>
        <v>物业管理</v>
      </c>
      <c r="R34" s="664" t="s">
        <v>14</v>
      </c>
      <c r="S34" s="665">
        <f t="shared" si="12"/>
        <v>100</v>
      </c>
      <c r="T34" s="664" t="s">
        <v>14</v>
      </c>
      <c r="U34" s="665">
        <f t="shared" si="13"/>
        <v>100</v>
      </c>
      <c r="V34" s="664" t="s">
        <v>14</v>
      </c>
      <c r="W34" s="665">
        <f t="shared" si="14"/>
        <v>100</v>
      </c>
      <c r="X34" s="666"/>
      <c r="Y34" s="3432"/>
      <c r="Z34" s="50" t="str">
        <f t="shared" si="15"/>
        <v>物业管理</v>
      </c>
      <c r="AA34" s="50">
        <f t="shared" si="3"/>
        <v>1</v>
      </c>
      <c r="AB34" s="50">
        <f t="shared" si="4"/>
        <v>1</v>
      </c>
      <c r="AC34" s="50">
        <f t="shared" si="5"/>
        <v>1</v>
      </c>
    </row>
    <row r="35" spans="1:29" ht="15.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2" t="s">
        <v>1693</v>
      </c>
      <c r="Q35" s="1263" t="str">
        <f t="shared" si="11"/>
        <v>市政基础设施</v>
      </c>
      <c r="R35" s="667" t="s">
        <v>14</v>
      </c>
      <c r="S35" s="668">
        <f t="shared" si="12"/>
        <v>100</v>
      </c>
      <c r="T35" s="667" t="s">
        <v>14</v>
      </c>
      <c r="U35" s="668">
        <f t="shared" si="13"/>
        <v>100</v>
      </c>
      <c r="V35" s="667" t="s">
        <v>14</v>
      </c>
      <c r="W35" s="668">
        <f t="shared" si="14"/>
        <v>100</v>
      </c>
      <c r="X35" s="1265"/>
      <c r="Y35" s="3432" t="s">
        <v>1693</v>
      </c>
      <c r="Z35" s="1264" t="str">
        <f t="shared" si="15"/>
        <v>市政基础设施</v>
      </c>
      <c r="AA35" s="1264">
        <f t="shared" si="3"/>
        <v>1</v>
      </c>
      <c r="AB35" s="1264">
        <f t="shared" si="4"/>
        <v>1</v>
      </c>
      <c r="AC35" s="1264">
        <f t="shared" si="5"/>
        <v>1</v>
      </c>
    </row>
    <row r="36" spans="1:29" ht="15.5">
      <c r="A36" s="409"/>
      <c r="B36" s="364" t="s">
        <v>1789</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2"/>
      <c r="Q36" s="1263" t="str">
        <f t="shared" si="11"/>
        <v>内部装修</v>
      </c>
      <c r="R36" s="667" t="s">
        <v>14</v>
      </c>
      <c r="S36" s="668">
        <f t="shared" si="12"/>
        <v>100</v>
      </c>
      <c r="T36" s="667" t="s">
        <v>14</v>
      </c>
      <c r="U36" s="668">
        <f t="shared" si="13"/>
        <v>100</v>
      </c>
      <c r="V36" s="667" t="s">
        <v>14</v>
      </c>
      <c r="W36" s="668">
        <f t="shared" si="14"/>
        <v>100</v>
      </c>
      <c r="X36" s="1265"/>
      <c r="Y36" s="3432"/>
      <c r="Z36" s="1264" t="str">
        <f t="shared" si="15"/>
        <v>内部装修</v>
      </c>
      <c r="AA36" s="1264">
        <f t="shared" si="3"/>
        <v>1</v>
      </c>
      <c r="AB36" s="1264">
        <f t="shared" si="4"/>
        <v>1</v>
      </c>
      <c r="AC36" s="1264">
        <f t="shared" si="5"/>
        <v>1</v>
      </c>
    </row>
    <row r="37" spans="1:29" ht="15.5">
      <c r="A37" s="409"/>
      <c r="B37" s="364" t="s">
        <v>1825</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2"/>
      <c r="Q37" s="1263" t="str">
        <f t="shared" si="11"/>
        <v>内部装修状况</v>
      </c>
      <c r="R37" s="667" t="s">
        <v>14</v>
      </c>
      <c r="S37" s="668">
        <f t="shared" si="12"/>
        <v>100</v>
      </c>
      <c r="T37" s="667" t="s">
        <v>14</v>
      </c>
      <c r="U37" s="668">
        <f t="shared" si="13"/>
        <v>100</v>
      </c>
      <c r="V37" s="667" t="s">
        <v>14</v>
      </c>
      <c r="W37" s="668">
        <f t="shared" si="14"/>
        <v>100</v>
      </c>
      <c r="X37" s="1265"/>
      <c r="Y37" s="343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2"/>
      <c r="Q38" s="531">
        <f t="shared" si="11"/>
        <v>111</v>
      </c>
      <c r="R38" s="669" t="s">
        <v>14</v>
      </c>
      <c r="S38" s="670">
        <f t="shared" si="12"/>
        <v>100</v>
      </c>
      <c r="T38" s="669" t="s">
        <v>14</v>
      </c>
      <c r="U38" s="670">
        <f t="shared" si="13"/>
        <v>100</v>
      </c>
      <c r="V38" s="669" t="s">
        <v>14</v>
      </c>
      <c r="W38" s="670">
        <f t="shared" si="14"/>
        <v>100</v>
      </c>
      <c r="X38" s="671"/>
      <c r="Y38" s="343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2"/>
      <c r="Q39" s="1263">
        <f t="shared" si="11"/>
        <v>111</v>
      </c>
      <c r="R39" s="667" t="s">
        <v>14</v>
      </c>
      <c r="S39" s="668">
        <f t="shared" si="12"/>
        <v>100</v>
      </c>
      <c r="T39" s="667" t="s">
        <v>14</v>
      </c>
      <c r="U39" s="668">
        <f t="shared" si="13"/>
        <v>100</v>
      </c>
      <c r="V39" s="667" t="s">
        <v>14</v>
      </c>
      <c r="W39" s="668">
        <f t="shared" si="14"/>
        <v>100</v>
      </c>
      <c r="X39" s="1265"/>
      <c r="Y39" s="343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3"/>
      <c r="Q40" s="1263">
        <f t="shared" si="11"/>
        <v>111</v>
      </c>
      <c r="R40" s="667" t="s">
        <v>14</v>
      </c>
      <c r="S40" s="668">
        <f t="shared" si="12"/>
        <v>100</v>
      </c>
      <c r="T40" s="667" t="s">
        <v>14</v>
      </c>
      <c r="U40" s="668">
        <f t="shared" si="13"/>
        <v>100</v>
      </c>
      <c r="V40" s="667" t="s">
        <v>14</v>
      </c>
      <c r="W40" s="668">
        <f t="shared" si="14"/>
        <v>100</v>
      </c>
      <c r="X40" s="1265"/>
      <c r="Y40" s="3433"/>
      <c r="Z40" s="1264">
        <f t="shared" si="15"/>
        <v>111</v>
      </c>
      <c r="AA40" s="1264">
        <f t="shared" si="3"/>
        <v>1</v>
      </c>
      <c r="AB40" s="1264">
        <f t="shared" si="4"/>
        <v>1</v>
      </c>
      <c r="AC40" s="1264">
        <f t="shared" si="5"/>
        <v>1</v>
      </c>
    </row>
    <row r="41" spans="1:29">
      <c r="A41" s="416" t="s">
        <v>1705</v>
      </c>
      <c r="B41" s="417"/>
      <c r="C41" s="1081" t="s">
        <v>0</v>
      </c>
      <c r="D41" s="418"/>
      <c r="E41" s="419"/>
      <c r="F41" s="420"/>
      <c r="G41" s="421"/>
      <c r="H41" s="422"/>
      <c r="I41" s="419"/>
      <c r="J41" s="422"/>
      <c r="K41" s="674"/>
      <c r="L41" s="873"/>
      <c r="M41" s="861"/>
      <c r="N41" s="861"/>
      <c r="O41" s="861"/>
      <c r="P41" s="3425" t="str">
        <f>A41</f>
        <v>成交单价（元/平方米）</v>
      </c>
      <c r="Q41" s="3425"/>
      <c r="R41" s="3426">
        <f>E41</f>
        <v>0</v>
      </c>
      <c r="S41" s="3426"/>
      <c r="T41" s="3426">
        <f>G41</f>
        <v>0</v>
      </c>
      <c r="U41" s="3426"/>
      <c r="V41" s="3426">
        <f>I41</f>
        <v>0</v>
      </c>
      <c r="W41" s="3426"/>
      <c r="X41" s="385"/>
      <c r="Y41" s="673"/>
      <c r="Z41" s="385"/>
      <c r="AA41" s="385"/>
      <c r="AB41" s="385"/>
      <c r="AC41" s="385"/>
    </row>
    <row r="42" spans="1:29" ht="14.5" thickBot="1">
      <c r="A42" s="423" t="s">
        <v>1790</v>
      </c>
      <c r="B42" s="424"/>
      <c r="C42" s="1082" t="e">
        <f>R43</f>
        <v>#DIV/0!</v>
      </c>
      <c r="D42" s="2141" t="s">
        <v>2132</v>
      </c>
      <c r="E42" s="1083" t="e">
        <f>R42</f>
        <v>#DIV/0!</v>
      </c>
      <c r="F42" s="2142"/>
      <c r="G42" s="1082" t="e">
        <f>T42</f>
        <v>#DIV/0!</v>
      </c>
      <c r="H42" s="2142"/>
      <c r="I42" s="1083" t="e">
        <f>V42</f>
        <v>#DIV/0!</v>
      </c>
      <c r="J42" s="2142"/>
      <c r="K42" s="2144">
        <f>F42+H42+J42</f>
        <v>0</v>
      </c>
      <c r="L42" s="873"/>
      <c r="M42" s="861"/>
      <c r="N42" s="861"/>
      <c r="O42" s="861"/>
      <c r="P42" s="3425" t="str">
        <f>A42</f>
        <v>比较价值（元/平方米）</v>
      </c>
      <c r="Q42" s="3425"/>
      <c r="R42" s="3426" t="e">
        <f>IF(F1="售价",ROUND(PRODUCT(R41,AA7:AA40),0),ROUND(PRODUCT(R41,AA7:AA40),1))</f>
        <v>#DIV/0!</v>
      </c>
      <c r="S42" s="3426"/>
      <c r="T42" s="3426" t="e">
        <f>IF(F1="售价",ROUND(PRODUCT(T41,AB7:AB40),0),ROUND(PRODUCT(T41,AB7:AB40),1))</f>
        <v>#DIV/0!</v>
      </c>
      <c r="U42" s="3426"/>
      <c r="V42" s="3426" t="e">
        <f>IF(F1="售价",ROUND(PRODUCT(V41,AC7:AC40),0),ROUND(PRODUCT(V41,AC7:AC40),1))</f>
        <v>#DIV/0!</v>
      </c>
      <c r="W42" s="3426"/>
      <c r="X42" s="385"/>
      <c r="Y42" s="385"/>
      <c r="Z42" s="385"/>
      <c r="AA42" s="385"/>
      <c r="AB42" s="385"/>
      <c r="AC42" s="385"/>
    </row>
    <row r="43" spans="1:29" ht="14.5" thickBot="1">
      <c r="A43" s="427" t="s">
        <v>1791</v>
      </c>
      <c r="B43" s="428"/>
      <c r="C43" s="351" t="e">
        <f>R43</f>
        <v>#DIV/0!</v>
      </c>
      <c r="D43" s="351"/>
      <c r="E43" s="351"/>
      <c r="F43" s="351"/>
      <c r="G43" s="351"/>
      <c r="H43" s="351"/>
      <c r="I43" s="351"/>
      <c r="J43" s="351"/>
      <c r="K43" s="675"/>
      <c r="L43" s="873"/>
      <c r="M43" s="861"/>
      <c r="N43" s="861"/>
      <c r="O43" s="861"/>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1795</v>
      </c>
      <c r="B51" s="385"/>
      <c r="C51" s="659"/>
      <c r="D51" s="659"/>
      <c r="E51" s="659"/>
      <c r="F51" s="660"/>
      <c r="G51" s="660"/>
      <c r="H51" s="659"/>
      <c r="I51" s="659"/>
      <c r="J51" s="659"/>
      <c r="K51" s="887"/>
      <c r="L51" s="888"/>
      <c r="M51" s="886"/>
      <c r="N51" s="886"/>
      <c r="O51" s="886"/>
      <c r="P51" s="438"/>
      <c r="Q51" s="439"/>
    </row>
    <row r="52" spans="1:17" s="442" customFormat="1">
      <c r="A52" s="440" t="s">
        <v>1676</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1713</v>
      </c>
      <c r="B54" s="450"/>
      <c r="C54" s="451"/>
      <c r="D54" s="452"/>
      <c r="E54" s="452"/>
      <c r="F54" s="452"/>
      <c r="G54" s="452"/>
      <c r="H54" s="452"/>
      <c r="I54" s="452"/>
      <c r="J54" s="452"/>
      <c r="K54" s="452"/>
      <c r="L54" s="452"/>
      <c r="M54" s="453"/>
      <c r="N54" s="2537"/>
      <c r="O54" s="2538"/>
      <c r="P54" s="439"/>
      <c r="Q54" s="439"/>
    </row>
    <row r="55" spans="1:17" s="102" customFormat="1">
      <c r="A55" s="455" t="s">
        <v>1678</v>
      </c>
      <c r="B55" s="444"/>
      <c r="C55" s="456" t="s">
        <v>1773</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1716</v>
      </c>
      <c r="B57" s="460" t="s">
        <v>1682</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1685</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1686</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1687</v>
      </c>
      <c r="B70" s="460" t="s">
        <v>1826</v>
      </c>
      <c r="C70" s="504" t="s">
        <v>1718</v>
      </c>
      <c r="D70" s="504" t="s">
        <v>1719</v>
      </c>
      <c r="E70" s="504" t="s">
        <v>1720</v>
      </c>
      <c r="F70" s="504" t="s">
        <v>1721</v>
      </c>
      <c r="G70" s="504" t="s">
        <v>1722</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1723</v>
      </c>
      <c r="C72" s="509" t="s">
        <v>1718</v>
      </c>
      <c r="D72" s="509" t="s">
        <v>1719</v>
      </c>
      <c r="E72" s="509" t="s">
        <v>1720</v>
      </c>
      <c r="F72" s="509" t="s">
        <v>1721</v>
      </c>
      <c r="G72" s="509" t="s">
        <v>1722</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1724</v>
      </c>
      <c r="C74" s="509" t="s">
        <v>1718</v>
      </c>
      <c r="D74" s="509" t="s">
        <v>1719</v>
      </c>
      <c r="E74" s="509" t="s">
        <v>1720</v>
      </c>
      <c r="F74" s="509" t="s">
        <v>1721</v>
      </c>
      <c r="G74" s="509" t="s">
        <v>1722</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1819</v>
      </c>
      <c r="C78" s="509" t="s">
        <v>1718</v>
      </c>
      <c r="D78" s="509" t="s">
        <v>1719</v>
      </c>
      <c r="E78" s="509" t="s">
        <v>1720</v>
      </c>
      <c r="F78" s="509" t="s">
        <v>1721</v>
      </c>
      <c r="G78" s="509" t="s">
        <v>1722</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1691</v>
      </c>
      <c r="B88" s="460" t="s">
        <v>1733</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1734</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1735</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1737</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1187</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1739</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1741</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1827</v>
      </c>
      <c r="C106" s="509" t="s">
        <v>1718</v>
      </c>
      <c r="D106" s="509" t="s">
        <v>1719</v>
      </c>
      <c r="E106" s="509" t="s">
        <v>1720</v>
      </c>
      <c r="F106" s="509" t="s">
        <v>1721</v>
      </c>
      <c r="G106" s="509" t="s">
        <v>1722</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1828</v>
      </c>
      <c r="B1" s="1140" t="s">
        <v>3322</v>
      </c>
      <c r="C1" s="1141" t="s">
        <v>1659</v>
      </c>
      <c r="D1" s="1142"/>
      <c r="E1" s="3130"/>
      <c r="F1" s="1735"/>
      <c r="G1" s="1144" t="s">
        <v>1764</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1766</v>
      </c>
      <c r="B4" s="346"/>
      <c r="C4" s="3440" t="s">
        <v>1767</v>
      </c>
      <c r="D4" s="3441"/>
      <c r="E4" s="3442" t="s">
        <v>1768</v>
      </c>
      <c r="F4" s="3443"/>
      <c r="G4" s="3440" t="s">
        <v>1769</v>
      </c>
      <c r="H4" s="3441"/>
      <c r="I4" s="3440" t="s">
        <v>1770</v>
      </c>
      <c r="J4" s="3441"/>
      <c r="K4" s="537" t="s">
        <v>1771</v>
      </c>
      <c r="L4" s="2485"/>
      <c r="M4" s="2486"/>
      <c r="N4" s="2486"/>
      <c r="O4" s="2486"/>
      <c r="P4" s="3444" t="s">
        <v>1772</v>
      </c>
      <c r="Q4" s="3445"/>
      <c r="R4" s="3450" t="s">
        <v>1768</v>
      </c>
      <c r="S4" s="3451"/>
      <c r="T4" s="3450" t="s">
        <v>1769</v>
      </c>
      <c r="U4" s="3451"/>
      <c r="V4" s="3426" t="s">
        <v>1770</v>
      </c>
      <c r="W4" s="3426"/>
      <c r="X4" s="1265"/>
      <c r="Y4" s="3450" t="s">
        <v>1772</v>
      </c>
      <c r="Z4" s="3451"/>
      <c r="AA4" s="3437" t="s">
        <v>1768</v>
      </c>
      <c r="AB4" s="3438" t="s">
        <v>1769</v>
      </c>
      <c r="AC4" s="3437" t="s">
        <v>1770</v>
      </c>
    </row>
    <row r="5" spans="1:29">
      <c r="A5" s="348"/>
      <c r="B5" s="349"/>
      <c r="C5" s="3458" t="s">
        <v>1670</v>
      </c>
      <c r="D5" s="3459"/>
      <c r="E5" s="3465" t="s">
        <v>1671</v>
      </c>
      <c r="F5" s="3466"/>
      <c r="G5" s="3458" t="s">
        <v>1672</v>
      </c>
      <c r="H5" s="3459"/>
      <c r="I5" s="3458" t="s">
        <v>1673</v>
      </c>
      <c r="J5" s="3459"/>
      <c r="K5" s="537"/>
      <c r="L5" s="2485"/>
      <c r="M5" s="2486"/>
      <c r="N5" s="2486"/>
      <c r="O5" s="2486"/>
      <c r="P5" s="3446"/>
      <c r="Q5" s="3447"/>
      <c r="R5" s="3452"/>
      <c r="S5" s="3453"/>
      <c r="T5" s="3452"/>
      <c r="U5" s="3453"/>
      <c r="V5" s="3426"/>
      <c r="W5" s="3426"/>
      <c r="X5" s="1265"/>
      <c r="Y5" s="3452"/>
      <c r="Z5" s="3453"/>
      <c r="AA5" s="3438"/>
      <c r="AB5" s="3438"/>
      <c r="AC5" s="3438"/>
    </row>
    <row r="6" spans="1:29" ht="15" thickBot="1">
      <c r="A6" s="350"/>
      <c r="B6" s="351"/>
      <c r="C6" s="3456" t="s">
        <v>1674</v>
      </c>
      <c r="D6" s="3457"/>
      <c r="E6" s="3463" t="s">
        <v>1674</v>
      </c>
      <c r="F6" s="3464"/>
      <c r="G6" s="3456" t="s">
        <v>1674</v>
      </c>
      <c r="H6" s="3457"/>
      <c r="I6" s="3456" t="s">
        <v>1674</v>
      </c>
      <c r="J6" s="3457"/>
      <c r="K6" s="537" t="s">
        <v>1675</v>
      </c>
      <c r="L6" s="2485"/>
      <c r="M6" s="2486"/>
      <c r="N6" s="2486"/>
      <c r="O6" s="2486"/>
      <c r="P6" s="3448"/>
      <c r="Q6" s="3449"/>
      <c r="R6" s="3452"/>
      <c r="S6" s="3453"/>
      <c r="T6" s="3454"/>
      <c r="U6" s="3455"/>
      <c r="V6" s="3426"/>
      <c r="W6" s="3426"/>
      <c r="X6" s="1265"/>
      <c r="Y6" s="3454"/>
      <c r="Z6" s="3455"/>
      <c r="AA6" s="3439"/>
      <c r="AB6" s="3439"/>
      <c r="AC6" s="3439"/>
    </row>
    <row r="7" spans="1:29" s="102" customFormat="1" ht="14.5" thickBot="1">
      <c r="A7" s="352" t="s">
        <v>1676</v>
      </c>
      <c r="B7" s="353"/>
      <c r="C7" s="354">
        <f>'数据-取费表'!B2</f>
        <v>45957</v>
      </c>
      <c r="D7" s="355">
        <v>100</v>
      </c>
      <c r="E7" s="356"/>
      <c r="F7" s="357">
        <f>SUMIF(48:48,YEAR(E7)&amp;"-"&amp;MONTH(E7),49:49)</f>
        <v>0</v>
      </c>
      <c r="G7" s="356"/>
      <c r="H7" s="355">
        <f>SUMIF(48:48,YEAR(G7)&amp;"-"&amp;MONTH(G7),49:49)</f>
        <v>0</v>
      </c>
      <c r="I7" s="356"/>
      <c r="J7" s="355">
        <f>SUMIF(48:48,YEAR(I7)&amp;"-"&amp;MONTH(I7),49:49)</f>
        <v>0</v>
      </c>
      <c r="K7" s="38"/>
      <c r="L7" s="2487"/>
      <c r="M7" s="2438"/>
      <c r="N7" s="2438"/>
      <c r="O7" s="2438"/>
      <c r="P7" s="3460" t="s">
        <v>1677</v>
      </c>
      <c r="Q7" s="3462"/>
      <c r="R7" s="664" t="s">
        <v>14</v>
      </c>
      <c r="S7" s="665">
        <f t="shared" ref="S7:S14" si="0">F7</f>
        <v>0</v>
      </c>
      <c r="T7" s="664" t="s">
        <v>14</v>
      </c>
      <c r="U7" s="665">
        <f t="shared" ref="U7:U14" si="1">H7</f>
        <v>0</v>
      </c>
      <c r="V7" s="664" t="s">
        <v>14</v>
      </c>
      <c r="W7" s="665">
        <f t="shared" ref="W7:W14" si="2">J7</f>
        <v>0</v>
      </c>
      <c r="X7" s="666"/>
      <c r="Y7" s="3460" t="s">
        <v>1677</v>
      </c>
      <c r="Z7" s="3461"/>
      <c r="AA7" s="50" t="e">
        <f>D7/F7</f>
        <v>#DIV/0!</v>
      </c>
      <c r="AB7" s="50" t="e">
        <f>D7/H7</f>
        <v>#DIV/0!</v>
      </c>
      <c r="AC7" s="50" t="e">
        <f>D7/J7</f>
        <v>#DIV/0!</v>
      </c>
    </row>
    <row r="8" spans="1:29" s="102" customFormat="1" ht="14.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60" t="s">
        <v>1680</v>
      </c>
      <c r="Q8" s="3461"/>
      <c r="R8" s="664" t="s">
        <v>14</v>
      </c>
      <c r="S8" s="665">
        <f t="shared" si="0"/>
        <v>100</v>
      </c>
      <c r="T8" s="664" t="s">
        <v>14</v>
      </c>
      <c r="U8" s="665">
        <f t="shared" si="1"/>
        <v>100</v>
      </c>
      <c r="V8" s="664" t="s">
        <v>14</v>
      </c>
      <c r="W8" s="665">
        <f t="shared" si="2"/>
        <v>100</v>
      </c>
      <c r="X8" s="666"/>
      <c r="Y8" s="3460" t="s">
        <v>1680</v>
      </c>
      <c r="Z8" s="3461"/>
      <c r="AA8" s="50">
        <f t="shared" ref="AA8:AA36" si="3">D8/F8</f>
        <v>1</v>
      </c>
      <c r="AB8" s="50">
        <f t="shared" ref="AB8:AB36" si="4">D8/H8</f>
        <v>1</v>
      </c>
      <c r="AC8" s="50">
        <f t="shared" ref="AC8:AC36" si="5">D8/J8</f>
        <v>1</v>
      </c>
    </row>
    <row r="9" spans="1:29" s="102" customFormat="1">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25" t="s">
        <v>1683</v>
      </c>
      <c r="Q9" s="530" t="str">
        <f t="shared" ref="Q9:Q14" si="6">B9</f>
        <v>用途</v>
      </c>
      <c r="R9" s="664" t="s">
        <v>14</v>
      </c>
      <c r="S9" s="665">
        <f t="shared" si="0"/>
        <v>100</v>
      </c>
      <c r="T9" s="664" t="s">
        <v>14</v>
      </c>
      <c r="U9" s="665">
        <f t="shared" si="1"/>
        <v>100</v>
      </c>
      <c r="V9" s="664" t="s">
        <v>14</v>
      </c>
      <c r="W9" s="665">
        <f t="shared" si="2"/>
        <v>100</v>
      </c>
      <c r="X9" s="666"/>
      <c r="Y9" s="3300" t="s">
        <v>1684</v>
      </c>
      <c r="Z9" s="50" t="str">
        <f t="shared" ref="Z9:Z14" si="7">Q9</f>
        <v>用途</v>
      </c>
      <c r="AA9" s="50">
        <f t="shared" si="3"/>
        <v>1</v>
      </c>
      <c r="AB9" s="50">
        <f t="shared" si="4"/>
        <v>1</v>
      </c>
      <c r="AC9" s="50">
        <f t="shared" si="5"/>
        <v>1</v>
      </c>
    </row>
    <row r="10" spans="1:29" s="366" customFormat="1" ht="28">
      <c r="A10" s="565"/>
      <c r="B10" s="566" t="s">
        <v>1685</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5"/>
      <c r="Q11" s="530">
        <f t="shared" si="6"/>
        <v>111</v>
      </c>
      <c r="R11" s="664" t="s">
        <v>14</v>
      </c>
      <c r="S11" s="665">
        <f t="shared" si="0"/>
        <v>100</v>
      </c>
      <c r="T11" s="664" t="s">
        <v>14</v>
      </c>
      <c r="U11" s="665">
        <f t="shared" si="1"/>
        <v>100</v>
      </c>
      <c r="V11" s="664" t="s">
        <v>14</v>
      </c>
      <c r="W11" s="665">
        <f t="shared" si="2"/>
        <v>100</v>
      </c>
      <c r="X11" s="666"/>
      <c r="Y11" s="3300"/>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2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210">
      <c r="A14" s="345" t="s">
        <v>1687</v>
      </c>
      <c r="B14" s="554" t="s">
        <v>1830</v>
      </c>
      <c r="C14" s="1819" t="str">
        <f>IF(B1="工业",估价对象房地状况!G4,估价对象房地状况!C6)</f>
        <v>咨询对象北侧临城市支路——大金北路，西侧距城市次干道——团河路直线距离约110米，周边1公里范围内有369、485、676等多条线路经过，2公里范围内无地铁，项目内部有地面停车位，综合评价交通便捷度一般</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7" t="s">
        <v>1688</v>
      </c>
      <c r="Q14" s="1263" t="str">
        <f t="shared" si="6"/>
        <v>交通便捷度</v>
      </c>
      <c r="R14" s="667" t="s">
        <v>14</v>
      </c>
      <c r="S14" s="668">
        <f t="shared" si="0"/>
        <v>100</v>
      </c>
      <c r="T14" s="667" t="s">
        <v>14</v>
      </c>
      <c r="U14" s="668">
        <f t="shared" si="1"/>
        <v>100</v>
      </c>
      <c r="V14" s="667" t="s">
        <v>14</v>
      </c>
      <c r="W14" s="668">
        <f t="shared" si="2"/>
        <v>100</v>
      </c>
      <c r="X14" s="1265"/>
      <c r="Y14" s="3427" t="s">
        <v>1688</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28"/>
      <c r="Q15" s="1263"/>
      <c r="R15" s="667"/>
      <c r="S15" s="668"/>
      <c r="T15" s="667"/>
      <c r="U15" s="668"/>
      <c r="V15" s="667"/>
      <c r="W15" s="668"/>
      <c r="X15" s="1265"/>
      <c r="Y15" s="3428"/>
      <c r="Z15" s="1264"/>
      <c r="AA15" s="1264">
        <v>1</v>
      </c>
      <c r="AB15" s="1264">
        <v>1</v>
      </c>
      <c r="AC15" s="1264">
        <v>1</v>
      </c>
    </row>
    <row r="16" spans="1:29" ht="308">
      <c r="A16" s="348"/>
      <c r="B16" s="556" t="s">
        <v>1809</v>
      </c>
      <c r="C16" s="1754" t="str">
        <f>IF(B1="工业",估价对象房地状况!G5,估价对象房地状况!C7)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28"/>
      <c r="Q17" s="1263"/>
      <c r="R17" s="667"/>
      <c r="S17" s="668"/>
      <c r="T17" s="667"/>
      <c r="U17" s="668"/>
      <c r="V17" s="667"/>
      <c r="W17" s="668"/>
      <c r="X17" s="1265"/>
      <c r="Y17" s="3428"/>
      <c r="Z17" s="1264"/>
      <c r="AA17" s="1264">
        <v>1</v>
      </c>
      <c r="AB17" s="1264">
        <v>1</v>
      </c>
      <c r="AC17" s="1264">
        <v>1</v>
      </c>
    </row>
    <row r="18" spans="1:29" ht="42">
      <c r="A18" s="348"/>
      <c r="B18" s="557" t="s">
        <v>1810</v>
      </c>
      <c r="C18" s="1754"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28"/>
      <c r="Q19" s="1263"/>
      <c r="R19" s="667"/>
      <c r="S19" s="668"/>
      <c r="T19" s="667"/>
      <c r="U19" s="668"/>
      <c r="V19" s="667"/>
      <c r="W19" s="668"/>
      <c r="X19" s="1265"/>
      <c r="Y19" s="3428"/>
      <c r="Z19" s="1264"/>
      <c r="AA19" s="1264">
        <v>1</v>
      </c>
      <c r="AB19" s="1264">
        <v>1</v>
      </c>
      <c r="AC19" s="1264">
        <v>1</v>
      </c>
    </row>
    <row r="20" spans="1:29" ht="196">
      <c r="A20" s="348"/>
      <c r="B20" s="556" t="s">
        <v>1831</v>
      </c>
      <c r="C20" s="1754" t="str">
        <f>IF(B1="工业",估价对象房地状况!G7,估价对象房地状况!C9)</f>
        <v>区域自然环境：寿保庄公园、敬贤公园、新三余公园、星光·视界公园；人文环境：中国人民公安大学（团河校区）、民政职业大学（大兴校区）；综合评价环境状况较好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28"/>
      <c r="Q21" s="1263"/>
      <c r="R21" s="667"/>
      <c r="S21" s="668"/>
      <c r="T21" s="667"/>
      <c r="U21" s="668"/>
      <c r="V21" s="667"/>
      <c r="W21" s="668"/>
      <c r="X21" s="1265"/>
      <c r="Y21" s="3428"/>
      <c r="Z21" s="1264"/>
      <c r="AA21" s="1264">
        <v>1</v>
      </c>
      <c r="AB21" s="1264">
        <v>1</v>
      </c>
      <c r="AC21" s="1264">
        <v>1</v>
      </c>
    </row>
    <row r="22" spans="1:29" ht="15.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8"/>
      <c r="Q24" s="1263">
        <f t="shared" ref="Q24:Q36"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29">
      <c r="A26" s="574" t="s">
        <v>1691</v>
      </c>
      <c r="B26" s="59" t="s">
        <v>1833</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81" t="s">
        <v>1693</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2" t="s">
        <v>1693</v>
      </c>
      <c r="Z26" s="1264" t="str">
        <f t="shared" ref="Z26:Z36" si="15">Q26</f>
        <v>配套类型</v>
      </c>
      <c r="AA26" s="1264" t="e">
        <f t="shared" si="3"/>
        <v>#DIV/0!</v>
      </c>
      <c r="AB26" s="1264" t="e">
        <f t="shared" si="4"/>
        <v>#DIV/0!</v>
      </c>
      <c r="AC26" s="1264" t="e">
        <f t="shared" si="5"/>
        <v>#DIV/0!</v>
      </c>
    </row>
    <row r="27" spans="1:29" s="408" customFormat="1" ht="15.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2"/>
      <c r="Q27" s="531" t="str">
        <f t="shared" si="11"/>
        <v>项目停车位配比</v>
      </c>
      <c r="R27" s="669" t="s">
        <v>14</v>
      </c>
      <c r="S27" s="670">
        <f t="shared" si="12"/>
        <v>100</v>
      </c>
      <c r="T27" s="669" t="s">
        <v>14</v>
      </c>
      <c r="U27" s="670">
        <f t="shared" si="13"/>
        <v>100</v>
      </c>
      <c r="V27" s="669" t="s">
        <v>14</v>
      </c>
      <c r="W27" s="670">
        <f t="shared" si="14"/>
        <v>100</v>
      </c>
      <c r="X27" s="671"/>
      <c r="Y27" s="3432"/>
      <c r="Z27" s="672" t="str">
        <f t="shared" si="15"/>
        <v>项目停车位配比</v>
      </c>
      <c r="AA27" s="1264">
        <f t="shared" si="3"/>
        <v>1</v>
      </c>
      <c r="AB27" s="1264">
        <f t="shared" si="4"/>
        <v>1</v>
      </c>
      <c r="AC27" s="1264">
        <f t="shared" si="5"/>
        <v>1</v>
      </c>
    </row>
    <row r="28" spans="1:29" ht="15.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2"/>
      <c r="Q28" s="1263" t="str">
        <f t="shared" si="11"/>
        <v>公共部分装修</v>
      </c>
      <c r="R28" s="667" t="s">
        <v>14</v>
      </c>
      <c r="S28" s="668">
        <f t="shared" si="12"/>
        <v>100</v>
      </c>
      <c r="T28" s="667" t="s">
        <v>14</v>
      </c>
      <c r="U28" s="668">
        <f t="shared" si="13"/>
        <v>100</v>
      </c>
      <c r="V28" s="667" t="s">
        <v>14</v>
      </c>
      <c r="W28" s="668">
        <f t="shared" si="14"/>
        <v>100</v>
      </c>
      <c r="X28" s="1265"/>
      <c r="Y28" s="3432"/>
      <c r="Z28" s="1264" t="str">
        <f t="shared" si="15"/>
        <v>公共部分装修</v>
      </c>
      <c r="AA28" s="1264">
        <f t="shared" si="3"/>
        <v>1</v>
      </c>
      <c r="AB28" s="1264">
        <f t="shared" si="4"/>
        <v>1</v>
      </c>
      <c r="AC28" s="1264">
        <f t="shared" si="5"/>
        <v>1</v>
      </c>
    </row>
    <row r="29" spans="1:29" ht="15.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2"/>
      <c r="Q29" s="1263" t="str">
        <f t="shared" si="11"/>
        <v>成新率</v>
      </c>
      <c r="R29" s="667" t="s">
        <v>14</v>
      </c>
      <c r="S29" s="668" t="e">
        <f t="shared" si="12"/>
        <v>#N/A</v>
      </c>
      <c r="T29" s="667" t="s">
        <v>14</v>
      </c>
      <c r="U29" s="668" t="e">
        <f t="shared" si="13"/>
        <v>#N/A</v>
      </c>
      <c r="V29" s="667" t="s">
        <v>14</v>
      </c>
      <c r="W29" s="668" t="e">
        <f t="shared" si="14"/>
        <v>#N/A</v>
      </c>
      <c r="X29" s="1265"/>
      <c r="Y29" s="3432"/>
      <c r="Z29" s="1264" t="str">
        <f t="shared" si="15"/>
        <v>成新率</v>
      </c>
      <c r="AA29" s="1264" t="e">
        <f t="shared" si="3"/>
        <v>#N/A</v>
      </c>
      <c r="AB29" s="1264" t="e">
        <f t="shared" si="4"/>
        <v>#N/A</v>
      </c>
      <c r="AC29" s="1264" t="e">
        <f t="shared" si="5"/>
        <v>#N/A</v>
      </c>
    </row>
    <row r="30" spans="1:29" ht="15.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2"/>
      <c r="Q30" s="1263" t="str">
        <f t="shared" si="11"/>
        <v>物业等级</v>
      </c>
      <c r="R30" s="667" t="s">
        <v>14</v>
      </c>
      <c r="S30" s="668">
        <f t="shared" si="12"/>
        <v>100</v>
      </c>
      <c r="T30" s="667" t="s">
        <v>14</v>
      </c>
      <c r="U30" s="668">
        <f t="shared" si="13"/>
        <v>100</v>
      </c>
      <c r="V30" s="667" t="s">
        <v>14</v>
      </c>
      <c r="W30" s="668">
        <f t="shared" si="14"/>
        <v>100</v>
      </c>
      <c r="X30" s="1265"/>
      <c r="Y30" s="3432"/>
      <c r="Z30" s="1264" t="str">
        <f t="shared" si="15"/>
        <v>物业等级</v>
      </c>
      <c r="AA30" s="1264">
        <f t="shared" si="3"/>
        <v>1</v>
      </c>
      <c r="AB30" s="1264">
        <f t="shared" si="4"/>
        <v>1</v>
      </c>
      <c r="AC30" s="1264">
        <f t="shared" si="5"/>
        <v>1</v>
      </c>
    </row>
    <row r="31" spans="1:29" s="102" customFormat="1" ht="15.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32"/>
      <c r="Q31" s="530" t="str">
        <f t="shared" si="11"/>
        <v>停车位面积</v>
      </c>
      <c r="R31" s="664" t="s">
        <v>14</v>
      </c>
      <c r="S31" s="665" t="e">
        <f t="shared" si="12"/>
        <v>#N/A</v>
      </c>
      <c r="T31" s="664" t="s">
        <v>14</v>
      </c>
      <c r="U31" s="665" t="e">
        <f t="shared" si="13"/>
        <v>#N/A</v>
      </c>
      <c r="V31" s="664" t="s">
        <v>14</v>
      </c>
      <c r="W31" s="665" t="e">
        <f t="shared" si="14"/>
        <v>#N/A</v>
      </c>
      <c r="X31" s="666"/>
      <c r="Y31" s="3432"/>
      <c r="Z31" s="50" t="str">
        <f t="shared" si="15"/>
        <v>停车位面积</v>
      </c>
      <c r="AA31" s="50" t="e">
        <f t="shared" si="3"/>
        <v>#N/A</v>
      </c>
      <c r="AB31" s="50" t="e">
        <f t="shared" si="4"/>
        <v>#N/A</v>
      </c>
      <c r="AC31" s="50" t="e">
        <f t="shared" si="5"/>
        <v>#N/A</v>
      </c>
    </row>
    <row r="32" spans="1:29" ht="15.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2" t="s">
        <v>1693</v>
      </c>
      <c r="Q32" s="1263" t="str">
        <f t="shared" si="11"/>
        <v>车位类型</v>
      </c>
      <c r="R32" s="667" t="s">
        <v>14</v>
      </c>
      <c r="S32" s="668">
        <f t="shared" si="12"/>
        <v>100</v>
      </c>
      <c r="T32" s="667" t="s">
        <v>14</v>
      </c>
      <c r="U32" s="668">
        <f t="shared" si="13"/>
        <v>100</v>
      </c>
      <c r="V32" s="667" t="s">
        <v>14</v>
      </c>
      <c r="W32" s="668">
        <f t="shared" si="14"/>
        <v>100</v>
      </c>
      <c r="X32" s="1265"/>
      <c r="Y32" s="3432" t="s">
        <v>1693</v>
      </c>
      <c r="Z32" s="1264" t="str">
        <f t="shared" si="15"/>
        <v>车位类型</v>
      </c>
      <c r="AA32" s="1264">
        <f t="shared" si="3"/>
        <v>1</v>
      </c>
      <c r="AB32" s="1264">
        <f t="shared" si="4"/>
        <v>1</v>
      </c>
      <c r="AC32" s="1264">
        <f t="shared" si="5"/>
        <v>1</v>
      </c>
    </row>
    <row r="33" spans="1:29" ht="15.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2"/>
      <c r="Q33" s="1263" t="str">
        <f t="shared" si="11"/>
        <v>是否直接入户</v>
      </c>
      <c r="R33" s="667" t="s">
        <v>14</v>
      </c>
      <c r="S33" s="668">
        <f t="shared" si="12"/>
        <v>100</v>
      </c>
      <c r="T33" s="667" t="s">
        <v>14</v>
      </c>
      <c r="U33" s="668">
        <f t="shared" si="13"/>
        <v>100</v>
      </c>
      <c r="V33" s="667" t="s">
        <v>14</v>
      </c>
      <c r="W33" s="668">
        <f t="shared" si="14"/>
        <v>100</v>
      </c>
      <c r="X33" s="1265"/>
      <c r="Y33" s="343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2"/>
      <c r="Q35" s="531">
        <f t="shared" si="11"/>
        <v>111</v>
      </c>
      <c r="R35" s="669" t="s">
        <v>14</v>
      </c>
      <c r="S35" s="670">
        <f t="shared" si="12"/>
        <v>100</v>
      </c>
      <c r="T35" s="669" t="s">
        <v>14</v>
      </c>
      <c r="U35" s="670">
        <f t="shared" si="13"/>
        <v>100</v>
      </c>
      <c r="V35" s="669" t="s">
        <v>14</v>
      </c>
      <c r="W35" s="670">
        <f t="shared" si="14"/>
        <v>100</v>
      </c>
      <c r="X35" s="671"/>
      <c r="Y35" s="343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2"/>
      <c r="Q36" s="1263">
        <f t="shared" si="11"/>
        <v>111</v>
      </c>
      <c r="R36" s="667" t="s">
        <v>14</v>
      </c>
      <c r="S36" s="668">
        <f t="shared" si="12"/>
        <v>100</v>
      </c>
      <c r="T36" s="667" t="s">
        <v>14</v>
      </c>
      <c r="U36" s="668">
        <f t="shared" si="13"/>
        <v>100</v>
      </c>
      <c r="V36" s="667" t="s">
        <v>14</v>
      </c>
      <c r="W36" s="668">
        <f t="shared" si="14"/>
        <v>100</v>
      </c>
      <c r="X36" s="1265"/>
      <c r="Y36" s="3432"/>
      <c r="Z36" s="1264">
        <f t="shared" si="15"/>
        <v>111</v>
      </c>
      <c r="AA36" s="1264">
        <f t="shared" si="3"/>
        <v>1</v>
      </c>
      <c r="AB36" s="1264">
        <f t="shared" si="4"/>
        <v>1</v>
      </c>
      <c r="AC36" s="1264">
        <f t="shared" si="5"/>
        <v>1</v>
      </c>
    </row>
    <row r="37" spans="1:29">
      <c r="A37" s="416" t="s">
        <v>1841</v>
      </c>
      <c r="B37" s="1821" t="s">
        <v>3343</v>
      </c>
      <c r="C37" s="1081" t="s">
        <v>0</v>
      </c>
      <c r="D37" s="418"/>
      <c r="E37" s="419"/>
      <c r="F37" s="420"/>
      <c r="G37" s="421"/>
      <c r="H37" s="422"/>
      <c r="I37" s="419"/>
      <c r="J37" s="422"/>
      <c r="K37" s="545"/>
      <c r="L37" s="2493"/>
      <c r="M37" s="2486"/>
      <c r="N37" s="2486"/>
      <c r="O37" s="2486"/>
      <c r="P37" s="3425" t="str">
        <f>A37</f>
        <v>成交单价</v>
      </c>
      <c r="Q37" s="3425"/>
      <c r="R37" s="3426">
        <f>E37</f>
        <v>0</v>
      </c>
      <c r="S37" s="3426"/>
      <c r="T37" s="3426">
        <f>G37</f>
        <v>0</v>
      </c>
      <c r="U37" s="3426"/>
      <c r="V37" s="3426">
        <f>I37</f>
        <v>0</v>
      </c>
      <c r="W37" s="3426"/>
      <c r="X37" s="385"/>
      <c r="Y37" s="673"/>
      <c r="Z37" s="385"/>
      <c r="AA37" s="385"/>
      <c r="AB37" s="385"/>
      <c r="AC37" s="385"/>
    </row>
    <row r="38" spans="1:29" ht="14.5" thickBot="1">
      <c r="A38" s="423" t="s">
        <v>1842</v>
      </c>
      <c r="B38" s="424" t="str">
        <f>B37</f>
        <v>元/平方米</v>
      </c>
      <c r="C38" s="1082" t="e">
        <f>R39</f>
        <v>#DIV/0!</v>
      </c>
      <c r="D38" s="2141" t="s">
        <v>2132</v>
      </c>
      <c r="E38" s="1083" t="e">
        <f>R38</f>
        <v>#DIV/0!</v>
      </c>
      <c r="F38" s="2142"/>
      <c r="G38" s="1082" t="e">
        <f>T38</f>
        <v>#DIV/0!</v>
      </c>
      <c r="H38" s="2142"/>
      <c r="I38" s="1083" t="e">
        <f>V38</f>
        <v>#DIV/0!</v>
      </c>
      <c r="J38" s="2142"/>
      <c r="K38" s="2144">
        <f>F38+H38+J38</f>
        <v>0</v>
      </c>
      <c r="L38" s="2493"/>
      <c r="M38" s="2486"/>
      <c r="N38" s="2486"/>
      <c r="O38" s="2486"/>
      <c r="P38" s="3425" t="str">
        <f>A38</f>
        <v>比较价值（元/平方米）</v>
      </c>
      <c r="Q38" s="3425"/>
      <c r="R38" s="3426" t="e">
        <f>IF(F1="售价",ROUND(PRODUCT(R37,AA7:AA36),0),ROUND(PRODUCT(R37,AA7:AA36),1))</f>
        <v>#DIV/0!</v>
      </c>
      <c r="S38" s="3426"/>
      <c r="T38" s="3426" t="e">
        <f>IF(F1="售价",ROUND(PRODUCT(T37,AB7:AB36),0),ROUND(PRODUCT(T37,AB7:AB36),1))</f>
        <v>#DIV/0!</v>
      </c>
      <c r="U38" s="3426"/>
      <c r="V38" s="3426" t="e">
        <f>IF(F1="售价",ROUND(PRODUCT(V37,AC7:AC36),0),ROUND(PRODUCT(V37,AC7:AC36),1))</f>
        <v>#DIV/0!</v>
      </c>
      <c r="W38" s="3426"/>
      <c r="X38" s="385"/>
      <c r="Y38" s="385"/>
      <c r="Z38" s="385"/>
      <c r="AA38" s="385"/>
      <c r="AB38" s="385"/>
      <c r="AC38" s="385"/>
    </row>
    <row r="39" spans="1:29" ht="14.5" thickBot="1">
      <c r="A39" s="427" t="s">
        <v>1843</v>
      </c>
      <c r="B39" s="428"/>
      <c r="C39" s="351" t="e">
        <f>R39</f>
        <v>#DIV/0!</v>
      </c>
      <c r="D39" s="351"/>
      <c r="E39" s="351"/>
      <c r="F39" s="351"/>
      <c r="G39" s="351"/>
      <c r="H39" s="351"/>
      <c r="I39" s="351"/>
      <c r="J39" s="351"/>
      <c r="K39" s="546"/>
      <c r="L39" s="2493"/>
      <c r="M39" s="2486"/>
      <c r="N39" s="2486"/>
      <c r="O39" s="2486"/>
      <c r="P39" s="3422" t="str">
        <f>A39</f>
        <v>估价对象XX用房的比较价值（楼面单价，元/平方米）</v>
      </c>
      <c r="Q39" s="3423"/>
      <c r="R39" s="3482" t="e">
        <f>IF(F1="售价",ROUND(IF(D38="简单平均",AVERAGE(R38:W38),R38*F38+T38*H38+V38*J38),0),ROUND(IF(D38="简单平均",AVERAGE(R38:V38),R38*F38+T38*H38+V38*J38),1))</f>
        <v>#DIV/0!</v>
      </c>
      <c r="S39" s="3482"/>
      <c r="T39" s="3482"/>
      <c r="U39" s="3482"/>
      <c r="V39" s="3482"/>
      <c r="W39" s="348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1847</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1848</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4.5" thickBot="1">
      <c r="A50" s="449" t="s">
        <v>1713</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c r="A51" s="455" t="s">
        <v>1678</v>
      </c>
      <c r="B51" s="444"/>
      <c r="C51" s="456" t="s">
        <v>1773</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1716</v>
      </c>
      <c r="B53" s="460" t="s">
        <v>1682</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1685</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1687</v>
      </c>
      <c r="B63" s="460" t="s">
        <v>1723</v>
      </c>
      <c r="C63" s="504" t="s">
        <v>1718</v>
      </c>
      <c r="D63" s="504" t="s">
        <v>1719</v>
      </c>
      <c r="E63" s="504" t="s">
        <v>1720</v>
      </c>
      <c r="F63" s="504" t="s">
        <v>1721</v>
      </c>
      <c r="G63" s="504" t="s">
        <v>1722</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1724</v>
      </c>
      <c r="C65" s="509" t="s">
        <v>1718</v>
      </c>
      <c r="D65" s="509" t="s">
        <v>1719</v>
      </c>
      <c r="E65" s="509" t="s">
        <v>1720</v>
      </c>
      <c r="F65" s="509" t="s">
        <v>1721</v>
      </c>
      <c r="G65" s="509" t="s">
        <v>1722</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1810</v>
      </c>
      <c r="C67" s="581" t="s">
        <v>1796</v>
      </c>
      <c r="D67" s="581" t="s">
        <v>1797</v>
      </c>
      <c r="E67" s="581" t="s">
        <v>1798</v>
      </c>
      <c r="F67" s="581" t="s">
        <v>1799</v>
      </c>
      <c r="G67" s="581" t="s">
        <v>1800</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1730</v>
      </c>
      <c r="C69" s="509" t="s">
        <v>1718</v>
      </c>
      <c r="D69" s="509" t="s">
        <v>1719</v>
      </c>
      <c r="E69" s="509" t="s">
        <v>1720</v>
      </c>
      <c r="F69" s="509" t="s">
        <v>1721</v>
      </c>
      <c r="G69" s="509" t="s">
        <v>1722</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1849</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4.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4.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1691</v>
      </c>
      <c r="B79" s="460" t="s">
        <v>1850</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1851</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1737</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1853</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1855</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1856</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1828</v>
      </c>
      <c r="B1" s="1140" t="s">
        <v>3323</v>
      </c>
      <c r="C1" s="1141" t="s">
        <v>1659</v>
      </c>
      <c r="D1" s="1142"/>
      <c r="E1" s="3130"/>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IF(C2="——",C37,ROUND(B2*10000/D3,0))</f>
        <v>#DIV/0!</v>
      </c>
      <c r="C3" s="344" t="s">
        <v>1765</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1766</v>
      </c>
      <c r="B4" s="346"/>
      <c r="C4" s="3440" t="s">
        <v>1767</v>
      </c>
      <c r="D4" s="3441"/>
      <c r="E4" s="3442" t="s">
        <v>1768</v>
      </c>
      <c r="F4" s="3443"/>
      <c r="G4" s="3440" t="s">
        <v>1769</v>
      </c>
      <c r="H4" s="3441"/>
      <c r="I4" s="3440" t="s">
        <v>1770</v>
      </c>
      <c r="J4" s="3441"/>
      <c r="K4" s="537" t="s">
        <v>1771</v>
      </c>
      <c r="L4" s="2485"/>
      <c r="M4" s="2486"/>
      <c r="N4" s="2486"/>
      <c r="O4" s="2486"/>
      <c r="P4" s="3444" t="s">
        <v>1772</v>
      </c>
      <c r="Q4" s="3445"/>
      <c r="R4" s="3450" t="s">
        <v>1768</v>
      </c>
      <c r="S4" s="3451"/>
      <c r="T4" s="3450" t="s">
        <v>1769</v>
      </c>
      <c r="U4" s="3451"/>
      <c r="V4" s="3426" t="s">
        <v>1770</v>
      </c>
      <c r="W4" s="3426"/>
      <c r="X4" s="1265"/>
      <c r="Y4" s="3450" t="s">
        <v>1772</v>
      </c>
      <c r="Z4" s="3451"/>
      <c r="AA4" s="3437" t="s">
        <v>1768</v>
      </c>
      <c r="AB4" s="3438" t="s">
        <v>1769</v>
      </c>
      <c r="AC4" s="3437" t="s">
        <v>1770</v>
      </c>
    </row>
    <row r="5" spans="1:29">
      <c r="A5" s="348"/>
      <c r="B5" s="349"/>
      <c r="C5" s="3458" t="s">
        <v>1670</v>
      </c>
      <c r="D5" s="3459"/>
      <c r="E5" s="3465" t="s">
        <v>1671</v>
      </c>
      <c r="F5" s="3466"/>
      <c r="G5" s="3458" t="s">
        <v>1672</v>
      </c>
      <c r="H5" s="3459"/>
      <c r="I5" s="3458" t="s">
        <v>1673</v>
      </c>
      <c r="J5" s="3459"/>
      <c r="K5" s="537"/>
      <c r="L5" s="2485"/>
      <c r="M5" s="2486"/>
      <c r="N5" s="2486"/>
      <c r="O5" s="2486"/>
      <c r="P5" s="3446"/>
      <c r="Q5" s="3447"/>
      <c r="R5" s="3452"/>
      <c r="S5" s="3453"/>
      <c r="T5" s="3452"/>
      <c r="U5" s="3453"/>
      <c r="V5" s="3426"/>
      <c r="W5" s="3426"/>
      <c r="X5" s="1265"/>
      <c r="Y5" s="3452"/>
      <c r="Z5" s="3453"/>
      <c r="AA5" s="3438"/>
      <c r="AB5" s="3438"/>
      <c r="AC5" s="3438"/>
    </row>
    <row r="6" spans="1:29" ht="15" thickBot="1">
      <c r="A6" s="350"/>
      <c r="B6" s="351"/>
      <c r="C6" s="3456" t="s">
        <v>1674</v>
      </c>
      <c r="D6" s="3457"/>
      <c r="E6" s="3463" t="s">
        <v>1674</v>
      </c>
      <c r="F6" s="3464"/>
      <c r="G6" s="3456" t="s">
        <v>1674</v>
      </c>
      <c r="H6" s="3457"/>
      <c r="I6" s="3456" t="s">
        <v>1674</v>
      </c>
      <c r="J6" s="3457"/>
      <c r="K6" s="537" t="s">
        <v>1675</v>
      </c>
      <c r="L6" s="2485"/>
      <c r="M6" s="2486"/>
      <c r="N6" s="2486"/>
      <c r="O6" s="2486"/>
      <c r="P6" s="3448"/>
      <c r="Q6" s="3449"/>
      <c r="R6" s="3452"/>
      <c r="S6" s="3453"/>
      <c r="T6" s="3454"/>
      <c r="U6" s="3455"/>
      <c r="V6" s="3426"/>
      <c r="W6" s="3426"/>
      <c r="X6" s="1265"/>
      <c r="Y6" s="3454"/>
      <c r="Z6" s="3455"/>
      <c r="AA6" s="3439"/>
      <c r="AB6" s="3439"/>
      <c r="AC6" s="3439"/>
    </row>
    <row r="7" spans="1:29" s="102" customFormat="1" ht="14.5" thickBot="1">
      <c r="A7" s="352" t="s">
        <v>1676</v>
      </c>
      <c r="B7" s="353"/>
      <c r="C7" s="354">
        <f>'数据-取费表'!B2</f>
        <v>45957</v>
      </c>
      <c r="D7" s="355">
        <v>100</v>
      </c>
      <c r="E7" s="356"/>
      <c r="F7" s="357">
        <f>SUMIF(46:46,YEAR(E7)&amp;"-"&amp;MONTH(E7),47:47)</f>
        <v>0</v>
      </c>
      <c r="G7" s="1822"/>
      <c r="H7" s="355">
        <f>SUMIF(46:46,YEAR(G7)&amp;"-"&amp;MONTH(G7),47:47)</f>
        <v>0</v>
      </c>
      <c r="I7" s="356"/>
      <c r="J7" s="355">
        <f>SUMIF(46:46,YEAR(I7)&amp;"-"&amp;MONTH(I7),47:47)</f>
        <v>0</v>
      </c>
      <c r="K7" s="38"/>
      <c r="L7" s="2487"/>
      <c r="M7" s="2438"/>
      <c r="N7" s="2438"/>
      <c r="O7" s="2438"/>
      <c r="P7" s="3460" t="s">
        <v>1677</v>
      </c>
      <c r="Q7" s="3462"/>
      <c r="R7" s="664" t="s">
        <v>14</v>
      </c>
      <c r="S7" s="665">
        <f t="shared" ref="S7:S14" si="0">F7</f>
        <v>0</v>
      </c>
      <c r="T7" s="664" t="s">
        <v>14</v>
      </c>
      <c r="U7" s="665">
        <f t="shared" ref="U7:U14" si="1">H7</f>
        <v>0</v>
      </c>
      <c r="V7" s="664" t="s">
        <v>14</v>
      </c>
      <c r="W7" s="665">
        <f t="shared" ref="W7:W14" si="2">J7</f>
        <v>0</v>
      </c>
      <c r="X7" s="666"/>
      <c r="Y7" s="3460" t="s">
        <v>1677</v>
      </c>
      <c r="Z7" s="3461"/>
      <c r="AA7" s="50" t="e">
        <f>D7/F7</f>
        <v>#DIV/0!</v>
      </c>
      <c r="AB7" s="50" t="e">
        <f>D7/H7</f>
        <v>#DIV/0!</v>
      </c>
      <c r="AC7" s="50" t="e">
        <f>D7/J7</f>
        <v>#DIV/0!</v>
      </c>
    </row>
    <row r="8" spans="1:29" s="102" customFormat="1" ht="14.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60" t="s">
        <v>1680</v>
      </c>
      <c r="Q8" s="3461"/>
      <c r="R8" s="664" t="s">
        <v>14</v>
      </c>
      <c r="S8" s="665">
        <f t="shared" si="0"/>
        <v>100</v>
      </c>
      <c r="T8" s="664" t="s">
        <v>14</v>
      </c>
      <c r="U8" s="665">
        <f t="shared" si="1"/>
        <v>100</v>
      </c>
      <c r="V8" s="664" t="s">
        <v>14</v>
      </c>
      <c r="W8" s="665">
        <f t="shared" si="2"/>
        <v>100</v>
      </c>
      <c r="X8" s="666"/>
      <c r="Y8" s="3460" t="s">
        <v>1680</v>
      </c>
      <c r="Z8" s="3461"/>
      <c r="AA8" s="50">
        <f t="shared" ref="AA8:AA34" si="3">D8/F8</f>
        <v>1</v>
      </c>
      <c r="AB8" s="50">
        <f t="shared" ref="AB8:AB34" si="4">D8/H8</f>
        <v>1</v>
      </c>
      <c r="AC8" s="50">
        <f t="shared" ref="AC8:AC34" si="5">D8/J8</f>
        <v>1</v>
      </c>
    </row>
    <row r="9" spans="1:29" s="102" customFormat="1">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25" t="s">
        <v>1683</v>
      </c>
      <c r="Q9" s="530" t="str">
        <f t="shared" ref="Q9:Q14" si="6">B9</f>
        <v>用途</v>
      </c>
      <c r="R9" s="664" t="s">
        <v>14</v>
      </c>
      <c r="S9" s="665">
        <f t="shared" si="0"/>
        <v>100</v>
      </c>
      <c r="T9" s="664" t="s">
        <v>14</v>
      </c>
      <c r="U9" s="665">
        <f t="shared" si="1"/>
        <v>100</v>
      </c>
      <c r="V9" s="664" t="s">
        <v>14</v>
      </c>
      <c r="W9" s="665">
        <f t="shared" si="2"/>
        <v>100</v>
      </c>
      <c r="X9" s="666"/>
      <c r="Y9" s="3300" t="s">
        <v>1684</v>
      </c>
      <c r="Z9" s="50" t="str">
        <f t="shared" ref="Z9:Z14" si="7">Q9</f>
        <v>用途</v>
      </c>
      <c r="AA9" s="50">
        <f t="shared" si="3"/>
        <v>1</v>
      </c>
      <c r="AB9" s="50">
        <f t="shared" si="4"/>
        <v>1</v>
      </c>
      <c r="AC9" s="50">
        <f t="shared" si="5"/>
        <v>1</v>
      </c>
    </row>
    <row r="10" spans="1:29" s="366" customFormat="1" ht="28">
      <c r="A10" s="363"/>
      <c r="B10" s="364" t="s">
        <v>1685</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5"/>
      <c r="Q11" s="530">
        <f t="shared" si="6"/>
        <v>111</v>
      </c>
      <c r="R11" s="664" t="s">
        <v>14</v>
      </c>
      <c r="S11" s="665">
        <f t="shared" si="0"/>
        <v>100</v>
      </c>
      <c r="T11" s="664" t="s">
        <v>14</v>
      </c>
      <c r="U11" s="665">
        <f t="shared" si="1"/>
        <v>100</v>
      </c>
      <c r="V11" s="664" t="s">
        <v>14</v>
      </c>
      <c r="W11" s="665">
        <f t="shared" si="2"/>
        <v>100</v>
      </c>
      <c r="X11" s="666"/>
      <c r="Y11" s="3300"/>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2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210">
      <c r="A14" s="379" t="s">
        <v>1687</v>
      </c>
      <c r="B14" s="58" t="s">
        <v>1830</v>
      </c>
      <c r="C14" s="1819" t="str">
        <f>IF(B1="工业",估价对象房地状况!G4,估价对象房地状况!C6)</f>
        <v>咨询对象北侧临城市支路——大金北路，西侧距城市次干道——团河路直线距离约110米，周边1公里范围内有369、485、676等多条线路经过，2公里范围内无地铁，项目内部有地面停车位，综合评价交通便捷度一般</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7" t="s">
        <v>1688</v>
      </c>
      <c r="Q14" s="1263" t="str">
        <f t="shared" si="6"/>
        <v>交通便捷度</v>
      </c>
      <c r="R14" s="667" t="s">
        <v>14</v>
      </c>
      <c r="S14" s="668">
        <f t="shared" si="0"/>
        <v>100</v>
      </c>
      <c r="T14" s="667" t="s">
        <v>14</v>
      </c>
      <c r="U14" s="668">
        <f t="shared" si="1"/>
        <v>100</v>
      </c>
      <c r="V14" s="667" t="s">
        <v>14</v>
      </c>
      <c r="W14" s="668">
        <f t="shared" si="2"/>
        <v>100</v>
      </c>
      <c r="X14" s="1265"/>
      <c r="Y14" s="3427" t="s">
        <v>1688</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28"/>
      <c r="Q15" s="1263"/>
      <c r="R15" s="667"/>
      <c r="S15" s="668"/>
      <c r="T15" s="667"/>
      <c r="U15" s="668"/>
      <c r="V15" s="667"/>
      <c r="W15" s="668"/>
      <c r="X15" s="1265"/>
      <c r="Y15" s="3428"/>
      <c r="Z15" s="1264"/>
      <c r="AA15" s="1264">
        <v>1</v>
      </c>
      <c r="AB15" s="1264">
        <v>1</v>
      </c>
      <c r="AC15" s="1264">
        <v>1</v>
      </c>
    </row>
    <row r="16" spans="1:29" ht="308">
      <c r="A16" s="367"/>
      <c r="B16" s="390" t="s">
        <v>1809</v>
      </c>
      <c r="C16" s="1754" t="str">
        <f>IF(B1="工业",估价对象房地状况!G5,估价对象房地状况!C7)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28"/>
      <c r="Q17" s="1263"/>
      <c r="R17" s="667"/>
      <c r="S17" s="668"/>
      <c r="T17" s="667"/>
      <c r="U17" s="668"/>
      <c r="V17" s="667"/>
      <c r="W17" s="668"/>
      <c r="X17" s="1265"/>
      <c r="Y17" s="3428"/>
      <c r="Z17" s="1264"/>
      <c r="AA17" s="1264">
        <v>1</v>
      </c>
      <c r="AB17" s="1264">
        <v>1</v>
      </c>
      <c r="AC17" s="1264">
        <v>1</v>
      </c>
    </row>
    <row r="18" spans="1:29" ht="42">
      <c r="A18" s="367"/>
      <c r="B18" s="586" t="s">
        <v>1810</v>
      </c>
      <c r="C18" s="1754"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28"/>
      <c r="Q19" s="1263"/>
      <c r="R19" s="667"/>
      <c r="S19" s="668"/>
      <c r="T19" s="667"/>
      <c r="U19" s="668"/>
      <c r="V19" s="667"/>
      <c r="W19" s="668"/>
      <c r="X19" s="1265"/>
      <c r="Y19" s="3428"/>
      <c r="Z19" s="1264"/>
      <c r="AA19" s="1264">
        <v>1</v>
      </c>
      <c r="AB19" s="1264">
        <v>1</v>
      </c>
      <c r="AC19" s="1264">
        <v>1</v>
      </c>
    </row>
    <row r="20" spans="1:29" ht="196">
      <c r="A20" s="367"/>
      <c r="B20" s="390" t="s">
        <v>1831</v>
      </c>
      <c r="C20" s="1754" t="str">
        <f>IF(B1="工业",估价对象房地状况!G7,估价对象房地状况!C9)</f>
        <v>区域自然环境：寿保庄公园、敬贤公园、新三余公园、星光·视界公园；人文环境：中国人民公安大学（团河校区）、民政职业大学（大兴校区）；综合评价环境状况较好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28"/>
      <c r="Q21" s="1263"/>
      <c r="R21" s="667"/>
      <c r="S21" s="668"/>
      <c r="T21" s="667"/>
      <c r="U21" s="668"/>
      <c r="V21" s="667"/>
      <c r="W21" s="668"/>
      <c r="X21" s="1265"/>
      <c r="Y21" s="3428"/>
      <c r="Z21" s="1264"/>
      <c r="AA21" s="1264">
        <v>1</v>
      </c>
      <c r="AB21" s="1264">
        <v>1</v>
      </c>
      <c r="AC21" s="1264">
        <v>1</v>
      </c>
    </row>
    <row r="22" spans="1:29" ht="15.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8"/>
      <c r="Q24" s="1263">
        <f t="shared" ref="Q24:Q34"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29">
      <c r="A26" s="404" t="s">
        <v>1691</v>
      </c>
      <c r="B26" s="60" t="s">
        <v>1835</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81" t="s">
        <v>1693</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2" t="s">
        <v>1693</v>
      </c>
      <c r="Z26" s="1264" t="str">
        <f t="shared" ref="Z26:Z34" si="15">Q26</f>
        <v>公共部分装修</v>
      </c>
      <c r="AA26" s="1264">
        <f t="shared" si="3"/>
        <v>1</v>
      </c>
      <c r="AB26" s="1264">
        <f t="shared" si="4"/>
        <v>1</v>
      </c>
      <c r="AC26" s="1264">
        <f t="shared" si="5"/>
        <v>1</v>
      </c>
    </row>
    <row r="27" spans="1:29" s="408" customFormat="1" ht="15.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2"/>
      <c r="Q27" s="531" t="str">
        <f t="shared" si="11"/>
        <v>成新率</v>
      </c>
      <c r="R27" s="669" t="s">
        <v>14</v>
      </c>
      <c r="S27" s="670" t="e">
        <f t="shared" si="12"/>
        <v>#N/A</v>
      </c>
      <c r="T27" s="669" t="s">
        <v>14</v>
      </c>
      <c r="U27" s="670" t="e">
        <f t="shared" si="13"/>
        <v>#N/A</v>
      </c>
      <c r="V27" s="669" t="s">
        <v>14</v>
      </c>
      <c r="W27" s="670" t="e">
        <f t="shared" si="14"/>
        <v>#N/A</v>
      </c>
      <c r="X27" s="671"/>
      <c r="Y27" s="3432"/>
      <c r="Z27" s="672" t="str">
        <f t="shared" si="15"/>
        <v>成新率</v>
      </c>
      <c r="AA27" s="1264" t="e">
        <f t="shared" si="3"/>
        <v>#N/A</v>
      </c>
      <c r="AB27" s="1264" t="e">
        <f t="shared" si="4"/>
        <v>#N/A</v>
      </c>
      <c r="AC27" s="1264" t="e">
        <f t="shared" si="5"/>
        <v>#N/A</v>
      </c>
    </row>
    <row r="28" spans="1:29" ht="15.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2"/>
      <c r="Q28" s="1263" t="str">
        <f t="shared" si="11"/>
        <v>物业等级</v>
      </c>
      <c r="R28" s="667" t="s">
        <v>14</v>
      </c>
      <c r="S28" s="668">
        <f t="shared" si="12"/>
        <v>100</v>
      </c>
      <c r="T28" s="667" t="s">
        <v>14</v>
      </c>
      <c r="U28" s="668">
        <f t="shared" si="13"/>
        <v>100</v>
      </c>
      <c r="V28" s="667" t="s">
        <v>14</v>
      </c>
      <c r="W28" s="668">
        <f t="shared" si="14"/>
        <v>100</v>
      </c>
      <c r="X28" s="1265"/>
      <c r="Y28" s="3432"/>
      <c r="Z28" s="1264" t="str">
        <f t="shared" si="15"/>
        <v>物业等级</v>
      </c>
      <c r="AA28" s="1264">
        <f t="shared" si="3"/>
        <v>1</v>
      </c>
      <c r="AB28" s="1264">
        <f t="shared" si="4"/>
        <v>1</v>
      </c>
      <c r="AC28" s="1264">
        <f t="shared" si="5"/>
        <v>1</v>
      </c>
    </row>
    <row r="29" spans="1:29" ht="15.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2"/>
      <c r="Q29" s="1263" t="str">
        <f t="shared" si="11"/>
        <v>有无电梯</v>
      </c>
      <c r="R29" s="667" t="s">
        <v>14</v>
      </c>
      <c r="S29" s="668">
        <f t="shared" si="12"/>
        <v>100</v>
      </c>
      <c r="T29" s="667" t="s">
        <v>14</v>
      </c>
      <c r="U29" s="668">
        <f t="shared" si="13"/>
        <v>100</v>
      </c>
      <c r="V29" s="667" t="s">
        <v>14</v>
      </c>
      <c r="W29" s="668">
        <f t="shared" si="14"/>
        <v>100</v>
      </c>
      <c r="X29" s="1265"/>
      <c r="Y29" s="3432"/>
      <c r="Z29" s="1264" t="str">
        <f t="shared" si="15"/>
        <v>有无电梯</v>
      </c>
      <c r="AA29" s="1264">
        <f t="shared" si="3"/>
        <v>1</v>
      </c>
      <c r="AB29" s="1264">
        <f t="shared" si="4"/>
        <v>1</v>
      </c>
      <c r="AC29" s="1264">
        <f t="shared" si="5"/>
        <v>1</v>
      </c>
    </row>
    <row r="30" spans="1:29" ht="15.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2"/>
      <c r="Q30" s="1263" t="str">
        <f t="shared" si="11"/>
        <v>建筑面积</v>
      </c>
      <c r="R30" s="667" t="s">
        <v>14</v>
      </c>
      <c r="S30" s="668" t="e">
        <f t="shared" si="12"/>
        <v>#N/A</v>
      </c>
      <c r="T30" s="667" t="s">
        <v>14</v>
      </c>
      <c r="U30" s="668" t="e">
        <f t="shared" si="13"/>
        <v>#N/A</v>
      </c>
      <c r="V30" s="667" t="s">
        <v>14</v>
      </c>
      <c r="W30" s="668" t="e">
        <f t="shared" si="14"/>
        <v>#N/A</v>
      </c>
      <c r="X30" s="1265"/>
      <c r="Y30" s="3432"/>
      <c r="Z30" s="1264" t="str">
        <f t="shared" si="15"/>
        <v>建筑面积</v>
      </c>
      <c r="AA30" s="1264" t="e">
        <f t="shared" si="3"/>
        <v>#N/A</v>
      </c>
      <c r="AB30" s="1264" t="e">
        <f t="shared" si="4"/>
        <v>#N/A</v>
      </c>
      <c r="AC30" s="1264" t="e">
        <f t="shared" si="5"/>
        <v>#N/A</v>
      </c>
    </row>
    <row r="31" spans="1:29" s="102" customFormat="1" ht="15.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32"/>
      <c r="Q31" s="530" t="str">
        <f t="shared" si="11"/>
        <v>是否封闭</v>
      </c>
      <c r="R31" s="664" t="s">
        <v>14</v>
      </c>
      <c r="S31" s="665">
        <f t="shared" si="12"/>
        <v>100</v>
      </c>
      <c r="T31" s="664" t="s">
        <v>14</v>
      </c>
      <c r="U31" s="665">
        <f t="shared" si="13"/>
        <v>100</v>
      </c>
      <c r="V31" s="664" t="s">
        <v>14</v>
      </c>
      <c r="W31" s="665">
        <f t="shared" si="14"/>
        <v>100</v>
      </c>
      <c r="X31" s="666"/>
      <c r="Y31" s="343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2" t="s">
        <v>1693</v>
      </c>
      <c r="Q32" s="1263">
        <f t="shared" si="11"/>
        <v>111</v>
      </c>
      <c r="R32" s="667" t="s">
        <v>14</v>
      </c>
      <c r="S32" s="668">
        <f t="shared" si="12"/>
        <v>100</v>
      </c>
      <c r="T32" s="667" t="s">
        <v>14</v>
      </c>
      <c r="U32" s="668">
        <f t="shared" si="13"/>
        <v>100</v>
      </c>
      <c r="V32" s="667" t="s">
        <v>14</v>
      </c>
      <c r="W32" s="668">
        <f t="shared" si="14"/>
        <v>100</v>
      </c>
      <c r="X32" s="1265"/>
      <c r="Y32" s="3432" t="s">
        <v>1693</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2"/>
      <c r="Q33" s="1263">
        <f t="shared" si="11"/>
        <v>111</v>
      </c>
      <c r="R33" s="667" t="s">
        <v>14</v>
      </c>
      <c r="S33" s="668">
        <f t="shared" si="12"/>
        <v>100</v>
      </c>
      <c r="T33" s="667" t="s">
        <v>14</v>
      </c>
      <c r="U33" s="668">
        <f t="shared" si="13"/>
        <v>100</v>
      </c>
      <c r="V33" s="667" t="s">
        <v>14</v>
      </c>
      <c r="W33" s="668">
        <f t="shared" si="14"/>
        <v>100</v>
      </c>
      <c r="X33" s="1265"/>
      <c r="Y33" s="343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30">
      <c r="A35" s="416" t="s">
        <v>1705</v>
      </c>
      <c r="B35" s="417"/>
      <c r="C35" s="1081" t="s">
        <v>0</v>
      </c>
      <c r="D35" s="418"/>
      <c r="E35" s="419"/>
      <c r="F35" s="420"/>
      <c r="G35" s="421"/>
      <c r="H35" s="422"/>
      <c r="I35" s="419"/>
      <c r="J35" s="422"/>
      <c r="K35" s="674"/>
      <c r="L35" s="2493"/>
      <c r="M35" s="2486"/>
      <c r="N35" s="2486"/>
      <c r="O35" s="2486"/>
      <c r="P35" s="3425" t="str">
        <f>A35</f>
        <v>成交单价（元/平方米）</v>
      </c>
      <c r="Q35" s="3425"/>
      <c r="R35" s="3426">
        <f>E35</f>
        <v>0</v>
      </c>
      <c r="S35" s="3426"/>
      <c r="T35" s="3426">
        <f>G35</f>
        <v>0</v>
      </c>
      <c r="U35" s="3426"/>
      <c r="V35" s="3426">
        <f>I35</f>
        <v>0</v>
      </c>
      <c r="W35" s="3426"/>
      <c r="X35" s="385"/>
      <c r="Y35" s="673"/>
      <c r="Z35" s="385"/>
      <c r="AA35" s="385"/>
      <c r="AB35" s="385"/>
      <c r="AC35" s="385"/>
    </row>
    <row r="36" spans="1:30" ht="14.5" thickBot="1">
      <c r="A36" s="423" t="s">
        <v>1790</v>
      </c>
      <c r="B36" s="424"/>
      <c r="C36" s="1082" t="e">
        <f>R37</f>
        <v>#DIV/0!</v>
      </c>
      <c r="D36" s="2141" t="s">
        <v>2132</v>
      </c>
      <c r="E36" s="1083" t="e">
        <f>R36</f>
        <v>#DIV/0!</v>
      </c>
      <c r="F36" s="2142"/>
      <c r="G36" s="1082" t="e">
        <f>T36</f>
        <v>#DIV/0!</v>
      </c>
      <c r="H36" s="2142"/>
      <c r="I36" s="1083" t="e">
        <f>V36</f>
        <v>#DIV/0!</v>
      </c>
      <c r="J36" s="2142"/>
      <c r="K36" s="2144">
        <f>F36+H36+J36</f>
        <v>0</v>
      </c>
      <c r="L36" s="2493"/>
      <c r="M36" s="2486"/>
      <c r="N36" s="2486"/>
      <c r="O36" s="2486"/>
      <c r="P36" s="3425" t="str">
        <f>A36</f>
        <v>比较价值（元/平方米）</v>
      </c>
      <c r="Q36" s="3425"/>
      <c r="R36" s="3426" t="e">
        <f>IF(F1="售价",ROUND(PRODUCT(R35,AA7:AA34),0),ROUND(PRODUCT(R35,AA7:AA34),1))</f>
        <v>#DIV/0!</v>
      </c>
      <c r="S36" s="3426"/>
      <c r="T36" s="3426" t="e">
        <f>IF(F1="售价",ROUND(PRODUCT(T35,AB7:AB34),0),ROUND(PRODUCT(T35,AB7:AB34),1))</f>
        <v>#DIV/0!</v>
      </c>
      <c r="U36" s="3426"/>
      <c r="V36" s="3426" t="e">
        <f>IF(F1="售价",ROUND(PRODUCT(V35,AC7:AC34),0),ROUND(PRODUCT(V35,AC7:AC34),1))</f>
        <v>#DIV/0!</v>
      </c>
      <c r="W36" s="3426"/>
      <c r="X36" s="385"/>
      <c r="Y36" s="385"/>
      <c r="Z36" s="385"/>
      <c r="AA36" s="385"/>
      <c r="AB36" s="385"/>
      <c r="AC36" s="385"/>
    </row>
    <row r="37" spans="1:30" ht="14.5" thickBot="1">
      <c r="A37" s="427" t="s">
        <v>1791</v>
      </c>
      <c r="B37" s="428"/>
      <c r="C37" s="351" t="e">
        <f>R37</f>
        <v>#DIV/0!</v>
      </c>
      <c r="D37" s="351"/>
      <c r="E37" s="351"/>
      <c r="F37" s="351"/>
      <c r="G37" s="351"/>
      <c r="H37" s="351"/>
      <c r="I37" s="351"/>
      <c r="J37" s="351"/>
      <c r="K37" s="675"/>
      <c r="L37" s="2493"/>
      <c r="M37" s="2486"/>
      <c r="N37" s="2486"/>
      <c r="O37" s="2486"/>
      <c r="P37" s="3422" t="str">
        <f>A37</f>
        <v>估价对象XX用房的比较价值（楼面单价，元/平方米）</v>
      </c>
      <c r="Q37" s="3423"/>
      <c r="R37" s="3482" t="e">
        <f>IF(F1="售价",ROUND(IF(D36="简单平均",AVERAGE(R36:W36),R36*F36+T36*H36+V36*J36),0),ROUND(IF(D36="简单平均",AVERAGE(R36:V36),R36*F36+T36*H36+V36*J36),1))</f>
        <v>#DIV/0!</v>
      </c>
      <c r="S37" s="3482"/>
      <c r="T37" s="3482"/>
      <c r="U37" s="3482"/>
      <c r="V37" s="3482"/>
      <c r="W37" s="348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1795</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1676</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4.5" thickBot="1">
      <c r="A48" s="449" t="s">
        <v>1713</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c r="A49" s="455" t="s">
        <v>1678</v>
      </c>
      <c r="B49" s="444"/>
      <c r="C49" s="456" t="s">
        <v>1773</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1716</v>
      </c>
      <c r="B51" s="460" t="s">
        <v>1682</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1685</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1687</v>
      </c>
      <c r="B61" s="460" t="s">
        <v>1723</v>
      </c>
      <c r="C61" s="504" t="s">
        <v>1718</v>
      </c>
      <c r="D61" s="504" t="s">
        <v>1719</v>
      </c>
      <c r="E61" s="504" t="s">
        <v>1720</v>
      </c>
      <c r="F61" s="504" t="s">
        <v>1721</v>
      </c>
      <c r="G61" s="504" t="s">
        <v>1722</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1860</v>
      </c>
      <c r="C63" s="509" t="s">
        <v>1718</v>
      </c>
      <c r="D63" s="509" t="s">
        <v>1719</v>
      </c>
      <c r="E63" s="509" t="s">
        <v>1720</v>
      </c>
      <c r="F63" s="509" t="s">
        <v>1721</v>
      </c>
      <c r="G63" s="509" t="s">
        <v>1722</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1810</v>
      </c>
      <c r="C65" s="581" t="s">
        <v>1796</v>
      </c>
      <c r="D65" s="581" t="s">
        <v>1797</v>
      </c>
      <c r="E65" s="581" t="s">
        <v>1798</v>
      </c>
      <c r="F65" s="581" t="s">
        <v>1799</v>
      </c>
      <c r="G65" s="581" t="s">
        <v>1800</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1730</v>
      </c>
      <c r="C67" s="509" t="s">
        <v>1718</v>
      </c>
      <c r="D67" s="509" t="s">
        <v>1719</v>
      </c>
      <c r="E67" s="509" t="s">
        <v>1720</v>
      </c>
      <c r="F67" s="509" t="s">
        <v>1721</v>
      </c>
      <c r="G67" s="509" t="s">
        <v>1722</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1849</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4.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4.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1691</v>
      </c>
      <c r="B77" s="460" t="s">
        <v>1737</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1853</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1861</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1863</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1766</v>
      </c>
      <c r="B4" s="346"/>
      <c r="C4" s="3440" t="s">
        <v>1767</v>
      </c>
      <c r="D4" s="3441"/>
      <c r="E4" s="3442" t="s">
        <v>1768</v>
      </c>
      <c r="F4" s="3443"/>
      <c r="G4" s="3440" t="s">
        <v>1769</v>
      </c>
      <c r="H4" s="3441"/>
      <c r="I4" s="3440" t="s">
        <v>1770</v>
      </c>
      <c r="J4" s="3441"/>
      <c r="K4" s="537" t="s">
        <v>1771</v>
      </c>
      <c r="L4" s="2485"/>
      <c r="M4" s="2486"/>
      <c r="N4" s="2486"/>
      <c r="O4" s="2486"/>
      <c r="P4" s="3444" t="s">
        <v>1772</v>
      </c>
      <c r="Q4" s="3445"/>
      <c r="R4" s="3450" t="s">
        <v>1768</v>
      </c>
      <c r="S4" s="3451"/>
      <c r="T4" s="3450" t="s">
        <v>1769</v>
      </c>
      <c r="U4" s="3451"/>
      <c r="V4" s="3426" t="s">
        <v>1770</v>
      </c>
      <c r="W4" s="3426"/>
      <c r="X4" s="1265"/>
      <c r="Y4" s="3450" t="s">
        <v>1772</v>
      </c>
      <c r="Z4" s="3451"/>
      <c r="AA4" s="3437" t="s">
        <v>1768</v>
      </c>
      <c r="AB4" s="3438" t="s">
        <v>1769</v>
      </c>
      <c r="AC4" s="3437" t="s">
        <v>1770</v>
      </c>
    </row>
    <row r="5" spans="1:29">
      <c r="A5" s="348"/>
      <c r="B5" s="349"/>
      <c r="C5" s="3458" t="s">
        <v>1670</v>
      </c>
      <c r="D5" s="3459"/>
      <c r="E5" s="3465" t="s">
        <v>1671</v>
      </c>
      <c r="F5" s="3466"/>
      <c r="G5" s="3458" t="s">
        <v>1672</v>
      </c>
      <c r="H5" s="3459"/>
      <c r="I5" s="3458" t="s">
        <v>1673</v>
      </c>
      <c r="J5" s="3459"/>
      <c r="K5" s="537"/>
      <c r="L5" s="2485"/>
      <c r="M5" s="2486"/>
      <c r="N5" s="2486"/>
      <c r="O5" s="2486"/>
      <c r="P5" s="3446"/>
      <c r="Q5" s="3447"/>
      <c r="R5" s="3452"/>
      <c r="S5" s="3453"/>
      <c r="T5" s="3452"/>
      <c r="U5" s="3453"/>
      <c r="V5" s="3426"/>
      <c r="W5" s="3426"/>
      <c r="X5" s="1265"/>
      <c r="Y5" s="3452"/>
      <c r="Z5" s="3453"/>
      <c r="AA5" s="3438"/>
      <c r="AB5" s="3438"/>
      <c r="AC5" s="3438"/>
    </row>
    <row r="6" spans="1:29" ht="15" thickBot="1">
      <c r="A6" s="350"/>
      <c r="B6" s="351"/>
      <c r="C6" s="3456" t="s">
        <v>1674</v>
      </c>
      <c r="D6" s="3457"/>
      <c r="E6" s="3463" t="s">
        <v>1674</v>
      </c>
      <c r="F6" s="3464"/>
      <c r="G6" s="3456" t="s">
        <v>1674</v>
      </c>
      <c r="H6" s="3457"/>
      <c r="I6" s="3456" t="s">
        <v>1674</v>
      </c>
      <c r="J6" s="3457"/>
      <c r="K6" s="537" t="s">
        <v>1675</v>
      </c>
      <c r="L6" s="2485"/>
      <c r="M6" s="2486"/>
      <c r="N6" s="2486"/>
      <c r="O6" s="2486"/>
      <c r="P6" s="3448"/>
      <c r="Q6" s="3449"/>
      <c r="R6" s="3452"/>
      <c r="S6" s="3453"/>
      <c r="T6" s="3454"/>
      <c r="U6" s="3455"/>
      <c r="V6" s="3426"/>
      <c r="W6" s="3426"/>
      <c r="X6" s="1265"/>
      <c r="Y6" s="3454"/>
      <c r="Z6" s="3455"/>
      <c r="AA6" s="3439"/>
      <c r="AB6" s="3439"/>
      <c r="AC6" s="3439"/>
    </row>
    <row r="7" spans="1:29" s="102" customFormat="1" ht="14.5" thickBot="1">
      <c r="A7" s="352" t="s">
        <v>1676</v>
      </c>
      <c r="B7" s="353"/>
      <c r="C7" s="354">
        <f>'数据-取费表'!B2</f>
        <v>45957</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460" t="s">
        <v>1677</v>
      </c>
      <c r="Q7" s="3462"/>
      <c r="R7" s="664" t="s">
        <v>14</v>
      </c>
      <c r="S7" s="665">
        <f t="shared" ref="S7:S15" si="0">F7</f>
        <v>0</v>
      </c>
      <c r="T7" s="664" t="s">
        <v>14</v>
      </c>
      <c r="U7" s="665">
        <f t="shared" ref="U7:U15" si="1">H7</f>
        <v>0</v>
      </c>
      <c r="V7" s="664" t="s">
        <v>14</v>
      </c>
      <c r="W7" s="665">
        <f t="shared" ref="W7:W15" si="2">J7</f>
        <v>0</v>
      </c>
      <c r="X7" s="666"/>
      <c r="Y7" s="3460" t="s">
        <v>1677</v>
      </c>
      <c r="Z7" s="3461"/>
      <c r="AA7" s="50" t="e">
        <f>D7/F7</f>
        <v>#DIV/0!</v>
      </c>
      <c r="AB7" s="50" t="e">
        <f>D7/H7</f>
        <v>#DIV/0!</v>
      </c>
      <c r="AC7" s="50" t="e">
        <f>D7/J7</f>
        <v>#DIV/0!</v>
      </c>
    </row>
    <row r="8" spans="1:29" s="102" customFormat="1" ht="14.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60" t="s">
        <v>1680</v>
      </c>
      <c r="Q8" s="3461"/>
      <c r="R8" s="664" t="s">
        <v>14</v>
      </c>
      <c r="S8" s="665">
        <f t="shared" si="0"/>
        <v>0</v>
      </c>
      <c r="T8" s="664" t="s">
        <v>14</v>
      </c>
      <c r="U8" s="665">
        <f t="shared" si="1"/>
        <v>0</v>
      </c>
      <c r="V8" s="664" t="s">
        <v>14</v>
      </c>
      <c r="W8" s="665">
        <f t="shared" si="2"/>
        <v>0</v>
      </c>
      <c r="X8" s="666"/>
      <c r="Y8" s="3460" t="s">
        <v>1680</v>
      </c>
      <c r="Z8" s="3461"/>
      <c r="AA8" s="50" t="e">
        <f t="shared" ref="AA8:AA45" si="3">D8/F8</f>
        <v>#DIV/0!</v>
      </c>
      <c r="AB8" s="50" t="e">
        <f t="shared" ref="AB8:AB45" si="4">D8/H8</f>
        <v>#DIV/0!</v>
      </c>
      <c r="AC8" s="50" t="e">
        <f t="shared" ref="AC8:AC45" si="5">D8/J8</f>
        <v>#DIV/0!</v>
      </c>
    </row>
    <row r="9" spans="1:29" s="102" customFormat="1">
      <c r="A9" s="359" t="s">
        <v>1681</v>
      </c>
      <c r="B9" s="60" t="s">
        <v>1682</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425" t="s">
        <v>1683</v>
      </c>
      <c r="Q9" s="530" t="str">
        <f t="shared" ref="Q9:Q15" si="6">B9</f>
        <v>用途</v>
      </c>
      <c r="R9" s="664" t="s">
        <v>14</v>
      </c>
      <c r="S9" s="665">
        <f t="shared" si="0"/>
        <v>100</v>
      </c>
      <c r="T9" s="664" t="s">
        <v>14</v>
      </c>
      <c r="U9" s="665">
        <f t="shared" si="1"/>
        <v>100</v>
      </c>
      <c r="V9" s="664" t="s">
        <v>14</v>
      </c>
      <c r="W9" s="665">
        <f t="shared" si="2"/>
        <v>100</v>
      </c>
      <c r="X9" s="666"/>
      <c r="Y9" s="3300" t="s">
        <v>1684</v>
      </c>
      <c r="Z9" s="50" t="str">
        <f t="shared" ref="Z9:Z15" si="7">Q9</f>
        <v>用途</v>
      </c>
      <c r="AA9" s="50">
        <f t="shared" si="3"/>
        <v>1</v>
      </c>
      <c r="AB9" s="50">
        <f t="shared" si="4"/>
        <v>1</v>
      </c>
      <c r="AC9" s="50">
        <f t="shared" si="5"/>
        <v>1</v>
      </c>
    </row>
    <row r="10" spans="1:29" s="366" customFormat="1" ht="28">
      <c r="A10" s="363"/>
      <c r="B10" s="364" t="s">
        <v>1685</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25"/>
      <c r="Q10" s="530" t="str">
        <f t="shared" si="6"/>
        <v>土地使用年限（年）</v>
      </c>
      <c r="R10" s="664" t="s">
        <v>14</v>
      </c>
      <c r="S10" s="665" t="e">
        <f t="shared" si="0"/>
        <v>#DIV/0!</v>
      </c>
      <c r="T10" s="664" t="s">
        <v>14</v>
      </c>
      <c r="U10" s="665" t="e">
        <f t="shared" si="1"/>
        <v>#DIV/0!</v>
      </c>
      <c r="V10" s="664" t="s">
        <v>14</v>
      </c>
      <c r="W10" s="665" t="e">
        <f t="shared" si="2"/>
        <v>#DIV/0!</v>
      </c>
      <c r="X10" s="666"/>
      <c r="Y10" s="3300"/>
      <c r="Z10" s="50" t="str">
        <f t="shared" si="7"/>
        <v>土地使用年限（年）</v>
      </c>
      <c r="AA10" s="50" t="e">
        <f t="shared" si="3"/>
        <v>#DIV/0!</v>
      </c>
      <c r="AB10" s="50" t="e">
        <f t="shared" si="4"/>
        <v>#DIV/0!</v>
      </c>
      <c r="AC10" s="50" t="e">
        <f t="shared" si="5"/>
        <v>#DIV/0!</v>
      </c>
    </row>
    <row r="11" spans="1:29" ht="15.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5"/>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25"/>
      <c r="Q12" s="530" t="str">
        <f t="shared" si="6"/>
        <v>配建</v>
      </c>
      <c r="R12" s="664" t="s">
        <v>14</v>
      </c>
      <c r="S12" s="665">
        <f t="shared" si="0"/>
        <v>100</v>
      </c>
      <c r="T12" s="664" t="s">
        <v>14</v>
      </c>
      <c r="U12" s="665">
        <f t="shared" si="1"/>
        <v>100</v>
      </c>
      <c r="V12" s="664" t="s">
        <v>14</v>
      </c>
      <c r="W12" s="665">
        <f t="shared" si="2"/>
        <v>100</v>
      </c>
      <c r="X12" s="666"/>
      <c r="Y12" s="3300"/>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5"/>
      <c r="Q13" s="530">
        <f t="shared" si="6"/>
        <v>111</v>
      </c>
      <c r="R13" s="664" t="s">
        <v>14</v>
      </c>
      <c r="S13" s="665">
        <f t="shared" si="0"/>
        <v>100</v>
      </c>
      <c r="T13" s="664" t="s">
        <v>14</v>
      </c>
      <c r="U13" s="665">
        <f t="shared" si="1"/>
        <v>100</v>
      </c>
      <c r="V13" s="664" t="s">
        <v>14</v>
      </c>
      <c r="W13" s="665">
        <f t="shared" si="2"/>
        <v>100</v>
      </c>
      <c r="X13" s="666"/>
      <c r="Y13" s="3300"/>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5"/>
      <c r="Q14" s="530">
        <f t="shared" si="6"/>
        <v>111</v>
      </c>
      <c r="R14" s="664" t="s">
        <v>14</v>
      </c>
      <c r="S14" s="665">
        <f t="shared" si="0"/>
        <v>100</v>
      </c>
      <c r="T14" s="664" t="s">
        <v>14</v>
      </c>
      <c r="U14" s="665">
        <f t="shared" si="1"/>
        <v>100</v>
      </c>
      <c r="V14" s="664" t="s">
        <v>14</v>
      </c>
      <c r="W14" s="665">
        <f t="shared" si="2"/>
        <v>100</v>
      </c>
      <c r="X14" s="666"/>
      <c r="Y14" s="3300"/>
      <c r="Z14" s="50">
        <f t="shared" si="7"/>
        <v>111</v>
      </c>
      <c r="AA14" s="50">
        <f>D14/F14</f>
        <v>1</v>
      </c>
      <c r="AB14" s="50">
        <f>D14/H14</f>
        <v>1</v>
      </c>
      <c r="AC14" s="50">
        <f>D14/J14</f>
        <v>1</v>
      </c>
    </row>
    <row r="15" spans="1:29" ht="98">
      <c r="A15" s="379" t="s">
        <v>1687</v>
      </c>
      <c r="B15" s="58" t="s">
        <v>1254</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7" t="s">
        <v>1688</v>
      </c>
      <c r="Q15" s="1263" t="str">
        <f t="shared" si="6"/>
        <v>居住社区成熟度</v>
      </c>
      <c r="R15" s="667" t="s">
        <v>14</v>
      </c>
      <c r="S15" s="668">
        <f t="shared" si="0"/>
        <v>100</v>
      </c>
      <c r="T15" s="667" t="s">
        <v>14</v>
      </c>
      <c r="U15" s="668">
        <f t="shared" si="1"/>
        <v>100</v>
      </c>
      <c r="V15" s="667" t="s">
        <v>14</v>
      </c>
      <c r="W15" s="668">
        <f t="shared" si="2"/>
        <v>100</v>
      </c>
      <c r="X15" s="1265"/>
      <c r="Y15" s="3427" t="s">
        <v>1688</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28"/>
      <c r="Q16" s="1263"/>
      <c r="R16" s="667"/>
      <c r="S16" s="668"/>
      <c r="T16" s="667"/>
      <c r="U16" s="668"/>
      <c r="V16" s="667"/>
      <c r="W16" s="668"/>
      <c r="X16" s="1265"/>
      <c r="Y16" s="3428"/>
      <c r="Z16" s="1264"/>
      <c r="AA16" s="1264">
        <v>1</v>
      </c>
      <c r="AB16" s="1264">
        <v>1</v>
      </c>
      <c r="AC16" s="1264">
        <v>1</v>
      </c>
    </row>
    <row r="17" spans="1:29" ht="98">
      <c r="A17" s="367"/>
      <c r="B17" s="390" t="s">
        <v>1774</v>
      </c>
      <c r="C17" s="1806" t="str">
        <f>估价对象房地状况!C16</f>
        <v>咨询对象位于大兴区西红门镇大白楼村，周边多为大白楼村村民居住用房，人流量小，商业繁华度较差</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8"/>
      <c r="Q17" s="1263" t="str">
        <f>B17</f>
        <v>商业繁华度</v>
      </c>
      <c r="R17" s="667" t="s">
        <v>14</v>
      </c>
      <c r="S17" s="668">
        <f>F17</f>
        <v>100</v>
      </c>
      <c r="T17" s="667" t="s">
        <v>14</v>
      </c>
      <c r="U17" s="668">
        <f>H17</f>
        <v>100</v>
      </c>
      <c r="V17" s="667" t="s">
        <v>14</v>
      </c>
      <c r="W17" s="668">
        <f>J17</f>
        <v>100</v>
      </c>
      <c r="X17" s="1265"/>
      <c r="Y17" s="342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28"/>
      <c r="Q18" s="1263"/>
      <c r="R18" s="667"/>
      <c r="S18" s="668"/>
      <c r="T18" s="667"/>
      <c r="U18" s="668"/>
      <c r="V18" s="667"/>
      <c r="W18" s="668"/>
      <c r="X18" s="1265"/>
      <c r="Y18" s="3428"/>
      <c r="Z18" s="1264"/>
      <c r="AA18" s="1264">
        <v>1</v>
      </c>
      <c r="AB18" s="1264">
        <v>1</v>
      </c>
      <c r="AC18" s="1264">
        <v>1</v>
      </c>
    </row>
    <row r="19" spans="1:29" ht="98">
      <c r="A19" s="367"/>
      <c r="B19" s="390" t="s">
        <v>1808</v>
      </c>
      <c r="C19" s="1806" t="str">
        <f>估价对象房地状况!C17</f>
        <v>估价对象位于大兴区西红门大白楼村，周边办公楼项目较多，入驻率高，办公集聚程度较好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8"/>
      <c r="Q19" s="1263" t="str">
        <f>B19</f>
        <v>办公集聚程度</v>
      </c>
      <c r="R19" s="667" t="s">
        <v>14</v>
      </c>
      <c r="S19" s="668">
        <f>F19</f>
        <v>100</v>
      </c>
      <c r="T19" s="667" t="s">
        <v>14</v>
      </c>
      <c r="U19" s="668">
        <f>H19</f>
        <v>100</v>
      </c>
      <c r="V19" s="667" t="s">
        <v>14</v>
      </c>
      <c r="W19" s="668">
        <f>J19</f>
        <v>100</v>
      </c>
      <c r="X19" s="1265"/>
      <c r="Y19" s="342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28"/>
      <c r="Q20" s="1263"/>
      <c r="R20" s="667"/>
      <c r="S20" s="668"/>
      <c r="T20" s="667"/>
      <c r="U20" s="668"/>
      <c r="V20" s="667"/>
      <c r="W20" s="668"/>
      <c r="X20" s="1265"/>
      <c r="Y20" s="3428"/>
      <c r="Z20" s="1264"/>
      <c r="AA20" s="1264">
        <v>1</v>
      </c>
      <c r="AB20" s="1264">
        <v>1</v>
      </c>
      <c r="AC20" s="1264">
        <v>1</v>
      </c>
    </row>
    <row r="21" spans="1:29" ht="210">
      <c r="A21" s="367"/>
      <c r="B21" s="390" t="s">
        <v>1830</v>
      </c>
      <c r="C21" s="1754" t="str">
        <f>估价对象房地状况!C18</f>
        <v>咨询对象北侧临城市支路——大金北路，西侧距城市次干道——团河路直线距离约110米，周边1公里范围内有369、485、676等多条线路经过，2公里范围内无地铁，项目内部有地面停车位，综合评价交通便捷度一般</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8"/>
      <c r="Q21" s="1263" t="str">
        <f>B21</f>
        <v>交通便捷度</v>
      </c>
      <c r="R21" s="667" t="s">
        <v>14</v>
      </c>
      <c r="S21" s="668">
        <f>F21</f>
        <v>100</v>
      </c>
      <c r="T21" s="667" t="s">
        <v>14</v>
      </c>
      <c r="U21" s="668">
        <f>H21</f>
        <v>100</v>
      </c>
      <c r="V21" s="667" t="s">
        <v>14</v>
      </c>
      <c r="W21" s="668">
        <f>J21</f>
        <v>100</v>
      </c>
      <c r="X21" s="1265"/>
      <c r="Y21" s="342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28"/>
      <c r="Q22" s="1263"/>
      <c r="R22" s="667"/>
      <c r="S22" s="668"/>
      <c r="T22" s="667"/>
      <c r="U22" s="668"/>
      <c r="V22" s="667"/>
      <c r="W22" s="668"/>
      <c r="X22" s="1265"/>
      <c r="Y22" s="3428"/>
      <c r="Z22" s="1264"/>
      <c r="AA22" s="1264">
        <v>1</v>
      </c>
      <c r="AB22" s="1264">
        <v>1</v>
      </c>
      <c r="AC22" s="1264">
        <v>1</v>
      </c>
    </row>
    <row r="23" spans="1:29" ht="28">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8"/>
      <c r="Q23" s="1263" t="str">
        <f t="shared" ref="Q23:Q37" si="8">B23</f>
        <v>区域土地利用方向</v>
      </c>
      <c r="R23" s="667" t="s">
        <v>14</v>
      </c>
      <c r="S23" s="668">
        <f>F23</f>
        <v>100</v>
      </c>
      <c r="T23" s="667" t="s">
        <v>14</v>
      </c>
      <c r="U23" s="668">
        <f>H23</f>
        <v>100</v>
      </c>
      <c r="V23" s="667" t="s">
        <v>14</v>
      </c>
      <c r="W23" s="668">
        <f>J23</f>
        <v>100</v>
      </c>
      <c r="X23" s="1265"/>
      <c r="Y23" s="342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28"/>
      <c r="Q24" s="1263"/>
      <c r="R24" s="667"/>
      <c r="S24" s="668"/>
      <c r="T24" s="667"/>
      <c r="U24" s="668"/>
      <c r="V24" s="667"/>
      <c r="W24" s="668"/>
      <c r="X24" s="1265"/>
      <c r="Y24" s="3428"/>
      <c r="Z24" s="1264"/>
      <c r="AA24" s="1264"/>
      <c r="AB24" s="1264"/>
      <c r="AC24" s="1264"/>
    </row>
    <row r="25" spans="1:29" ht="196">
      <c r="A25" s="348"/>
      <c r="B25" s="586" t="s">
        <v>1869</v>
      </c>
      <c r="C25" s="1806" t="str">
        <f>估价对象房地状况!C20</f>
        <v>区域自然环境：寿保庄公园、敬贤公园、新三余公园、星光·视界公园；人文环境：中国人民公安大学（团河校区）、民政职业大学（大兴校区）；综合评价环境状况较好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8"/>
      <c r="Q25" s="1263" t="str">
        <f t="shared" si="8"/>
        <v>自然及人文环境状况</v>
      </c>
      <c r="R25" s="667" t="s">
        <v>14</v>
      </c>
      <c r="S25" s="668">
        <f>F25</f>
        <v>100</v>
      </c>
      <c r="T25" s="667" t="s">
        <v>14</v>
      </c>
      <c r="U25" s="668">
        <f>H25</f>
        <v>100</v>
      </c>
      <c r="V25" s="667" t="s">
        <v>14</v>
      </c>
      <c r="W25" s="668">
        <f>J25</f>
        <v>100</v>
      </c>
      <c r="X25" s="1265"/>
      <c r="Y25" s="342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28"/>
      <c r="Q26" s="1263"/>
      <c r="R26" s="667"/>
      <c r="S26" s="668"/>
      <c r="T26" s="667"/>
      <c r="U26" s="668"/>
      <c r="V26" s="667"/>
      <c r="W26" s="668"/>
      <c r="X26" s="1265"/>
      <c r="Y26" s="3428"/>
      <c r="Z26" s="1264"/>
      <c r="AA26" s="1264">
        <v>1</v>
      </c>
      <c r="AB26" s="1264">
        <v>1</v>
      </c>
      <c r="AC26" s="1264">
        <v>1</v>
      </c>
    </row>
    <row r="27" spans="1:29" s="102" customFormat="1" ht="308">
      <c r="A27" s="443"/>
      <c r="B27" s="586" t="s">
        <v>1775</v>
      </c>
      <c r="C27" s="1754"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28"/>
      <c r="Q27" s="530" t="str">
        <f t="shared" si="8"/>
        <v>公共配套设施</v>
      </c>
      <c r="R27" s="664" t="s">
        <v>14</v>
      </c>
      <c r="S27" s="665">
        <f>F27</f>
        <v>100</v>
      </c>
      <c r="T27" s="664" t="s">
        <v>14</v>
      </c>
      <c r="U27" s="665">
        <f>H27</f>
        <v>100</v>
      </c>
      <c r="V27" s="664" t="s">
        <v>14</v>
      </c>
      <c r="W27" s="665">
        <f>J27</f>
        <v>100</v>
      </c>
      <c r="X27" s="666"/>
      <c r="Y27" s="342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8"/>
      <c r="N28" s="2438"/>
      <c r="O28" s="2539"/>
      <c r="P28" s="3428"/>
      <c r="Q28" s="530"/>
      <c r="R28" s="664"/>
      <c r="S28" s="665"/>
      <c r="T28" s="664"/>
      <c r="U28" s="665"/>
      <c r="V28" s="664"/>
      <c r="W28" s="665"/>
      <c r="X28" s="666"/>
      <c r="Y28" s="3428"/>
      <c r="Z28" s="50"/>
      <c r="AA28" s="1264">
        <v>1</v>
      </c>
      <c r="AB28" s="1264">
        <v>1</v>
      </c>
      <c r="AC28" s="1264">
        <v>1</v>
      </c>
    </row>
    <row r="29" spans="1:29" s="102" customFormat="1" ht="42">
      <c r="A29" s="443"/>
      <c r="B29" s="586" t="s">
        <v>1776</v>
      </c>
      <c r="C29" s="1754"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28"/>
      <c r="Q29" s="530" t="str">
        <f t="shared" ref="Q29" si="9">B29</f>
        <v>基础设施水平</v>
      </c>
      <c r="R29" s="664" t="s">
        <v>14</v>
      </c>
      <c r="S29" s="665">
        <f>F29</f>
        <v>100</v>
      </c>
      <c r="T29" s="664" t="s">
        <v>14</v>
      </c>
      <c r="U29" s="665">
        <f>H29</f>
        <v>100</v>
      </c>
      <c r="V29" s="664" t="s">
        <v>14</v>
      </c>
      <c r="W29" s="665">
        <f>J29</f>
        <v>100</v>
      </c>
      <c r="X29" s="666"/>
      <c r="Y29" s="342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8"/>
      <c r="N30" s="2438"/>
      <c r="O30" s="2539"/>
      <c r="P30" s="3428"/>
      <c r="Q30" s="530"/>
      <c r="R30" s="664"/>
      <c r="S30" s="665"/>
      <c r="T30" s="664"/>
      <c r="U30" s="665"/>
      <c r="V30" s="664"/>
      <c r="W30" s="665"/>
      <c r="X30" s="666"/>
      <c r="Y30" s="3428"/>
      <c r="Z30" s="50"/>
      <c r="AA30" s="1264">
        <v>1</v>
      </c>
      <c r="AB30" s="1264">
        <v>1</v>
      </c>
      <c r="AC30" s="1264">
        <v>1</v>
      </c>
    </row>
    <row r="31" spans="1:29" ht="15.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8"/>
      <c r="Z31" s="1264" t="str">
        <f t="shared" ref="Z31:Z45" si="13">Q31</f>
        <v>临街状况</v>
      </c>
      <c r="AA31" s="1264">
        <f t="shared" si="3"/>
        <v>1</v>
      </c>
      <c r="AB31" s="1264">
        <f t="shared" si="4"/>
        <v>1</v>
      </c>
      <c r="AC31" s="1264">
        <f t="shared" si="5"/>
        <v>1</v>
      </c>
    </row>
    <row r="32" spans="1:29" ht="28">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8"/>
      <c r="Q32" s="1263" t="str">
        <f t="shared" si="8"/>
        <v>毗邻道路的类型与等级</v>
      </c>
      <c r="R32" s="667" t="s">
        <v>14</v>
      </c>
      <c r="S32" s="668">
        <f t="shared" si="10"/>
        <v>100</v>
      </c>
      <c r="T32" s="667" t="s">
        <v>14</v>
      </c>
      <c r="U32" s="668">
        <f t="shared" si="11"/>
        <v>100</v>
      </c>
      <c r="V32" s="667" t="s">
        <v>14</v>
      </c>
      <c r="W32" s="668">
        <f t="shared" si="12"/>
        <v>100</v>
      </c>
      <c r="X32" s="1265"/>
      <c r="Y32" s="342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28"/>
      <c r="Q33" s="1263"/>
      <c r="R33" s="667"/>
      <c r="S33" s="668"/>
      <c r="T33" s="667"/>
      <c r="U33" s="668"/>
      <c r="V33" s="667"/>
      <c r="W33" s="668"/>
      <c r="X33" s="1265"/>
      <c r="Y33" s="3428"/>
      <c r="Z33" s="1264"/>
      <c r="AA33" s="1264">
        <v>1</v>
      </c>
      <c r="AB33" s="1264">
        <v>1</v>
      </c>
      <c r="AC33" s="1264">
        <v>1</v>
      </c>
    </row>
    <row r="34" spans="1:29" ht="15.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8"/>
      <c r="Q34" s="1263" t="str">
        <f t="shared" si="8"/>
        <v>土地级别</v>
      </c>
      <c r="R34" s="667" t="s">
        <v>14</v>
      </c>
      <c r="S34" s="668">
        <f t="shared" si="10"/>
        <v>100</v>
      </c>
      <c r="T34" s="667" t="s">
        <v>14</v>
      </c>
      <c r="U34" s="668">
        <f t="shared" si="11"/>
        <v>100</v>
      </c>
      <c r="V34" s="667" t="s">
        <v>14</v>
      </c>
      <c r="W34" s="668">
        <f t="shared" si="12"/>
        <v>100</v>
      </c>
      <c r="X34" s="1265"/>
      <c r="Y34" s="342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8"/>
      <c r="Q35" s="1263">
        <f t="shared" si="8"/>
        <v>111</v>
      </c>
      <c r="R35" s="667" t="s">
        <v>14</v>
      </c>
      <c r="S35" s="668">
        <f t="shared" si="10"/>
        <v>100</v>
      </c>
      <c r="T35" s="667" t="s">
        <v>14</v>
      </c>
      <c r="U35" s="668">
        <f t="shared" si="11"/>
        <v>100</v>
      </c>
      <c r="V35" s="667" t="s">
        <v>14</v>
      </c>
      <c r="W35" s="668">
        <f t="shared" si="12"/>
        <v>100</v>
      </c>
      <c r="X35" s="1265"/>
      <c r="Y35" s="342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81" t="s">
        <v>1693</v>
      </c>
      <c r="Q36" s="1263">
        <f t="shared" si="8"/>
        <v>111</v>
      </c>
      <c r="R36" s="667" t="s">
        <v>14</v>
      </c>
      <c r="S36" s="668">
        <f t="shared" si="10"/>
        <v>100</v>
      </c>
      <c r="T36" s="667" t="s">
        <v>14</v>
      </c>
      <c r="U36" s="668">
        <f t="shared" si="11"/>
        <v>100</v>
      </c>
      <c r="V36" s="667" t="s">
        <v>14</v>
      </c>
      <c r="W36" s="668">
        <f t="shared" si="12"/>
        <v>100</v>
      </c>
      <c r="X36" s="1265"/>
      <c r="Y36" s="3432" t="s">
        <v>1693</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2"/>
      <c r="Q37" s="1263">
        <f t="shared" si="8"/>
        <v>111</v>
      </c>
      <c r="R37" s="669" t="s">
        <v>14</v>
      </c>
      <c r="S37" s="670">
        <f t="shared" si="10"/>
        <v>100</v>
      </c>
      <c r="T37" s="669" t="s">
        <v>14</v>
      </c>
      <c r="U37" s="670">
        <f t="shared" si="11"/>
        <v>100</v>
      </c>
      <c r="V37" s="669" t="s">
        <v>14</v>
      </c>
      <c r="W37" s="670">
        <f t="shared" si="12"/>
        <v>100</v>
      </c>
      <c r="X37" s="671"/>
      <c r="Y37" s="3432"/>
      <c r="Z37" s="672">
        <f t="shared" si="13"/>
        <v>111</v>
      </c>
      <c r="AA37" s="1264">
        <f t="shared" si="3"/>
        <v>1</v>
      </c>
      <c r="AB37" s="1264">
        <f t="shared" si="4"/>
        <v>1</v>
      </c>
      <c r="AC37" s="1264">
        <f t="shared" si="5"/>
        <v>1</v>
      </c>
    </row>
    <row r="38" spans="1:29" ht="15.5">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2"/>
      <c r="Q38" s="1263" t="str">
        <f>B38</f>
        <v>宗地面积</v>
      </c>
      <c r="R38" s="667" t="s">
        <v>14</v>
      </c>
      <c r="S38" s="668" t="e">
        <f t="shared" si="10"/>
        <v>#N/A</v>
      </c>
      <c r="T38" s="667" t="s">
        <v>14</v>
      </c>
      <c r="U38" s="668" t="e">
        <f t="shared" si="11"/>
        <v>#N/A</v>
      </c>
      <c r="V38" s="667" t="s">
        <v>14</v>
      </c>
      <c r="W38" s="668" t="e">
        <f t="shared" si="12"/>
        <v>#N/A</v>
      </c>
      <c r="X38" s="1265"/>
      <c r="Y38" s="3432"/>
      <c r="Z38" s="1264" t="str">
        <f t="shared" si="13"/>
        <v>宗地面积</v>
      </c>
      <c r="AA38" s="1264" t="e">
        <f t="shared" si="3"/>
        <v>#N/A</v>
      </c>
      <c r="AB38" s="1264" t="e">
        <f t="shared" si="4"/>
        <v>#N/A</v>
      </c>
      <c r="AC38" s="1264" t="e">
        <f t="shared" si="5"/>
        <v>#N/A</v>
      </c>
    </row>
    <row r="39" spans="1:29" ht="15.5">
      <c r="A39" s="409"/>
      <c r="B39" s="364" t="s">
        <v>1872</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2"/>
      <c r="Q39" s="1263" t="str">
        <f t="shared" ref="Q39:Q45" si="14">B39</f>
        <v>宗地形状</v>
      </c>
      <c r="R39" s="667" t="s">
        <v>14</v>
      </c>
      <c r="S39" s="668">
        <f t="shared" si="10"/>
        <v>100</v>
      </c>
      <c r="T39" s="667" t="s">
        <v>14</v>
      </c>
      <c r="U39" s="668">
        <f t="shared" si="11"/>
        <v>100</v>
      </c>
      <c r="V39" s="667" t="s">
        <v>14</v>
      </c>
      <c r="W39" s="668">
        <f t="shared" si="12"/>
        <v>100</v>
      </c>
      <c r="X39" s="1265"/>
      <c r="Y39" s="3432"/>
      <c r="Z39" s="1264" t="str">
        <f t="shared" si="13"/>
        <v>宗地形状</v>
      </c>
      <c r="AA39" s="1264">
        <f t="shared" si="3"/>
        <v>1</v>
      </c>
      <c r="AB39" s="1264">
        <f t="shared" si="4"/>
        <v>1</v>
      </c>
      <c r="AC39" s="1264">
        <f t="shared" si="5"/>
        <v>1</v>
      </c>
    </row>
    <row r="40" spans="1:29" ht="15.5">
      <c r="A40" s="409"/>
      <c r="B40" s="364" t="s">
        <v>1873</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2"/>
      <c r="Q40" s="1263" t="str">
        <f t="shared" si="14"/>
        <v>临街宽度及深度</v>
      </c>
      <c r="R40" s="667" t="s">
        <v>14</v>
      </c>
      <c r="S40" s="668">
        <f t="shared" si="10"/>
        <v>100</v>
      </c>
      <c r="T40" s="667" t="s">
        <v>14</v>
      </c>
      <c r="U40" s="668">
        <f t="shared" si="11"/>
        <v>100</v>
      </c>
      <c r="V40" s="667" t="s">
        <v>14</v>
      </c>
      <c r="W40" s="668">
        <f t="shared" si="12"/>
        <v>100</v>
      </c>
      <c r="X40" s="1265"/>
      <c r="Y40" s="3432"/>
      <c r="Z40" s="1264" t="str">
        <f t="shared" si="13"/>
        <v>临街宽度及深度</v>
      </c>
      <c r="AA40" s="1264">
        <f t="shared" si="3"/>
        <v>1</v>
      </c>
      <c r="AB40" s="1264">
        <f t="shared" si="4"/>
        <v>1</v>
      </c>
      <c r="AC40" s="1264">
        <f t="shared" si="5"/>
        <v>1</v>
      </c>
    </row>
    <row r="41" spans="1:29" s="102" customFormat="1" ht="15.5">
      <c r="A41" s="410"/>
      <c r="B41" s="364" t="s">
        <v>1874</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32"/>
      <c r="Q41" s="1263" t="str">
        <f t="shared" si="14"/>
        <v>宗地开发程度</v>
      </c>
      <c r="R41" s="664" t="s">
        <v>14</v>
      </c>
      <c r="S41" s="665">
        <f t="shared" si="10"/>
        <v>100</v>
      </c>
      <c r="T41" s="664" t="s">
        <v>14</v>
      </c>
      <c r="U41" s="665">
        <f t="shared" si="11"/>
        <v>100</v>
      </c>
      <c r="V41" s="664" t="s">
        <v>14</v>
      </c>
      <c r="W41" s="665">
        <f t="shared" si="12"/>
        <v>100</v>
      </c>
      <c r="X41" s="666"/>
      <c r="Y41" s="3432"/>
      <c r="Z41" s="50" t="str">
        <f t="shared" si="13"/>
        <v>宗地开发程度</v>
      </c>
      <c r="AA41" s="50">
        <f t="shared" si="3"/>
        <v>1</v>
      </c>
      <c r="AB41" s="50">
        <f t="shared" si="4"/>
        <v>1</v>
      </c>
      <c r="AC41" s="50">
        <f t="shared" si="5"/>
        <v>1</v>
      </c>
    </row>
    <row r="42" spans="1:29" ht="15.5">
      <c r="A42" s="409"/>
      <c r="B42" s="364" t="s">
        <v>1875</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2" t="s">
        <v>1693</v>
      </c>
      <c r="Q42" s="1263" t="str">
        <f t="shared" si="14"/>
        <v>工程地质条件</v>
      </c>
      <c r="R42" s="667" t="s">
        <v>14</v>
      </c>
      <c r="S42" s="668">
        <f t="shared" si="10"/>
        <v>100</v>
      </c>
      <c r="T42" s="667" t="s">
        <v>14</v>
      </c>
      <c r="U42" s="668">
        <f t="shared" si="11"/>
        <v>100</v>
      </c>
      <c r="V42" s="667" t="s">
        <v>14</v>
      </c>
      <c r="W42" s="668">
        <f t="shared" si="12"/>
        <v>100</v>
      </c>
      <c r="X42" s="1265"/>
      <c r="Y42" s="3432" t="s">
        <v>1693</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2"/>
      <c r="Q43" s="1263">
        <f t="shared" si="14"/>
        <v>111</v>
      </c>
      <c r="R43" s="667" t="s">
        <v>14</v>
      </c>
      <c r="S43" s="668">
        <f t="shared" si="10"/>
        <v>100</v>
      </c>
      <c r="T43" s="667" t="s">
        <v>14</v>
      </c>
      <c r="U43" s="668">
        <f t="shared" si="11"/>
        <v>100</v>
      </c>
      <c r="V43" s="667" t="s">
        <v>14</v>
      </c>
      <c r="W43" s="668">
        <f t="shared" si="12"/>
        <v>100</v>
      </c>
      <c r="X43" s="1265"/>
      <c r="Y43" s="343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2"/>
      <c r="Q44" s="1263">
        <f t="shared" si="14"/>
        <v>111</v>
      </c>
      <c r="R44" s="667" t="s">
        <v>14</v>
      </c>
      <c r="S44" s="668">
        <f t="shared" si="10"/>
        <v>100</v>
      </c>
      <c r="T44" s="667" t="s">
        <v>14</v>
      </c>
      <c r="U44" s="668">
        <f t="shared" si="11"/>
        <v>100</v>
      </c>
      <c r="V44" s="667" t="s">
        <v>14</v>
      </c>
      <c r="W44" s="668">
        <f t="shared" si="12"/>
        <v>100</v>
      </c>
      <c r="X44" s="1265"/>
      <c r="Y44" s="343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2"/>
      <c r="Q45" s="1263">
        <f t="shared" si="14"/>
        <v>111</v>
      </c>
      <c r="R45" s="669" t="s">
        <v>14</v>
      </c>
      <c r="S45" s="670">
        <f t="shared" si="10"/>
        <v>100</v>
      </c>
      <c r="T45" s="669" t="s">
        <v>14</v>
      </c>
      <c r="U45" s="670">
        <f t="shared" si="11"/>
        <v>100</v>
      </c>
      <c r="V45" s="669" t="s">
        <v>14</v>
      </c>
      <c r="W45" s="670">
        <f t="shared" si="12"/>
        <v>100</v>
      </c>
      <c r="X45" s="671"/>
      <c r="Y45" s="3432"/>
      <c r="Z45" s="672">
        <f t="shared" si="13"/>
        <v>111</v>
      </c>
      <c r="AA45" s="1264">
        <f t="shared" si="3"/>
        <v>1</v>
      </c>
      <c r="AB45" s="1264">
        <f t="shared" si="4"/>
        <v>1</v>
      </c>
      <c r="AC45" s="1264">
        <f t="shared" si="5"/>
        <v>1</v>
      </c>
    </row>
    <row r="46" spans="1:29">
      <c r="A46" s="416" t="s">
        <v>1841</v>
      </c>
      <c r="B46" s="1830" t="s">
        <v>1876</v>
      </c>
      <c r="C46" s="602" t="s">
        <v>0</v>
      </c>
      <c r="D46" s="418"/>
      <c r="E46" s="419"/>
      <c r="F46" s="420"/>
      <c r="G46" s="421"/>
      <c r="H46" s="422"/>
      <c r="I46" s="419"/>
      <c r="J46" s="422"/>
      <c r="K46" s="674"/>
      <c r="L46" s="2493"/>
      <c r="M46" s="2486"/>
      <c r="N46" s="2486"/>
      <c r="O46" s="2486"/>
      <c r="P46" s="3425" t="str">
        <f>A46</f>
        <v>成交单价</v>
      </c>
      <c r="Q46" s="3425"/>
      <c r="R46" s="3426">
        <f>E46</f>
        <v>0</v>
      </c>
      <c r="S46" s="3426"/>
      <c r="T46" s="3426">
        <f>G46</f>
        <v>0</v>
      </c>
      <c r="U46" s="3426"/>
      <c r="V46" s="3426">
        <f>I46</f>
        <v>0</v>
      </c>
      <c r="W46" s="3426"/>
      <c r="X46" s="385"/>
      <c r="Y46" s="673"/>
      <c r="Z46" s="385"/>
      <c r="AA46" s="385"/>
      <c r="AB46" s="385"/>
      <c r="AC46" s="385"/>
    </row>
    <row r="47" spans="1:29" ht="14.5" thickBot="1">
      <c r="A47" s="423" t="s">
        <v>1790</v>
      </c>
      <c r="B47" s="603"/>
      <c r="C47" s="426" t="e">
        <f>R48</f>
        <v>#DIV/0!</v>
      </c>
      <c r="D47" s="2141" t="s">
        <v>2132</v>
      </c>
      <c r="E47" s="426" t="e">
        <f>R47</f>
        <v>#DIV/0!</v>
      </c>
      <c r="F47" s="2142"/>
      <c r="G47" s="425" t="e">
        <f>T47</f>
        <v>#DIV/0!</v>
      </c>
      <c r="H47" s="2142"/>
      <c r="I47" s="426" t="e">
        <f>V47</f>
        <v>#DIV/0!</v>
      </c>
      <c r="J47" s="2142"/>
      <c r="K47" s="2144">
        <f>F47+H47+J47</f>
        <v>0</v>
      </c>
      <c r="L47" s="2493"/>
      <c r="M47" s="2486"/>
      <c r="N47" s="2486"/>
      <c r="O47" s="2486"/>
      <c r="P47" s="3425" t="str">
        <f>A47</f>
        <v>比较价值（元/平方米）</v>
      </c>
      <c r="Q47" s="3425"/>
      <c r="R47" s="3483" t="e">
        <f>ROUND(PRODUCT(R46,AA7:AA45),0)</f>
        <v>#DIV/0!</v>
      </c>
      <c r="S47" s="3483"/>
      <c r="T47" s="3483" t="e">
        <f>ROUND(PRODUCT(T46,AB7:AB45),0)</f>
        <v>#DIV/0!</v>
      </c>
      <c r="U47" s="3483"/>
      <c r="V47" s="3483" t="e">
        <f>ROUND(PRODUCT(V46,AC7:AC45),0)</f>
        <v>#DIV/0!</v>
      </c>
      <c r="W47" s="3483"/>
      <c r="X47" s="385"/>
      <c r="Y47" s="385"/>
      <c r="Z47" s="385"/>
      <c r="AA47" s="385"/>
      <c r="AB47" s="385"/>
      <c r="AC47" s="385"/>
    </row>
    <row r="48" spans="1:29" ht="14.5" thickBot="1">
      <c r="A48" s="427" t="s">
        <v>1877</v>
      </c>
      <c r="B48" s="428"/>
      <c r="C48" s="429" t="e">
        <f>R48</f>
        <v>#DIV/0!</v>
      </c>
      <c r="D48" s="429"/>
      <c r="E48" s="429"/>
      <c r="F48" s="429"/>
      <c r="G48" s="429"/>
      <c r="H48" s="429"/>
      <c r="I48" s="429"/>
      <c r="J48" s="429"/>
      <c r="K48" s="675"/>
      <c r="L48" s="2493"/>
      <c r="M48" s="2486"/>
      <c r="N48" s="2486"/>
      <c r="O48" s="2486"/>
      <c r="P48" s="3422" t="str">
        <f>A48</f>
        <v>估价对象XX用房的比较价值（楼面单价，元/平方米）</v>
      </c>
      <c r="Q48" s="3423"/>
      <c r="R48" s="3484" t="e">
        <f>ROUND(IF(D47="简单平均",AVERAGE(R47:W47),R47*F47+T47*H47+V47*J47),0)</f>
        <v>#DIV/0!</v>
      </c>
      <c r="S48" s="3484"/>
      <c r="T48" s="3484"/>
      <c r="U48" s="3484"/>
      <c r="V48" s="3484"/>
      <c r="W48" s="348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1878</v>
      </c>
      <c r="B55" s="605" t="s">
        <v>1879</v>
      </c>
      <c r="C55" s="1831" t="s">
        <v>1880</v>
      </c>
      <c r="D55" s="1832" t="s">
        <v>1881</v>
      </c>
      <c r="E55" s="606" t="s">
        <v>1882</v>
      </c>
      <c r="F55" s="837" t="s">
        <v>1883</v>
      </c>
      <c r="G55" s="3440" t="s">
        <v>1884</v>
      </c>
      <c r="H55" s="3485"/>
      <c r="I55" s="127" t="s">
        <v>1885</v>
      </c>
      <c r="J55" s="1833">
        <f>项目基本情况!F35</f>
        <v>0</v>
      </c>
      <c r="K55" s="1834" t="s">
        <v>1886</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1887</v>
      </c>
      <c r="B56" s="609" t="e">
        <f>C48</f>
        <v>#DIV/0!</v>
      </c>
      <c r="C56" s="610">
        <v>1</v>
      </c>
      <c r="D56" s="890">
        <v>1</v>
      </c>
      <c r="E56" s="610">
        <f>'数据-汇总表'!E8+'数据-汇总表'!E9</f>
        <v>2343.7800000000002</v>
      </c>
      <c r="F56" s="833" t="e">
        <f t="shared" ref="F56:F64" si="15">ROUND(B56*E56/10000,0)</f>
        <v>#DIV/0!</v>
      </c>
      <c r="G56" s="3436"/>
      <c r="H56" s="342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1888</v>
      </c>
      <c r="B57" s="210" t="e">
        <f>ROUND($C$48*C57*D57,0)</f>
        <v>#DIV/0!</v>
      </c>
      <c r="C57" s="163">
        <f t="shared" ref="C57:C64" si="16">IF($C$55="北京市系数",I57,J57)</f>
        <v>0</v>
      </c>
      <c r="D57" s="891">
        <v>0.25</v>
      </c>
      <c r="E57" s="614"/>
      <c r="F57" s="833" t="e">
        <f t="shared" si="15"/>
        <v>#DIV/0!</v>
      </c>
      <c r="G57" s="2749" t="s">
        <v>1889</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1890</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1891</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1892</v>
      </c>
      <c r="B60" s="210" t="e">
        <f t="shared" si="17"/>
        <v>#DIV/0!</v>
      </c>
      <c r="C60" s="163">
        <f t="shared" si="16"/>
        <v>0</v>
      </c>
      <c r="D60" s="891">
        <v>0.25</v>
      </c>
      <c r="E60" s="209">
        <f>'数据-汇总表'!E11</f>
        <v>0</v>
      </c>
      <c r="F60" s="833" t="e">
        <f t="shared" si="15"/>
        <v>#DIV/0!</v>
      </c>
      <c r="G60" s="1835" t="s">
        <v>1893</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1894</v>
      </c>
      <c r="B61" s="210" t="e">
        <f t="shared" si="17"/>
        <v>#DIV/0!</v>
      </c>
      <c r="C61" s="163">
        <f t="shared" si="16"/>
        <v>0</v>
      </c>
      <c r="D61" s="891">
        <v>0.25</v>
      </c>
      <c r="E61" s="209">
        <f>'数据-汇总表'!E12</f>
        <v>0</v>
      </c>
      <c r="F61" s="833" t="e">
        <f t="shared" si="15"/>
        <v>#DIV/0!</v>
      </c>
      <c r="G61" s="839" t="s">
        <v>1895</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1896</v>
      </c>
      <c r="B62" s="210" t="e">
        <f t="shared" si="17"/>
        <v>#DIV/0!</v>
      </c>
      <c r="C62" s="163">
        <f t="shared" si="16"/>
        <v>0</v>
      </c>
      <c r="D62" s="891">
        <v>0.25</v>
      </c>
      <c r="E62" s="209">
        <f>'数据-汇总表'!E13</f>
        <v>0</v>
      </c>
      <c r="F62" s="833" t="e">
        <f t="shared" si="15"/>
        <v>#DIV/0!</v>
      </c>
      <c r="G62" s="839" t="s">
        <v>1897</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1898</v>
      </c>
      <c r="B63" s="210" t="e">
        <f t="shared" si="17"/>
        <v>#DIV/0!</v>
      </c>
      <c r="C63" s="163">
        <f t="shared" si="16"/>
        <v>0</v>
      </c>
      <c r="D63" s="891">
        <v>0.25</v>
      </c>
      <c r="E63" s="209">
        <f>'数据-汇总表'!E14</f>
        <v>0</v>
      </c>
      <c r="F63" s="833" t="e">
        <f t="shared" si="15"/>
        <v>#DIV/0!</v>
      </c>
      <c r="G63" s="1835" t="s">
        <v>1889</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1899</v>
      </c>
      <c r="B64" s="210" t="e">
        <f t="shared" si="17"/>
        <v>#DIV/0!</v>
      </c>
      <c r="C64" s="163">
        <f t="shared" si="16"/>
        <v>0</v>
      </c>
      <c r="D64" s="891">
        <v>0.25</v>
      </c>
      <c r="E64" s="209">
        <f>'数据-汇总表'!E15</f>
        <v>0</v>
      </c>
      <c r="F64" s="833" t="e">
        <f t="shared" si="15"/>
        <v>#DIV/0!</v>
      </c>
      <c r="G64" s="1836" t="s">
        <v>1893</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1900</v>
      </c>
      <c r="B65" s="616" t="s">
        <v>22</v>
      </c>
      <c r="C65" s="616" t="s">
        <v>23</v>
      </c>
      <c r="D65" s="616" t="s">
        <v>392</v>
      </c>
      <c r="E65" s="616">
        <f>IF(B46="楼面地价",SUM(E56:E64),'数据-汇总表'!D3)</f>
        <v>2343.7800000000002</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1795</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1901</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4.5" thickBot="1">
      <c r="A71" s="449" t="s">
        <v>1713</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c r="A72" s="455" t="s">
        <v>1678</v>
      </c>
      <c r="B72" s="444"/>
      <c r="C72" s="456" t="s">
        <v>1773</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1716</v>
      </c>
      <c r="B74" s="460" t="s">
        <v>1682</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1685</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1687</v>
      </c>
      <c r="B87" s="460" t="s">
        <v>1717</v>
      </c>
      <c r="C87" s="504" t="s">
        <v>1718</v>
      </c>
      <c r="D87" s="504" t="s">
        <v>1719</v>
      </c>
      <c r="E87" s="504" t="s">
        <v>1720</v>
      </c>
      <c r="F87" s="504" t="s">
        <v>1721</v>
      </c>
      <c r="G87" s="504" t="s">
        <v>1722</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1903</v>
      </c>
      <c r="C89" s="509" t="s">
        <v>1718</v>
      </c>
      <c r="D89" s="509" t="s">
        <v>1719</v>
      </c>
      <c r="E89" s="509" t="s">
        <v>1720</v>
      </c>
      <c r="F89" s="509" t="s">
        <v>1721</v>
      </c>
      <c r="G89" s="509" t="s">
        <v>1722</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1818</v>
      </c>
      <c r="C91" s="509" t="s">
        <v>1718</v>
      </c>
      <c r="D91" s="509" t="s">
        <v>1719</v>
      </c>
      <c r="E91" s="509" t="s">
        <v>1720</v>
      </c>
      <c r="F91" s="509" t="s">
        <v>1721</v>
      </c>
      <c r="G91" s="509" t="s">
        <v>1722</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1723</v>
      </c>
      <c r="C93" s="509" t="s">
        <v>1718</v>
      </c>
      <c r="D93" s="509" t="s">
        <v>1719</v>
      </c>
      <c r="E93" s="509" t="s">
        <v>1720</v>
      </c>
      <c r="F93" s="509" t="s">
        <v>1721</v>
      </c>
      <c r="G93" s="509" t="s">
        <v>1722</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1904</v>
      </c>
      <c r="C95" s="509" t="s">
        <v>1718</v>
      </c>
      <c r="D95" s="509" t="s">
        <v>1719</v>
      </c>
      <c r="E95" s="509" t="s">
        <v>1720</v>
      </c>
      <c r="F95" s="509" t="s">
        <v>1721</v>
      </c>
      <c r="G95" s="509" t="s">
        <v>1722</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8.5" thickTop="1">
      <c r="A97" s="370"/>
      <c r="B97" s="469" t="s">
        <v>1905</v>
      </c>
      <c r="C97" s="504" t="s">
        <v>1718</v>
      </c>
      <c r="D97" s="504" t="s">
        <v>1719</v>
      </c>
      <c r="E97" s="504" t="s">
        <v>1720</v>
      </c>
      <c r="F97" s="504" t="s">
        <v>1721</v>
      </c>
      <c r="G97" s="504" t="s">
        <v>1722</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4.5" thickTop="1">
      <c r="A99" s="484"/>
      <c r="B99" s="469" t="s">
        <v>1775</v>
      </c>
      <c r="C99" s="504" t="s">
        <v>1718</v>
      </c>
      <c r="D99" s="504" t="s">
        <v>1719</v>
      </c>
      <c r="E99" s="504" t="s">
        <v>1720</v>
      </c>
      <c r="F99" s="504" t="s">
        <v>1721</v>
      </c>
      <c r="G99" s="504" t="s">
        <v>1722</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1776</v>
      </c>
      <c r="C101" s="581" t="s">
        <v>1796</v>
      </c>
      <c r="D101" s="581" t="s">
        <v>1797</v>
      </c>
      <c r="E101" s="581" t="s">
        <v>1798</v>
      </c>
      <c r="F101" s="581" t="s">
        <v>1799</v>
      </c>
      <c r="G101" s="581" t="s">
        <v>1800</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1906</v>
      </c>
      <c r="D103" s="470" t="s">
        <v>1907</v>
      </c>
      <c r="E103" s="470" t="s">
        <v>1908</v>
      </c>
      <c r="F103" s="470" t="s">
        <v>1909</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1812</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1870</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1911</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1912</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1913</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1914</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1766</v>
      </c>
      <c r="B4" s="346"/>
      <c r="C4" s="3440" t="s">
        <v>1767</v>
      </c>
      <c r="D4" s="3441"/>
      <c r="E4" s="3442" t="s">
        <v>1768</v>
      </c>
      <c r="F4" s="3443"/>
      <c r="G4" s="3440" t="s">
        <v>1769</v>
      </c>
      <c r="H4" s="3441"/>
      <c r="I4" s="3440" t="s">
        <v>1770</v>
      </c>
      <c r="J4" s="3441"/>
      <c r="K4" s="537" t="s">
        <v>1771</v>
      </c>
      <c r="L4" s="2485"/>
      <c r="M4" s="2486"/>
      <c r="N4" s="2486"/>
      <c r="O4" s="2486"/>
      <c r="P4" s="3444" t="s">
        <v>1772</v>
      </c>
      <c r="Q4" s="3445"/>
      <c r="R4" s="3450" t="s">
        <v>1768</v>
      </c>
      <c r="S4" s="3451"/>
      <c r="T4" s="3450" t="s">
        <v>1769</v>
      </c>
      <c r="U4" s="3451"/>
      <c r="V4" s="3426" t="s">
        <v>1770</v>
      </c>
      <c r="W4" s="3426"/>
      <c r="X4" s="1265"/>
      <c r="Y4" s="3450" t="s">
        <v>1772</v>
      </c>
      <c r="Z4" s="3451"/>
      <c r="AA4" s="3437" t="s">
        <v>1768</v>
      </c>
      <c r="AB4" s="3438" t="s">
        <v>1769</v>
      </c>
      <c r="AC4" s="3437" t="s">
        <v>1770</v>
      </c>
    </row>
    <row r="5" spans="1:29">
      <c r="A5" s="348"/>
      <c r="B5" s="349"/>
      <c r="C5" s="3458" t="s">
        <v>1670</v>
      </c>
      <c r="D5" s="3459"/>
      <c r="E5" s="3465" t="s">
        <v>1671</v>
      </c>
      <c r="F5" s="3466"/>
      <c r="G5" s="3458" t="s">
        <v>1672</v>
      </c>
      <c r="H5" s="3459"/>
      <c r="I5" s="3458" t="s">
        <v>1673</v>
      </c>
      <c r="J5" s="3459"/>
      <c r="K5" s="537"/>
      <c r="L5" s="2485"/>
      <c r="M5" s="2486"/>
      <c r="N5" s="2486"/>
      <c r="O5" s="2486"/>
      <c r="P5" s="3446"/>
      <c r="Q5" s="3447"/>
      <c r="R5" s="3452"/>
      <c r="S5" s="3453"/>
      <c r="T5" s="3452"/>
      <c r="U5" s="3453"/>
      <c r="V5" s="3426"/>
      <c r="W5" s="3426"/>
      <c r="X5" s="1265"/>
      <c r="Y5" s="3452"/>
      <c r="Z5" s="3453"/>
      <c r="AA5" s="3438"/>
      <c r="AB5" s="3438"/>
      <c r="AC5" s="3438"/>
    </row>
    <row r="6" spans="1:29" ht="15" thickBot="1">
      <c r="A6" s="350"/>
      <c r="B6" s="351"/>
      <c r="C6" s="3486" t="s">
        <v>1916</v>
      </c>
      <c r="D6" s="3487"/>
      <c r="E6" s="3488" t="s">
        <v>1916</v>
      </c>
      <c r="F6" s="3489"/>
      <c r="G6" s="3486" t="s">
        <v>1916</v>
      </c>
      <c r="H6" s="3487"/>
      <c r="I6" s="3486" t="s">
        <v>1916</v>
      </c>
      <c r="J6" s="3487"/>
      <c r="K6" s="537" t="s">
        <v>1675</v>
      </c>
      <c r="L6" s="2485"/>
      <c r="M6" s="2486"/>
      <c r="N6" s="2486"/>
      <c r="O6" s="2486"/>
      <c r="P6" s="3448"/>
      <c r="Q6" s="3449"/>
      <c r="R6" s="3452"/>
      <c r="S6" s="3453"/>
      <c r="T6" s="3454"/>
      <c r="U6" s="3455"/>
      <c r="V6" s="3426"/>
      <c r="W6" s="3426"/>
      <c r="X6" s="1265"/>
      <c r="Y6" s="3454"/>
      <c r="Z6" s="3455"/>
      <c r="AA6" s="3439"/>
      <c r="AB6" s="3439"/>
      <c r="AC6" s="3439"/>
    </row>
    <row r="7" spans="1:29" s="102" customFormat="1" ht="14.5" thickBot="1">
      <c r="A7" s="352" t="s">
        <v>1676</v>
      </c>
      <c r="B7" s="353"/>
      <c r="C7" s="354">
        <f>'数据-取费表'!B2</f>
        <v>45957</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460" t="s">
        <v>1677</v>
      </c>
      <c r="Q7" s="3462"/>
      <c r="R7" s="664" t="s">
        <v>14</v>
      </c>
      <c r="S7" s="665">
        <f t="shared" ref="S7:S15" si="0">F7</f>
        <v>0</v>
      </c>
      <c r="T7" s="664" t="s">
        <v>14</v>
      </c>
      <c r="U7" s="665">
        <f t="shared" ref="U7:U15" si="1">H7</f>
        <v>0</v>
      </c>
      <c r="V7" s="664" t="s">
        <v>14</v>
      </c>
      <c r="W7" s="665">
        <f t="shared" ref="W7:W15" si="2">J7</f>
        <v>0</v>
      </c>
      <c r="X7" s="666"/>
      <c r="Y7" s="3460" t="s">
        <v>1677</v>
      </c>
      <c r="Z7" s="3461"/>
      <c r="AA7" s="50" t="e">
        <f>D7/F7</f>
        <v>#DIV/0!</v>
      </c>
      <c r="AB7" s="50" t="e">
        <f>D7/H7</f>
        <v>#DIV/0!</v>
      </c>
      <c r="AC7" s="50" t="e">
        <f>D7/J7</f>
        <v>#DIV/0!</v>
      </c>
    </row>
    <row r="8" spans="1:29" s="102" customFormat="1" ht="14.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60" t="s">
        <v>1680</v>
      </c>
      <c r="Q8" s="3461"/>
      <c r="R8" s="664" t="s">
        <v>14</v>
      </c>
      <c r="S8" s="665">
        <f t="shared" si="0"/>
        <v>0</v>
      </c>
      <c r="T8" s="664" t="s">
        <v>14</v>
      </c>
      <c r="U8" s="665">
        <f t="shared" si="1"/>
        <v>0</v>
      </c>
      <c r="V8" s="664" t="s">
        <v>14</v>
      </c>
      <c r="W8" s="665">
        <f t="shared" si="2"/>
        <v>0</v>
      </c>
      <c r="X8" s="666"/>
      <c r="Y8" s="3460" t="s">
        <v>1680</v>
      </c>
      <c r="Z8" s="3461"/>
      <c r="AA8" s="50" t="e">
        <f t="shared" ref="AA8:AA40" si="3">D8/F8</f>
        <v>#DIV/0!</v>
      </c>
      <c r="AB8" s="50" t="e">
        <f t="shared" ref="AB8:AB40" si="4">D8/H8</f>
        <v>#DIV/0!</v>
      </c>
      <c r="AC8" s="50" t="e">
        <f t="shared" ref="AC8:AC40" si="5">D8/J8</f>
        <v>#DIV/0!</v>
      </c>
    </row>
    <row r="9" spans="1:29" s="102" customFormat="1">
      <c r="A9" s="359" t="s">
        <v>1681</v>
      </c>
      <c r="B9" s="60" t="s">
        <v>1682</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425" t="s">
        <v>1683</v>
      </c>
      <c r="Q9" s="530" t="str">
        <f t="shared" ref="Q9:Q15" si="6">B9</f>
        <v>用途</v>
      </c>
      <c r="R9" s="664" t="s">
        <v>14</v>
      </c>
      <c r="S9" s="665">
        <f t="shared" si="0"/>
        <v>100</v>
      </c>
      <c r="T9" s="664" t="s">
        <v>14</v>
      </c>
      <c r="U9" s="665">
        <f t="shared" si="1"/>
        <v>100</v>
      </c>
      <c r="V9" s="664" t="s">
        <v>14</v>
      </c>
      <c r="W9" s="665">
        <f t="shared" si="2"/>
        <v>100</v>
      </c>
      <c r="X9" s="666"/>
      <c r="Y9" s="3300" t="s">
        <v>1684</v>
      </c>
      <c r="Z9" s="50" t="str">
        <f t="shared" ref="Z9:Z15" si="7">Q9</f>
        <v>用途</v>
      </c>
      <c r="AA9" s="50">
        <f t="shared" si="3"/>
        <v>1</v>
      </c>
      <c r="AB9" s="50">
        <f t="shared" si="4"/>
        <v>1</v>
      </c>
      <c r="AC9" s="50">
        <f t="shared" si="5"/>
        <v>1</v>
      </c>
    </row>
    <row r="10" spans="1:29" s="366" customFormat="1" ht="28">
      <c r="A10" s="363"/>
      <c r="B10" s="364" t="s">
        <v>1685</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25"/>
      <c r="Q10" s="530" t="str">
        <f t="shared" si="6"/>
        <v>土地使用年限（年）</v>
      </c>
      <c r="R10" s="664" t="s">
        <v>14</v>
      </c>
      <c r="S10" s="665" t="e">
        <f t="shared" si="0"/>
        <v>#DIV/0!</v>
      </c>
      <c r="T10" s="664" t="s">
        <v>14</v>
      </c>
      <c r="U10" s="665" t="e">
        <f t="shared" si="1"/>
        <v>#DIV/0!</v>
      </c>
      <c r="V10" s="664" t="s">
        <v>14</v>
      </c>
      <c r="W10" s="665" t="e">
        <f t="shared" si="2"/>
        <v>#DIV/0!</v>
      </c>
      <c r="X10" s="666"/>
      <c r="Y10" s="3300"/>
      <c r="Z10" s="50" t="str">
        <f t="shared" si="7"/>
        <v>土地使用年限（年）</v>
      </c>
      <c r="AA10" s="50" t="e">
        <f t="shared" si="3"/>
        <v>#DIV/0!</v>
      </c>
      <c r="AB10" s="50" t="e">
        <f t="shared" si="4"/>
        <v>#DIV/0!</v>
      </c>
      <c r="AC10" s="50" t="e">
        <f t="shared" si="5"/>
        <v>#DIV/0!</v>
      </c>
    </row>
    <row r="11" spans="1:29" ht="15.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5"/>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2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5"/>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70">
      <c r="A15" s="379" t="s">
        <v>1687</v>
      </c>
      <c r="B15" s="554" t="s">
        <v>1917</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7" t="s">
        <v>1688</v>
      </c>
      <c r="Q15" s="1263" t="str">
        <f t="shared" si="6"/>
        <v>产业集聚程度</v>
      </c>
      <c r="R15" s="667" t="s">
        <v>14</v>
      </c>
      <c r="S15" s="668">
        <f t="shared" si="0"/>
        <v>100</v>
      </c>
      <c r="T15" s="667" t="s">
        <v>14</v>
      </c>
      <c r="U15" s="668">
        <f t="shared" si="1"/>
        <v>100</v>
      </c>
      <c r="V15" s="667" t="s">
        <v>14</v>
      </c>
      <c r="W15" s="668">
        <f t="shared" si="2"/>
        <v>100</v>
      </c>
      <c r="X15" s="1265"/>
      <c r="Y15" s="3427" t="s">
        <v>1688</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28"/>
      <c r="Q16" s="1263"/>
      <c r="R16" s="667"/>
      <c r="S16" s="668"/>
      <c r="T16" s="667"/>
      <c r="U16" s="668"/>
      <c r="V16" s="667"/>
      <c r="W16" s="668"/>
      <c r="X16" s="1265"/>
      <c r="Y16" s="3428"/>
      <c r="Z16" s="1264"/>
      <c r="AA16" s="1264">
        <v>1</v>
      </c>
      <c r="AB16" s="1264">
        <v>1</v>
      </c>
      <c r="AC16" s="1264">
        <v>1</v>
      </c>
    </row>
    <row r="17" spans="1:29" ht="98">
      <c r="A17" s="367"/>
      <c r="B17" s="556" t="s">
        <v>1830</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28"/>
      <c r="Q18" s="1263"/>
      <c r="R18" s="667"/>
      <c r="S18" s="668"/>
      <c r="T18" s="667"/>
      <c r="U18" s="668"/>
      <c r="V18" s="667"/>
      <c r="W18" s="668"/>
      <c r="X18" s="1265"/>
      <c r="Y18" s="3428"/>
      <c r="Z18" s="1264"/>
      <c r="AA18" s="1264">
        <v>1</v>
      </c>
      <c r="AB18" s="1264">
        <v>1</v>
      </c>
      <c r="AC18" s="1264">
        <v>1</v>
      </c>
    </row>
    <row r="19" spans="1:29" ht="28">
      <c r="A19" s="367"/>
      <c r="B19" s="556" t="s">
        <v>1868</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8"/>
      <c r="Q19" s="1263" t="str">
        <f t="shared" ref="Q19:Q33" si="8">B19</f>
        <v>区域土地利用方向</v>
      </c>
      <c r="R19" s="667" t="s">
        <v>14</v>
      </c>
      <c r="S19" s="668">
        <f>F19</f>
        <v>100</v>
      </c>
      <c r="T19" s="667" t="s">
        <v>14</v>
      </c>
      <c r="U19" s="668">
        <f>H19</f>
        <v>100</v>
      </c>
      <c r="V19" s="667" t="s">
        <v>14</v>
      </c>
      <c r="W19" s="668">
        <f>J19</f>
        <v>100</v>
      </c>
      <c r="X19" s="1265"/>
      <c r="Y19" s="342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28"/>
      <c r="Q20" s="1263"/>
      <c r="R20" s="667"/>
      <c r="S20" s="668"/>
      <c r="T20" s="667"/>
      <c r="U20" s="668"/>
      <c r="V20" s="667"/>
      <c r="W20" s="668"/>
      <c r="X20" s="1265"/>
      <c r="Y20" s="3428"/>
      <c r="Z20" s="1264"/>
      <c r="AA20" s="1264"/>
      <c r="AB20" s="1264"/>
      <c r="AC20" s="1264"/>
    </row>
    <row r="21" spans="1:29" ht="84">
      <c r="A21" s="348"/>
      <c r="B21" s="556" t="s">
        <v>1918</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8"/>
      <c r="Q21" s="1263" t="str">
        <f t="shared" si="8"/>
        <v>环境状况</v>
      </c>
      <c r="R21" s="667" t="s">
        <v>14</v>
      </c>
      <c r="S21" s="668">
        <f>F21</f>
        <v>100</v>
      </c>
      <c r="T21" s="667" t="s">
        <v>14</v>
      </c>
      <c r="U21" s="668">
        <f>H21</f>
        <v>100</v>
      </c>
      <c r="V21" s="667" t="s">
        <v>14</v>
      </c>
      <c r="W21" s="668">
        <f>J21</f>
        <v>100</v>
      </c>
      <c r="X21" s="1265"/>
      <c r="Y21" s="342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28"/>
      <c r="Q22" s="1263"/>
      <c r="R22" s="667"/>
      <c r="S22" s="668"/>
      <c r="T22" s="667"/>
      <c r="U22" s="668"/>
      <c r="V22" s="667"/>
      <c r="W22" s="668"/>
      <c r="X22" s="1265"/>
      <c r="Y22" s="3428"/>
      <c r="Z22" s="1264"/>
      <c r="AA22" s="1264">
        <v>1</v>
      </c>
      <c r="AB22" s="1264">
        <v>1</v>
      </c>
      <c r="AC22" s="1264">
        <v>1</v>
      </c>
    </row>
    <row r="23" spans="1:29" s="102" customFormat="1" ht="42">
      <c r="A23" s="443"/>
      <c r="B23" s="557" t="s">
        <v>1775</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28"/>
      <c r="Q23" s="530" t="str">
        <f t="shared" si="8"/>
        <v>公共配套设施</v>
      </c>
      <c r="R23" s="664" t="s">
        <v>14</v>
      </c>
      <c r="S23" s="665">
        <f>F23</f>
        <v>100</v>
      </c>
      <c r="T23" s="664" t="s">
        <v>14</v>
      </c>
      <c r="U23" s="665">
        <f>H23</f>
        <v>100</v>
      </c>
      <c r="V23" s="664" t="s">
        <v>14</v>
      </c>
      <c r="W23" s="665">
        <f>J23</f>
        <v>100</v>
      </c>
      <c r="X23" s="666"/>
      <c r="Y23" s="342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8"/>
      <c r="N24" s="2438"/>
      <c r="O24" s="2539"/>
      <c r="P24" s="3428"/>
      <c r="Q24" s="530"/>
      <c r="R24" s="664"/>
      <c r="S24" s="665"/>
      <c r="T24" s="664"/>
      <c r="U24" s="665"/>
      <c r="V24" s="664"/>
      <c r="W24" s="665"/>
      <c r="X24" s="666"/>
      <c r="Y24" s="3428"/>
      <c r="Z24" s="50"/>
      <c r="AA24" s="50">
        <v>1</v>
      </c>
      <c r="AB24" s="50">
        <v>1</v>
      </c>
      <c r="AC24" s="50">
        <v>1</v>
      </c>
    </row>
    <row r="25" spans="1:29" s="102" customFormat="1" ht="42">
      <c r="A25" s="443"/>
      <c r="B25" s="557" t="s">
        <v>1776</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28"/>
      <c r="Q25" s="530" t="str">
        <f t="shared" ref="Q25" si="9">B25</f>
        <v>基础设施水平</v>
      </c>
      <c r="R25" s="664" t="s">
        <v>14</v>
      </c>
      <c r="S25" s="665">
        <f>F25</f>
        <v>100</v>
      </c>
      <c r="T25" s="664" t="s">
        <v>14</v>
      </c>
      <c r="U25" s="665">
        <f>H25</f>
        <v>100</v>
      </c>
      <c r="V25" s="664" t="s">
        <v>14</v>
      </c>
      <c r="W25" s="665">
        <f>J25</f>
        <v>100</v>
      </c>
      <c r="X25" s="666"/>
      <c r="Y25" s="342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8"/>
      <c r="N26" s="2438"/>
      <c r="O26" s="2539"/>
      <c r="P26" s="3428"/>
      <c r="Q26" s="530"/>
      <c r="R26" s="664"/>
      <c r="S26" s="665"/>
      <c r="T26" s="664"/>
      <c r="U26" s="665"/>
      <c r="V26" s="664"/>
      <c r="W26" s="665"/>
      <c r="X26" s="666"/>
      <c r="Y26" s="3428"/>
      <c r="Z26" s="50"/>
      <c r="AA26" s="50">
        <v>1</v>
      </c>
      <c r="AB26" s="50">
        <v>1</v>
      </c>
      <c r="AC26" s="50">
        <v>1</v>
      </c>
    </row>
    <row r="27" spans="1:29" ht="15.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8"/>
      <c r="Z27" s="1264" t="str">
        <f t="shared" ref="Z27:Z40" si="13">Q27</f>
        <v>临街状况</v>
      </c>
      <c r="AA27" s="1264">
        <f t="shared" si="3"/>
        <v>1</v>
      </c>
      <c r="AB27" s="1264">
        <f t="shared" si="4"/>
        <v>1</v>
      </c>
      <c r="AC27" s="1264">
        <f t="shared" si="5"/>
        <v>1</v>
      </c>
    </row>
    <row r="28" spans="1:29" ht="28">
      <c r="A28" s="367"/>
      <c r="B28" s="557" t="s">
        <v>1812</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8"/>
      <c r="Q28" s="1263" t="str">
        <f t="shared" si="8"/>
        <v>毗邻道路的类型与等级</v>
      </c>
      <c r="R28" s="667" t="s">
        <v>14</v>
      </c>
      <c r="S28" s="668">
        <f t="shared" si="10"/>
        <v>100</v>
      </c>
      <c r="T28" s="667" t="s">
        <v>14</v>
      </c>
      <c r="U28" s="668">
        <f t="shared" si="11"/>
        <v>100</v>
      </c>
      <c r="V28" s="667" t="s">
        <v>14</v>
      </c>
      <c r="W28" s="668">
        <f t="shared" si="12"/>
        <v>100</v>
      </c>
      <c r="X28" s="1265"/>
      <c r="Y28" s="342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28"/>
      <c r="Q29" s="1263"/>
      <c r="R29" s="667"/>
      <c r="S29" s="668"/>
      <c r="T29" s="667"/>
      <c r="U29" s="668"/>
      <c r="V29" s="667"/>
      <c r="W29" s="668"/>
      <c r="X29" s="1265"/>
      <c r="Y29" s="3428"/>
      <c r="Z29" s="1264"/>
      <c r="AA29" s="1264">
        <v>1</v>
      </c>
      <c r="AB29" s="1264">
        <v>1</v>
      </c>
      <c r="AC29" s="1264">
        <v>1</v>
      </c>
    </row>
    <row r="30" spans="1:29" ht="15.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8"/>
      <c r="Q30" s="1263" t="str">
        <f t="shared" si="8"/>
        <v>土地级别</v>
      </c>
      <c r="R30" s="667" t="s">
        <v>14</v>
      </c>
      <c r="S30" s="668">
        <f t="shared" si="10"/>
        <v>100</v>
      </c>
      <c r="T30" s="667" t="s">
        <v>14</v>
      </c>
      <c r="U30" s="668">
        <f t="shared" si="11"/>
        <v>100</v>
      </c>
      <c r="V30" s="667" t="s">
        <v>14</v>
      </c>
      <c r="W30" s="668">
        <f t="shared" si="12"/>
        <v>100</v>
      </c>
      <c r="X30" s="1265"/>
      <c r="Y30" s="342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8"/>
      <c r="Q31" s="1263">
        <f t="shared" si="8"/>
        <v>111</v>
      </c>
      <c r="R31" s="667" t="s">
        <v>14</v>
      </c>
      <c r="S31" s="668">
        <f t="shared" si="10"/>
        <v>100</v>
      </c>
      <c r="T31" s="667" t="s">
        <v>14</v>
      </c>
      <c r="U31" s="668">
        <f t="shared" si="11"/>
        <v>100</v>
      </c>
      <c r="V31" s="667" t="s">
        <v>14</v>
      </c>
      <c r="W31" s="668">
        <f t="shared" si="12"/>
        <v>100</v>
      </c>
      <c r="X31" s="1265"/>
      <c r="Y31" s="342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81" t="s">
        <v>1693</v>
      </c>
      <c r="Q32" s="1263">
        <f t="shared" si="8"/>
        <v>111</v>
      </c>
      <c r="R32" s="667" t="s">
        <v>14</v>
      </c>
      <c r="S32" s="668">
        <f t="shared" si="10"/>
        <v>100</v>
      </c>
      <c r="T32" s="667" t="s">
        <v>14</v>
      </c>
      <c r="U32" s="668">
        <f t="shared" si="11"/>
        <v>100</v>
      </c>
      <c r="V32" s="667" t="s">
        <v>14</v>
      </c>
      <c r="W32" s="668">
        <f t="shared" si="12"/>
        <v>100</v>
      </c>
      <c r="X32" s="1265"/>
      <c r="Y32" s="3432" t="s">
        <v>1693</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2"/>
      <c r="Q33" s="1263">
        <f t="shared" si="8"/>
        <v>111</v>
      </c>
      <c r="R33" s="669" t="s">
        <v>14</v>
      </c>
      <c r="S33" s="670">
        <f t="shared" si="10"/>
        <v>100</v>
      </c>
      <c r="T33" s="669" t="s">
        <v>14</v>
      </c>
      <c r="U33" s="670">
        <f t="shared" si="11"/>
        <v>100</v>
      </c>
      <c r="V33" s="669" t="s">
        <v>14</v>
      </c>
      <c r="W33" s="670">
        <f t="shared" si="12"/>
        <v>100</v>
      </c>
      <c r="X33" s="671"/>
      <c r="Y33" s="3432"/>
      <c r="Z33" s="672">
        <f t="shared" si="13"/>
        <v>111</v>
      </c>
      <c r="AA33" s="1264">
        <f t="shared" si="3"/>
        <v>1</v>
      </c>
      <c r="AB33" s="1264">
        <f t="shared" si="4"/>
        <v>1</v>
      </c>
      <c r="AC33" s="1264">
        <f t="shared" si="5"/>
        <v>1</v>
      </c>
    </row>
    <row r="34" spans="1:31" ht="15.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2"/>
      <c r="Q34" s="1263" t="str">
        <f>B34</f>
        <v>宗地面积</v>
      </c>
      <c r="R34" s="667" t="s">
        <v>14</v>
      </c>
      <c r="S34" s="668" t="e">
        <f t="shared" si="10"/>
        <v>#N/A</v>
      </c>
      <c r="T34" s="667" t="s">
        <v>14</v>
      </c>
      <c r="U34" s="668" t="e">
        <f t="shared" si="11"/>
        <v>#N/A</v>
      </c>
      <c r="V34" s="667" t="s">
        <v>14</v>
      </c>
      <c r="W34" s="668" t="e">
        <f t="shared" si="12"/>
        <v>#N/A</v>
      </c>
      <c r="X34" s="1265"/>
      <c r="Y34" s="3432"/>
      <c r="Z34" s="1264" t="str">
        <f t="shared" si="13"/>
        <v>宗地面积</v>
      </c>
      <c r="AA34" s="1264" t="e">
        <f t="shared" si="3"/>
        <v>#N/A</v>
      </c>
      <c r="AB34" s="1264" t="e">
        <f t="shared" si="4"/>
        <v>#N/A</v>
      </c>
      <c r="AC34" s="1264" t="e">
        <f t="shared" si="5"/>
        <v>#N/A</v>
      </c>
    </row>
    <row r="35" spans="1:31" ht="15.5">
      <c r="A35" s="409"/>
      <c r="B35" s="364" t="s">
        <v>1872</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2"/>
      <c r="Q35" s="1263" t="str">
        <f t="shared" ref="Q35:Q40" si="14">B35</f>
        <v>宗地形状</v>
      </c>
      <c r="R35" s="667" t="s">
        <v>14</v>
      </c>
      <c r="S35" s="668">
        <f t="shared" si="10"/>
        <v>100</v>
      </c>
      <c r="T35" s="667" t="s">
        <v>14</v>
      </c>
      <c r="U35" s="668">
        <f t="shared" si="11"/>
        <v>100</v>
      </c>
      <c r="V35" s="667" t="s">
        <v>14</v>
      </c>
      <c r="W35" s="668">
        <f t="shared" si="12"/>
        <v>100</v>
      </c>
      <c r="X35" s="1265"/>
      <c r="Y35" s="3432"/>
      <c r="Z35" s="1264" t="str">
        <f t="shared" si="13"/>
        <v>宗地形状</v>
      </c>
      <c r="AA35" s="1264">
        <f t="shared" si="3"/>
        <v>1</v>
      </c>
      <c r="AB35" s="1264">
        <f t="shared" si="4"/>
        <v>1</v>
      </c>
      <c r="AC35" s="1264">
        <f t="shared" si="5"/>
        <v>1</v>
      </c>
    </row>
    <row r="36" spans="1:31" s="102" customFormat="1" ht="15.5">
      <c r="A36" s="410"/>
      <c r="B36" s="364" t="s">
        <v>1874</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432"/>
      <c r="Q36" s="1263" t="str">
        <f t="shared" si="14"/>
        <v>宗地开发程度</v>
      </c>
      <c r="R36" s="664" t="s">
        <v>14</v>
      </c>
      <c r="S36" s="665">
        <f t="shared" si="10"/>
        <v>100</v>
      </c>
      <c r="T36" s="664" t="s">
        <v>14</v>
      </c>
      <c r="U36" s="665">
        <f t="shared" si="11"/>
        <v>100</v>
      </c>
      <c r="V36" s="664" t="s">
        <v>14</v>
      </c>
      <c r="W36" s="665">
        <f t="shared" si="12"/>
        <v>100</v>
      </c>
      <c r="X36" s="666"/>
      <c r="Y36" s="3432"/>
      <c r="Z36" s="50" t="str">
        <f t="shared" si="13"/>
        <v>宗地开发程度</v>
      </c>
      <c r="AA36" s="50">
        <f t="shared" si="3"/>
        <v>1</v>
      </c>
      <c r="AB36" s="50">
        <f t="shared" si="4"/>
        <v>1</v>
      </c>
      <c r="AC36" s="50">
        <f t="shared" si="5"/>
        <v>1</v>
      </c>
    </row>
    <row r="37" spans="1:31" ht="15.5">
      <c r="A37" s="409"/>
      <c r="B37" s="364" t="s">
        <v>1875</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2" t="s">
        <v>1693</v>
      </c>
      <c r="Q37" s="1263" t="str">
        <f t="shared" si="14"/>
        <v>工程地质条件</v>
      </c>
      <c r="R37" s="667" t="s">
        <v>14</v>
      </c>
      <c r="S37" s="668">
        <f t="shared" si="10"/>
        <v>100</v>
      </c>
      <c r="T37" s="667" t="s">
        <v>14</v>
      </c>
      <c r="U37" s="668">
        <f t="shared" si="11"/>
        <v>100</v>
      </c>
      <c r="V37" s="667" t="s">
        <v>14</v>
      </c>
      <c r="W37" s="668">
        <f t="shared" si="12"/>
        <v>100</v>
      </c>
      <c r="X37" s="1265"/>
      <c r="Y37" s="3432" t="s">
        <v>1693</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2"/>
      <c r="Q38" s="1263">
        <f t="shared" si="14"/>
        <v>111</v>
      </c>
      <c r="R38" s="667" t="s">
        <v>14</v>
      </c>
      <c r="S38" s="668">
        <f t="shared" si="10"/>
        <v>100</v>
      </c>
      <c r="T38" s="667" t="s">
        <v>14</v>
      </c>
      <c r="U38" s="668">
        <f t="shared" si="11"/>
        <v>100</v>
      </c>
      <c r="V38" s="667" t="s">
        <v>14</v>
      </c>
      <c r="W38" s="668">
        <f t="shared" si="12"/>
        <v>100</v>
      </c>
      <c r="X38" s="1265"/>
      <c r="Y38" s="343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2"/>
      <c r="Q39" s="1263">
        <f t="shared" si="14"/>
        <v>111</v>
      </c>
      <c r="R39" s="667" t="s">
        <v>14</v>
      </c>
      <c r="S39" s="668">
        <f t="shared" si="10"/>
        <v>100</v>
      </c>
      <c r="T39" s="667" t="s">
        <v>14</v>
      </c>
      <c r="U39" s="668">
        <f t="shared" si="11"/>
        <v>100</v>
      </c>
      <c r="V39" s="667" t="s">
        <v>14</v>
      </c>
      <c r="W39" s="668">
        <f t="shared" si="12"/>
        <v>100</v>
      </c>
      <c r="X39" s="1265"/>
      <c r="Y39" s="343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2"/>
      <c r="Q40" s="1263">
        <f t="shared" si="14"/>
        <v>111</v>
      </c>
      <c r="R40" s="669" t="s">
        <v>14</v>
      </c>
      <c r="S40" s="670">
        <f t="shared" si="10"/>
        <v>100</v>
      </c>
      <c r="T40" s="669" t="s">
        <v>14</v>
      </c>
      <c r="U40" s="670">
        <f t="shared" si="11"/>
        <v>100</v>
      </c>
      <c r="V40" s="669" t="s">
        <v>14</v>
      </c>
      <c r="W40" s="670">
        <f t="shared" si="12"/>
        <v>100</v>
      </c>
      <c r="X40" s="671"/>
      <c r="Y40" s="3432"/>
      <c r="Z40" s="672">
        <f t="shared" si="13"/>
        <v>111</v>
      </c>
      <c r="AA40" s="1264">
        <f t="shared" si="3"/>
        <v>1</v>
      </c>
      <c r="AB40" s="1264">
        <f t="shared" si="4"/>
        <v>1</v>
      </c>
      <c r="AC40" s="1264">
        <f t="shared" si="5"/>
        <v>1</v>
      </c>
    </row>
    <row r="41" spans="1:31">
      <c r="A41" s="416" t="s">
        <v>1841</v>
      </c>
      <c r="B41" s="1830" t="s">
        <v>1919</v>
      </c>
      <c r="C41" s="602" t="s">
        <v>0</v>
      </c>
      <c r="D41" s="418"/>
      <c r="E41" s="419"/>
      <c r="F41" s="420"/>
      <c r="G41" s="421"/>
      <c r="H41" s="422"/>
      <c r="I41" s="419"/>
      <c r="J41" s="422"/>
      <c r="K41" s="674"/>
      <c r="L41" s="2493"/>
      <c r="M41" s="2486"/>
      <c r="N41" s="2486"/>
      <c r="O41" s="2486"/>
      <c r="P41" s="3425" t="str">
        <f>A41</f>
        <v>成交单价</v>
      </c>
      <c r="Q41" s="3425"/>
      <c r="R41" s="3426">
        <f>E41</f>
        <v>0</v>
      </c>
      <c r="S41" s="3426"/>
      <c r="T41" s="3426">
        <f>G41</f>
        <v>0</v>
      </c>
      <c r="U41" s="3426"/>
      <c r="V41" s="3426">
        <f>I41</f>
        <v>0</v>
      </c>
      <c r="W41" s="3426"/>
      <c r="X41" s="385"/>
      <c r="Y41" s="673"/>
      <c r="Z41" s="385"/>
      <c r="AA41" s="385"/>
      <c r="AB41" s="385"/>
      <c r="AC41" s="385"/>
    </row>
    <row r="42" spans="1:31" ht="14.5" thickBot="1">
      <c r="A42" s="423" t="s">
        <v>1790</v>
      </c>
      <c r="B42" s="603"/>
      <c r="C42" s="426" t="e">
        <f>R43</f>
        <v>#DIV/0!</v>
      </c>
      <c r="D42" s="2141" t="s">
        <v>2132</v>
      </c>
      <c r="E42" s="426" t="e">
        <f>R42</f>
        <v>#DIV/0!</v>
      </c>
      <c r="F42" s="2142"/>
      <c r="G42" s="425" t="e">
        <f>T42</f>
        <v>#DIV/0!</v>
      </c>
      <c r="H42" s="2142"/>
      <c r="I42" s="426" t="e">
        <f>V42</f>
        <v>#DIV/0!</v>
      </c>
      <c r="J42" s="2142"/>
      <c r="K42" s="2144">
        <f>F42+H42+J42</f>
        <v>0</v>
      </c>
      <c r="L42" s="2493"/>
      <c r="M42" s="2486"/>
      <c r="N42" s="2486"/>
      <c r="O42" s="2486"/>
      <c r="P42" s="3425" t="str">
        <f>A42</f>
        <v>比较价值（元/平方米）</v>
      </c>
      <c r="Q42" s="3425"/>
      <c r="R42" s="3483" t="e">
        <f>ROUND(PRODUCT(R41,AA7:AA40),0)</f>
        <v>#DIV/0!</v>
      </c>
      <c r="S42" s="3483"/>
      <c r="T42" s="3483" t="e">
        <f>ROUND(PRODUCT(T41,AB7:AB40),0)</f>
        <v>#DIV/0!</v>
      </c>
      <c r="U42" s="3483"/>
      <c r="V42" s="3483" t="e">
        <f>ROUND(PRODUCT(V41,AC7:AC40),0)</f>
        <v>#DIV/0!</v>
      </c>
      <c r="W42" s="3483"/>
      <c r="X42" s="385"/>
      <c r="Y42" s="385"/>
      <c r="Z42" s="385"/>
      <c r="AA42" s="385"/>
      <c r="AB42" s="385"/>
      <c r="AC42" s="385"/>
    </row>
    <row r="43" spans="1:31" ht="14.5" thickBot="1">
      <c r="A43" s="427" t="s">
        <v>1791</v>
      </c>
      <c r="B43" s="428"/>
      <c r="C43" s="429" t="e">
        <f>R43</f>
        <v>#DIV/0!</v>
      </c>
      <c r="D43" s="429"/>
      <c r="E43" s="429"/>
      <c r="F43" s="429"/>
      <c r="G43" s="429"/>
      <c r="H43" s="429"/>
      <c r="I43" s="429"/>
      <c r="J43" s="429"/>
      <c r="K43" s="675"/>
      <c r="L43" s="2493"/>
      <c r="M43" s="2486"/>
      <c r="N43" s="2486"/>
      <c r="O43" s="2486"/>
      <c r="P43" s="3422" t="str">
        <f>A43</f>
        <v>估价对象XX用房的比较价值（楼面单价，元/平方米）</v>
      </c>
      <c r="Q43" s="3423"/>
      <c r="R43" s="3484" t="e">
        <f>ROUND(IF(D42="简单平均",AVERAGE(R42:W42),R42*F42+T42*H42+V42*J42),0)</f>
        <v>#DIV/0!</v>
      </c>
      <c r="S43" s="3484"/>
      <c r="T43" s="3484"/>
      <c r="U43" s="3484"/>
      <c r="V43" s="3484"/>
      <c r="W43" s="348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1878</v>
      </c>
      <c r="B50" s="605" t="s">
        <v>1879</v>
      </c>
      <c r="C50" s="1831" t="s">
        <v>1880</v>
      </c>
      <c r="D50" s="1832" t="s">
        <v>1881</v>
      </c>
      <c r="E50" s="606" t="s">
        <v>1882</v>
      </c>
      <c r="F50" s="607" t="s">
        <v>1883</v>
      </c>
      <c r="G50" s="3440" t="s">
        <v>1884</v>
      </c>
      <c r="H50" s="3485"/>
      <c r="I50" s="1264" t="s">
        <v>1920</v>
      </c>
      <c r="J50" s="1264">
        <f>项目基本情况!F35</f>
        <v>0</v>
      </c>
      <c r="K50" s="1834" t="s">
        <v>1886</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1887</v>
      </c>
      <c r="B51" s="609" t="e">
        <f>C43</f>
        <v>#DIV/0!</v>
      </c>
      <c r="C51" s="610">
        <v>1</v>
      </c>
      <c r="D51" s="890">
        <v>1</v>
      </c>
      <c r="E51" s="610">
        <f>'数据-汇总表'!E8+'数据-汇总表'!E9</f>
        <v>2343.7800000000002</v>
      </c>
      <c r="F51" s="611" t="e">
        <f t="shared" ref="F51:F60" si="15">ROUND(B51*E51/10000,0)</f>
        <v>#DIV/0!</v>
      </c>
      <c r="G51" s="3436"/>
      <c r="H51" s="342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1888</v>
      </c>
      <c r="B52" s="210" t="e">
        <f>ROUND($C$43*C52*D52,0)</f>
        <v>#DIV/0!</v>
      </c>
      <c r="C52" s="163">
        <f t="shared" ref="C52:C60" si="16">IF($C$50="北京市系数",I52,J52)</f>
        <v>0</v>
      </c>
      <c r="D52" s="891">
        <v>0.25</v>
      </c>
      <c r="E52" s="614"/>
      <c r="F52" s="611" t="e">
        <f t="shared" si="15"/>
        <v>#DIV/0!</v>
      </c>
      <c r="G52" s="2749" t="s">
        <v>1889</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1890</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1891</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1892</v>
      </c>
      <c r="B56" s="210" t="e">
        <f t="shared" si="17"/>
        <v>#DIV/0!</v>
      </c>
      <c r="C56" s="163">
        <f t="shared" si="16"/>
        <v>0</v>
      </c>
      <c r="D56" s="891">
        <v>0.25</v>
      </c>
      <c r="E56" s="209">
        <f>'数据-汇总表'!E11</f>
        <v>0</v>
      </c>
      <c r="F56" s="611" t="e">
        <f t="shared" si="15"/>
        <v>#DIV/0!</v>
      </c>
      <c r="G56" s="1835" t="s">
        <v>1893</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1894</v>
      </c>
      <c r="B57" s="210" t="e">
        <f t="shared" si="17"/>
        <v>#DIV/0!</v>
      </c>
      <c r="C57" s="163">
        <f t="shared" si="16"/>
        <v>0</v>
      </c>
      <c r="D57" s="891">
        <v>0.25</v>
      </c>
      <c r="E57" s="209">
        <f>'数据-汇总表'!E12</f>
        <v>0</v>
      </c>
      <c r="F57" s="611" t="e">
        <f t="shared" si="15"/>
        <v>#DIV/0!</v>
      </c>
      <c r="G57" s="839" t="s">
        <v>1895</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1896</v>
      </c>
      <c r="B58" s="210" t="e">
        <f t="shared" si="17"/>
        <v>#DIV/0!</v>
      </c>
      <c r="C58" s="163">
        <f t="shared" si="16"/>
        <v>0</v>
      </c>
      <c r="D58" s="891">
        <v>0.25</v>
      </c>
      <c r="E58" s="209">
        <f>'数据-汇总表'!E13</f>
        <v>0</v>
      </c>
      <c r="F58" s="611" t="e">
        <f t="shared" si="15"/>
        <v>#DIV/0!</v>
      </c>
      <c r="G58" s="839" t="s">
        <v>1897</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1898</v>
      </c>
      <c r="B59" s="210" t="e">
        <f t="shared" si="17"/>
        <v>#DIV/0!</v>
      </c>
      <c r="C59" s="163">
        <f t="shared" si="16"/>
        <v>0</v>
      </c>
      <c r="D59" s="891">
        <v>0.25</v>
      </c>
      <c r="E59" s="209">
        <f>'数据-汇总表'!E14</f>
        <v>0</v>
      </c>
      <c r="F59" s="611" t="e">
        <f t="shared" si="15"/>
        <v>#DIV/0!</v>
      </c>
      <c r="G59" s="1835" t="s">
        <v>1889</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1899</v>
      </c>
      <c r="B60" s="210" t="e">
        <f t="shared" si="17"/>
        <v>#DIV/0!</v>
      </c>
      <c r="C60" s="163">
        <f t="shared" si="16"/>
        <v>0</v>
      </c>
      <c r="D60" s="891">
        <v>0.25</v>
      </c>
      <c r="E60" s="209">
        <f>'数据-汇总表'!E15</f>
        <v>0</v>
      </c>
      <c r="F60" s="611" t="e">
        <f t="shared" si="15"/>
        <v>#DIV/0!</v>
      </c>
      <c r="G60" s="1836" t="s">
        <v>1893</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1900</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1795</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1901</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4.5" thickBot="1">
      <c r="A67" s="449" t="s">
        <v>1713</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c r="A68" s="455" t="s">
        <v>1678</v>
      </c>
      <c r="B68" s="444"/>
      <c r="C68" s="456" t="s">
        <v>1773</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1716</v>
      </c>
      <c r="B70" s="460" t="s">
        <v>1682</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1685</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1687</v>
      </c>
      <c r="B83" s="460" t="s">
        <v>1826</v>
      </c>
      <c r="C83" s="504" t="s">
        <v>1718</v>
      </c>
      <c r="D83" s="504" t="s">
        <v>1719</v>
      </c>
      <c r="E83" s="504" t="s">
        <v>1720</v>
      </c>
      <c r="F83" s="504" t="s">
        <v>1721</v>
      </c>
      <c r="G83" s="504" t="s">
        <v>1722</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1723</v>
      </c>
      <c r="C85" s="509" t="s">
        <v>1718</v>
      </c>
      <c r="D85" s="509" t="s">
        <v>1719</v>
      </c>
      <c r="E85" s="509" t="s">
        <v>1720</v>
      </c>
      <c r="F85" s="509" t="s">
        <v>1721</v>
      </c>
      <c r="G85" s="509" t="s">
        <v>1722</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1904</v>
      </c>
      <c r="C87" s="504" t="s">
        <v>1718</v>
      </c>
      <c r="D87" s="504" t="s">
        <v>1719</v>
      </c>
      <c r="E87" s="504" t="s">
        <v>1720</v>
      </c>
      <c r="F87" s="504" t="s">
        <v>1721</v>
      </c>
      <c r="G87" s="504" t="s">
        <v>1722</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8.5" thickTop="1">
      <c r="A89" s="370"/>
      <c r="B89" s="469" t="s">
        <v>1905</v>
      </c>
      <c r="C89" s="504" t="s">
        <v>1718</v>
      </c>
      <c r="D89" s="504" t="s">
        <v>1719</v>
      </c>
      <c r="E89" s="504" t="s">
        <v>1720</v>
      </c>
      <c r="F89" s="504" t="s">
        <v>1721</v>
      </c>
      <c r="G89" s="504" t="s">
        <v>1722</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4.5" thickTop="1">
      <c r="A91" s="484"/>
      <c r="B91" s="469" t="s">
        <v>1775</v>
      </c>
      <c r="C91" s="504" t="s">
        <v>1718</v>
      </c>
      <c r="D91" s="504" t="s">
        <v>1719</v>
      </c>
      <c r="E91" s="504" t="s">
        <v>1720</v>
      </c>
      <c r="F91" s="504" t="s">
        <v>1721</v>
      </c>
      <c r="G91" s="504" t="s">
        <v>1722</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1922</v>
      </c>
      <c r="C93" s="581" t="s">
        <v>1796</v>
      </c>
      <c r="D93" s="581" t="s">
        <v>1797</v>
      </c>
      <c r="E93" s="581" t="s">
        <v>1798</v>
      </c>
      <c r="F93" s="581" t="s">
        <v>1799</v>
      </c>
      <c r="G93" s="581" t="s">
        <v>1800</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1906</v>
      </c>
      <c r="D95" s="470" t="s">
        <v>1907</v>
      </c>
      <c r="E95" s="470" t="s">
        <v>1908</v>
      </c>
      <c r="F95" s="470" t="s">
        <v>1909</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1812</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1870</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1911</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1913</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1914</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2078</v>
      </c>
      <c r="B1" s="4"/>
      <c r="C1" s="4"/>
      <c r="D1" s="4"/>
      <c r="E1" s="4"/>
      <c r="F1" s="2543"/>
      <c r="G1" s="2543"/>
      <c r="H1" s="2543"/>
      <c r="I1" s="2543"/>
      <c r="J1" s="2543"/>
      <c r="K1" s="2543"/>
      <c r="L1" s="2543"/>
      <c r="M1" s="2543"/>
      <c r="N1" s="2543"/>
      <c r="O1" s="2543"/>
      <c r="P1" s="2543"/>
    </row>
    <row r="2" spans="1:16" ht="15.5">
      <c r="A2" s="1984" t="s">
        <v>2070</v>
      </c>
      <c r="B2" s="2386" t="e">
        <f ca="1">SUMIF(B6:B13,"&lt;&gt;#ref!",B6:B13)</f>
        <v>#DIV/0!</v>
      </c>
      <c r="C2" s="1984" t="s">
        <v>2071</v>
      </c>
      <c r="D2" s="1984" t="s">
        <v>2072</v>
      </c>
      <c r="E2" s="2396">
        <f ca="1">SUMIF(E6:E13,"&lt;&gt;#ref!",E6:E13)</f>
        <v>0</v>
      </c>
      <c r="F2" s="2543"/>
      <c r="G2" s="2543"/>
      <c r="H2" s="2543"/>
      <c r="I2" s="2543"/>
      <c r="J2" s="2543"/>
      <c r="K2" s="2543"/>
      <c r="L2" s="2543"/>
      <c r="M2" s="2543"/>
      <c r="N2" s="2543"/>
      <c r="O2" s="2543"/>
      <c r="P2" s="2543"/>
    </row>
    <row r="3" spans="1:16" ht="15.5">
      <c r="A3" s="1984" t="s">
        <v>2073</v>
      </c>
      <c r="B3" s="2386" t="e">
        <f ca="1">ROUND(B2*10000/E2,0)</f>
        <v>#DIV/0!</v>
      </c>
      <c r="C3" s="1984" t="s">
        <v>2079</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2" t="s">
        <v>2074</v>
      </c>
      <c r="B5" s="2394" t="s">
        <v>2075</v>
      </c>
      <c r="C5" s="1985"/>
      <c r="D5" s="2543"/>
      <c r="E5" s="2395" t="s">
        <v>2076</v>
      </c>
      <c r="F5" s="2543"/>
      <c r="G5" s="2543"/>
      <c r="H5" s="2543"/>
      <c r="I5" s="2543"/>
      <c r="J5" s="2543"/>
      <c r="K5" s="2543"/>
      <c r="L5" s="2543"/>
      <c r="M5" s="2543"/>
      <c r="N5" s="2543"/>
      <c r="O5" s="2543"/>
      <c r="P5" s="2543"/>
    </row>
    <row r="6" spans="1:16" ht="15.5">
      <c r="A6" s="2393" t="s">
        <v>2077</v>
      </c>
      <c r="B6" s="2386" t="e">
        <f ca="1">SUMIF(INDIRECT("'"&amp;A6&amp;"'"&amp;"!A:A"),"总价",INDIRECT("'"&amp;A6&amp;"'"&amp;"!B:B"))</f>
        <v>#DIV/0!</v>
      </c>
      <c r="C6" s="1984" t="s">
        <v>2071</v>
      </c>
      <c r="D6" s="2543"/>
      <c r="E6" s="2396">
        <f ca="1">SUMIF(INDIRECT("'"&amp;A6&amp;"'"&amp;"!C:C"),"建筑面积",INDIRECT("'"&amp;A6&amp;"'"&amp;"!D:D"))</f>
        <v>0</v>
      </c>
      <c r="F6" s="2543"/>
      <c r="G6" s="2543"/>
      <c r="H6" s="2543"/>
      <c r="I6" s="2543"/>
      <c r="J6" s="2543"/>
      <c r="K6" s="2543"/>
      <c r="L6" s="2543"/>
      <c r="M6" s="2543"/>
      <c r="N6" s="2543"/>
      <c r="O6" s="2543"/>
      <c r="P6" s="2543"/>
    </row>
    <row r="7" spans="1:16" ht="15.5">
      <c r="A7" s="2393"/>
      <c r="B7" s="2386" t="e">
        <f ca="1">SUMIF(INDIRECT("'"&amp;A7&amp;"'"&amp;"!A:A"),"总价",INDIRECT("'"&amp;A7&amp;"'"&amp;"!B:B"))</f>
        <v>#REF!</v>
      </c>
      <c r="C7" s="1984" t="s">
        <v>2071</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5">
      <c r="A8" s="2393"/>
      <c r="B8" s="2386" t="e">
        <f t="shared" ref="B8:B13" ca="1" si="1">SUMIF(INDIRECT("'"&amp;A8&amp;"'"&amp;"!A:A"),"总价",INDIRECT("'"&amp;A8&amp;"'"&amp;"!B:B"))</f>
        <v>#REF!</v>
      </c>
      <c r="C8" s="1984" t="s">
        <v>2071</v>
      </c>
      <c r="D8" s="2543"/>
      <c r="E8" s="2396" t="e">
        <f t="shared" ca="1" si="0"/>
        <v>#REF!</v>
      </c>
      <c r="F8" s="2543"/>
      <c r="G8" s="2543"/>
      <c r="H8" s="2543"/>
      <c r="I8" s="2543"/>
      <c r="J8" s="2543"/>
      <c r="K8" s="2543"/>
      <c r="L8" s="2543"/>
      <c r="M8" s="2543"/>
      <c r="N8" s="2543"/>
      <c r="O8" s="2543"/>
      <c r="P8" s="2543"/>
    </row>
    <row r="9" spans="1:16" ht="15.5">
      <c r="A9" s="2393"/>
      <c r="B9" s="2386" t="e">
        <f t="shared" ca="1" si="1"/>
        <v>#REF!</v>
      </c>
      <c r="C9" s="1984" t="s">
        <v>2071</v>
      </c>
      <c r="D9" s="2543"/>
      <c r="E9" s="2396" t="e">
        <f t="shared" ca="1" si="0"/>
        <v>#REF!</v>
      </c>
      <c r="F9" s="2543"/>
      <c r="G9" s="2543"/>
      <c r="H9" s="2543"/>
      <c r="I9" s="2543"/>
      <c r="J9" s="2543"/>
      <c r="K9" s="2543"/>
      <c r="L9" s="2543"/>
      <c r="M9" s="2543"/>
      <c r="N9" s="2543"/>
      <c r="O9" s="2543"/>
      <c r="P9" s="2543"/>
    </row>
    <row r="10" spans="1:16" ht="15.5">
      <c r="A10" s="2393"/>
      <c r="B10" s="2386" t="e">
        <f t="shared" ca="1" si="1"/>
        <v>#REF!</v>
      </c>
      <c r="C10" s="1984" t="s">
        <v>2071</v>
      </c>
      <c r="D10" s="2543"/>
      <c r="E10" s="2396" t="e">
        <f t="shared" ca="1" si="0"/>
        <v>#REF!</v>
      </c>
      <c r="F10" s="2543"/>
      <c r="G10" s="2543"/>
      <c r="H10" s="2543"/>
      <c r="I10" s="2543"/>
      <c r="J10" s="2543"/>
      <c r="K10" s="2543"/>
      <c r="L10" s="2543"/>
      <c r="M10" s="2543"/>
      <c r="N10" s="2543"/>
      <c r="O10" s="2543"/>
      <c r="P10" s="2543"/>
    </row>
    <row r="11" spans="1:16" ht="15.5">
      <c r="A11" s="2393"/>
      <c r="B11" s="2386" t="e">
        <f t="shared" ca="1" si="1"/>
        <v>#REF!</v>
      </c>
      <c r="C11" s="1984" t="s">
        <v>2071</v>
      </c>
      <c r="D11" s="2543"/>
      <c r="E11" s="2396" t="e">
        <f t="shared" ca="1" si="0"/>
        <v>#REF!</v>
      </c>
      <c r="F11" s="2543"/>
      <c r="G11" s="2543"/>
      <c r="H11" s="2543"/>
      <c r="I11" s="2543"/>
      <c r="J11" s="2543"/>
      <c r="K11" s="2543"/>
      <c r="L11" s="2543"/>
      <c r="M11" s="2543"/>
      <c r="N11" s="2543"/>
      <c r="O11" s="2543"/>
      <c r="P11" s="2543"/>
    </row>
    <row r="12" spans="1:16" ht="15.5">
      <c r="A12" s="2393"/>
      <c r="B12" s="2386" t="e">
        <f t="shared" ca="1" si="1"/>
        <v>#REF!</v>
      </c>
      <c r="C12" s="1984" t="s">
        <v>2071</v>
      </c>
      <c r="D12" s="2543"/>
      <c r="E12" s="2396" t="e">
        <f t="shared" ca="1" si="0"/>
        <v>#REF!</v>
      </c>
      <c r="F12" s="2543"/>
      <c r="G12" s="2543"/>
      <c r="H12" s="2543"/>
      <c r="I12" s="2543"/>
      <c r="J12" s="2543"/>
      <c r="K12" s="2543"/>
      <c r="L12" s="2543"/>
      <c r="M12" s="2543"/>
      <c r="N12" s="2543"/>
      <c r="O12" s="2543"/>
      <c r="P12" s="2543"/>
    </row>
    <row r="13" spans="1:16" ht="15.5">
      <c r="A13" s="2393"/>
      <c r="B13" s="2386" t="e">
        <f t="shared" ca="1" si="1"/>
        <v>#REF!</v>
      </c>
      <c r="C13" s="1984" t="s">
        <v>2071</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1" sqref="E1"/>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1923</v>
      </c>
      <c r="B1" s="189"/>
      <c r="C1" s="193" t="s">
        <v>1924</v>
      </c>
      <c r="D1" s="333">
        <f>SUM(D33:D34,D37:D42)</f>
        <v>0</v>
      </c>
      <c r="E1" s="1842"/>
      <c r="F1" s="1842"/>
      <c r="G1" s="1842"/>
      <c r="H1" s="1842"/>
      <c r="I1" s="1842"/>
      <c r="J1" s="1842"/>
      <c r="K1" s="1056"/>
      <c r="L1" s="1843" t="s">
        <v>1925</v>
      </c>
      <c r="M1" s="810">
        <f>SUMPRODUCT((区片价!B5:B9=I2)*(区片价!C3:G3=E2)*(区片价!C5:G9))</f>
        <v>0</v>
      </c>
      <c r="N1" s="813">
        <f>SUMPRODUCT((因素修正幅度!B5:B9=I2)*(因素修正幅度!C3:G3=E2)*(因素修正幅度!C5:G9))</f>
        <v>0</v>
      </c>
      <c r="O1" s="1844"/>
      <c r="P1" s="1844"/>
      <c r="Q1" s="1056"/>
      <c r="R1" s="1129" t="s">
        <v>1926</v>
      </c>
      <c r="S1" s="1129" t="s">
        <v>1927</v>
      </c>
      <c r="T1" s="1129" t="s">
        <v>1928</v>
      </c>
      <c r="U1" s="1129" t="s">
        <v>1929</v>
      </c>
      <c r="V1" s="1129" t="s">
        <v>1930</v>
      </c>
      <c r="W1" s="1133"/>
      <c r="X1" s="1133"/>
      <c r="Y1" s="1133"/>
      <c r="Z1" s="1133"/>
      <c r="AA1" s="1133"/>
      <c r="AB1" s="1133"/>
      <c r="AC1" s="1134"/>
      <c r="AD1" s="1135"/>
      <c r="AE1" s="1135"/>
      <c r="AF1" s="1135"/>
      <c r="AG1" s="1135"/>
      <c r="AH1" s="1135"/>
      <c r="AI1" s="1135"/>
      <c r="AJ1" s="1136"/>
    </row>
    <row r="2" spans="1:36" ht="15.5">
      <c r="A2" s="193" t="s">
        <v>1931</v>
      </c>
      <c r="B2" s="196" t="e">
        <f>C30</f>
        <v>#DIV/0!</v>
      </c>
      <c r="C2" s="1846" t="s">
        <v>1932</v>
      </c>
      <c r="D2" s="162" t="s">
        <v>1933</v>
      </c>
      <c r="E2" s="3119"/>
      <c r="F2" s="162" t="s">
        <v>1934</v>
      </c>
      <c r="G2" s="163">
        <f>IF(E2="商业",项目基本情况!B37,IF(E2="办公",项目基本情况!C37,IF(E2="住宅",项目基本情况!D37,IF(E2="工业",项目基本情况!E37,项目基本情况!F37))))</f>
        <v>0</v>
      </c>
      <c r="H2" s="162" t="s">
        <v>1935</v>
      </c>
      <c r="I2" s="163">
        <f>IF(E2="商业",项目基本情况!B38,IF(E2="办公",项目基本情况!C38,IF(E2="住宅",项目基本情况!D38,IF(E2="工业",项目基本情况!E38,项目基本情况!F38))))</f>
        <v>0</v>
      </c>
      <c r="J2" s="1842"/>
      <c r="K2" s="1056"/>
      <c r="L2" s="1847" t="s">
        <v>1936</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5">
      <c r="A3" s="195" t="s">
        <v>1937</v>
      </c>
      <c r="B3" s="196" t="e">
        <f>ROUND(B2*10000/D1,0)</f>
        <v>#DIV/0!</v>
      </c>
      <c r="C3" s="1846" t="s">
        <v>1938</v>
      </c>
      <c r="D3" s="162" t="s">
        <v>1939</v>
      </c>
      <c r="E3" s="3117"/>
      <c r="F3" s="1848"/>
      <c r="G3" s="708">
        <f>IF(F3="宗地容积率",'数据-汇总表'!I4,IF(F3="估价对象容积率",'数据-汇总表'!I6,'数据-汇总表'!I7))</f>
        <v>0</v>
      </c>
      <c r="H3" s="162" t="s">
        <v>1940</v>
      </c>
      <c r="I3" s="729"/>
      <c r="J3" s="1842" t="s">
        <v>1941</v>
      </c>
      <c r="K3" s="1056"/>
      <c r="L3" s="1847" t="s">
        <v>1942</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5">
      <c r="A4" s="3497"/>
      <c r="B4" s="3498"/>
      <c r="C4" s="3498"/>
      <c r="D4" s="3499"/>
      <c r="E4" s="3499"/>
      <c r="F4" s="3499"/>
      <c r="G4" s="3499"/>
      <c r="H4" s="3499"/>
      <c r="I4" s="3499"/>
      <c r="J4" s="3500"/>
      <c r="K4" s="1056"/>
      <c r="L4" s="1847" t="s">
        <v>1943</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1944</v>
      </c>
      <c r="C5" s="709" t="e">
        <f>ROUND(IF(E2="商业",C6*C7*C17+C20,(IF(E2="住宅",C6*C13*C17+C20,IF(E2="办公",C6*C12*C17+C20,C6+C20)))),0)</f>
        <v>#DIV/0!</v>
      </c>
      <c r="D5" s="1252" t="e">
        <f>ROUND(C6*C17+C20,0)</f>
        <v>#DIV/0!</v>
      </c>
      <c r="E5" s="1252"/>
      <c r="F5" s="1851"/>
      <c r="G5" s="1852"/>
      <c r="H5" s="1852"/>
      <c r="I5" s="1852"/>
      <c r="J5" s="1853"/>
      <c r="K5" s="1854"/>
      <c r="L5" s="1847" t="s">
        <v>1945</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6" thickBot="1">
      <c r="A6" s="1859" t="s">
        <v>1946</v>
      </c>
      <c r="B6" s="1860" t="s">
        <v>1947</v>
      </c>
      <c r="C6" s="710">
        <f>SUMIF(L1:L12,G2,M1:M12)</f>
        <v>0</v>
      </c>
      <c r="D6" s="1861"/>
      <c r="E6" s="1862"/>
      <c r="F6" s="1862"/>
      <c r="G6" s="1863"/>
      <c r="H6" s="1863"/>
      <c r="I6" s="1863"/>
      <c r="J6" s="1864"/>
      <c r="K6" s="1292"/>
      <c r="L6" s="1847" t="s">
        <v>1948</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6.5" thickBot="1">
      <c r="A7" s="3011" t="s">
        <v>3228</v>
      </c>
      <c r="B7" s="1865" t="s">
        <v>1949</v>
      </c>
      <c r="C7" s="711" t="e">
        <f>IF(C8="不临65条商业街",1,ROUND(1+(1.6*E8+1.2*E9+0.8*E10+0.4*E11)*C9,4))</f>
        <v>#DIV/0!</v>
      </c>
      <c r="D7" s="1866" t="s">
        <v>1950</v>
      </c>
      <c r="E7" s="730"/>
      <c r="F7" s="1867"/>
      <c r="G7" s="1868"/>
      <c r="H7" s="1868"/>
      <c r="I7" s="1868"/>
      <c r="J7" s="1869"/>
      <c r="K7" s="1292"/>
      <c r="L7" s="1847" t="s">
        <v>1951</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1952</v>
      </c>
      <c r="X7" s="1131">
        <f>G2</f>
        <v>0</v>
      </c>
      <c r="Y7" s="1131" t="s">
        <v>1953</v>
      </c>
      <c r="Z7" s="1132">
        <f>G3</f>
        <v>0</v>
      </c>
      <c r="AA7" s="1133"/>
      <c r="AB7" s="1133"/>
      <c r="AC7" s="1134"/>
      <c r="AD7" s="1135"/>
      <c r="AE7" s="1135"/>
      <c r="AF7" s="1135"/>
      <c r="AG7" s="1135"/>
      <c r="AH7" s="1135"/>
      <c r="AI7" s="1135"/>
      <c r="AJ7" s="1136"/>
    </row>
    <row r="8" spans="1:36" ht="15.5">
      <c r="A8" s="3008"/>
      <c r="B8" s="162" t="s">
        <v>1954</v>
      </c>
      <c r="C8" s="1870"/>
      <c r="D8" s="712" t="s">
        <v>112</v>
      </c>
      <c r="E8" s="713" t="e">
        <f>ROUND(C11/E7,4)</f>
        <v>#DIV/0!</v>
      </c>
      <c r="F8" s="1871" t="s">
        <v>1955</v>
      </c>
      <c r="G8" s="1872"/>
      <c r="H8" s="1872"/>
      <c r="I8" s="1872"/>
      <c r="J8" s="1873"/>
      <c r="K8" s="1056"/>
      <c r="L8" s="1847" t="s">
        <v>1956</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94" t="s">
        <v>1957</v>
      </c>
      <c r="X8" s="3495"/>
      <c r="Y8" s="1137" t="s">
        <v>1958</v>
      </c>
      <c r="Z8" s="1137" t="s">
        <v>1959</v>
      </c>
      <c r="AA8" s="1137" t="s">
        <v>1960</v>
      </c>
      <c r="AB8" s="1137" t="s">
        <v>1961</v>
      </c>
      <c r="AC8" s="1137" t="s">
        <v>1962</v>
      </c>
      <c r="AD8" s="1137" t="s">
        <v>1963</v>
      </c>
      <c r="AE8" s="1137" t="s">
        <v>1964</v>
      </c>
      <c r="AF8" s="1137" t="s">
        <v>1965</v>
      </c>
      <c r="AG8" s="1137" t="s">
        <v>1966</v>
      </c>
      <c r="AH8" s="1137" t="s">
        <v>1967</v>
      </c>
      <c r="AI8" s="1137" t="s">
        <v>1968</v>
      </c>
      <c r="AJ8" s="1137" t="s">
        <v>1969</v>
      </c>
    </row>
    <row r="9" spans="1:36" ht="15.5">
      <c r="A9" s="3008"/>
      <c r="B9" s="162" t="s">
        <v>1970</v>
      </c>
      <c r="C9" s="714">
        <f>SUMIF(修正!C73:C140,C8,修正!E73:E140)</f>
        <v>0</v>
      </c>
      <c r="D9" s="163" t="s">
        <v>113</v>
      </c>
      <c r="E9" s="163" t="e">
        <f>ROUND(C11/E7,4)</f>
        <v>#DIV/0!</v>
      </c>
      <c r="F9" s="1871" t="s">
        <v>1971</v>
      </c>
      <c r="G9" s="1872"/>
      <c r="H9" s="1872"/>
      <c r="I9" s="1872"/>
      <c r="J9" s="1873"/>
      <c r="K9" s="1056"/>
      <c r="L9" s="1847" t="s">
        <v>1972</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96"/>
      <c r="X9" s="3063" t="s">
        <v>3257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1973</v>
      </c>
      <c r="C10" s="163">
        <f>SUMIF(修正!C73:C140,C8,修正!F73:F140)</f>
        <v>0</v>
      </c>
      <c r="D10" s="163" t="s">
        <v>114</v>
      </c>
      <c r="E10" s="163" t="e">
        <f>ROUND(C11/E7,4)</f>
        <v>#DIV/0!</v>
      </c>
      <c r="F10" s="1871" t="s">
        <v>1974</v>
      </c>
      <c r="G10" s="1872"/>
      <c r="H10" s="1872"/>
      <c r="I10" s="1872"/>
      <c r="J10" s="1873"/>
      <c r="K10" s="1056"/>
      <c r="L10" s="1847" t="s">
        <v>1975</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9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1976</v>
      </c>
      <c r="C11" s="715">
        <f>C10/4</f>
        <v>0</v>
      </c>
      <c r="D11" s="715" t="s">
        <v>115</v>
      </c>
      <c r="E11" s="715" t="e">
        <f>ROUND(C11/E7,4)</f>
        <v>#DIV/0!</v>
      </c>
      <c r="F11" s="1875" t="s">
        <v>1977</v>
      </c>
      <c r="G11" s="1876"/>
      <c r="H11" s="1876"/>
      <c r="I11" s="1876"/>
      <c r="J11" s="1877"/>
      <c r="K11" s="1056"/>
      <c r="L11" s="1847" t="s">
        <v>1978</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7" thickBot="1">
      <c r="A12" s="3011" t="s">
        <v>3229</v>
      </c>
      <c r="B12" s="3012" t="s">
        <v>3230</v>
      </c>
      <c r="C12" s="3013"/>
      <c r="D12" s="3014" t="s">
        <v>3231</v>
      </c>
      <c r="E12" s="3015" t="s">
        <v>3232</v>
      </c>
      <c r="F12" s="3016"/>
      <c r="G12" s="3017"/>
      <c r="H12" s="3017"/>
      <c r="I12" s="3017"/>
      <c r="J12" s="3018"/>
      <c r="K12" s="1056"/>
      <c r="L12" s="1796" t="s">
        <v>1981</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6.5" thickBot="1">
      <c r="A13" s="3011" t="s">
        <v>3233</v>
      </c>
      <c r="B13" s="1878" t="s">
        <v>1979</v>
      </c>
      <c r="C13" s="711">
        <f>ROUND(C16*D16*E16*F16*G16*H16*I16*J16,4)</f>
        <v>0</v>
      </c>
      <c r="D13" s="1879" t="s">
        <v>1980</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6">
      <c r="A14" s="3007"/>
      <c r="B14" s="1883" t="s">
        <v>1982</v>
      </c>
      <c r="C14" s="1884" t="s">
        <v>1983</v>
      </c>
      <c r="D14" s="1261" t="s">
        <v>1984</v>
      </c>
      <c r="E14" s="27" t="s">
        <v>1985</v>
      </c>
      <c r="F14" s="3019" t="s">
        <v>3234</v>
      </c>
      <c r="G14" s="3019" t="s">
        <v>3234</v>
      </c>
      <c r="H14" s="3019" t="s">
        <v>3234</v>
      </c>
      <c r="I14" s="3019" t="s">
        <v>3234</v>
      </c>
      <c r="J14" s="3019" t="s">
        <v>3234</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3235</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6" thickBot="1">
      <c r="A16" s="3007"/>
      <c r="B16" s="3025" t="s">
        <v>1986</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6">
      <c r="A17" s="3034" t="s">
        <v>3236</v>
      </c>
      <c r="B17" s="3026" t="s">
        <v>3237</v>
      </c>
      <c r="C17" s="3035">
        <f>ROUND(IF(OR(E2="工业",E2="公共服务"),1,IF(AND(E18=0,E19=0),1,IF(AND(E18=J24,E19=G19),0.8,IF(E19=0,1+E17*(-0.2),1+E17*G17*(-0.2))))),4)</f>
        <v>1</v>
      </c>
      <c r="D17" s="3027" t="s">
        <v>3238</v>
      </c>
      <c r="E17" s="3035" t="e">
        <f>ROUND(G18/I18,2)</f>
        <v>#DIV/0!</v>
      </c>
      <c r="F17" s="3027" t="s">
        <v>3241</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8"/>
      <c r="C18" s="3033"/>
      <c r="D18" s="3028" t="s">
        <v>3239</v>
      </c>
      <c r="E18" s="2355"/>
      <c r="F18" s="3029" t="s">
        <v>3242</v>
      </c>
      <c r="G18" s="3033">
        <f>ROUND(1-(1/(POWER(1+G24,E18))),4)</f>
        <v>0</v>
      </c>
      <c r="H18" s="3029" t="s">
        <v>3244</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3240</v>
      </c>
      <c r="E19" s="3042"/>
      <c r="F19" s="3043" t="s">
        <v>3243</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501" t="s">
        <v>3245</v>
      </c>
      <c r="B20" s="159" t="s">
        <v>1991</v>
      </c>
      <c r="C20" s="3030" t="e">
        <f>ROUND(IF(F21="与级别开发程度一致",0,(G21-E21)/C21),0)</f>
        <v>#DIV/0!</v>
      </c>
      <c r="D20" s="3045" t="s">
        <v>1995</v>
      </c>
      <c r="E20" s="3046"/>
      <c r="F20" s="3507" t="s">
        <v>1992</v>
      </c>
      <c r="G20" s="3508"/>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5" thickBot="1">
      <c r="A21" s="3502"/>
      <c r="B21" s="2002" t="s">
        <v>1994</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1997</v>
      </c>
      <c r="C22" s="1998">
        <f>SUMIF(修正!C20:C53,E3,修正!E20:E53)</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6" thickBot="1">
      <c r="A23" s="1892" t="s">
        <v>364</v>
      </c>
      <c r="B23" s="1893" t="s">
        <v>1998</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1999</v>
      </c>
      <c r="E23" s="717">
        <v>44197</v>
      </c>
      <c r="F23" s="1896" t="s">
        <v>2000</v>
      </c>
      <c r="G23" s="718">
        <f>'数据-取费表'!B2</f>
        <v>45957</v>
      </c>
      <c r="H23" s="3047"/>
      <c r="I23" s="3048" t="str">
        <f>IF(H23="季度增幅（自定义）",SUMIF(N25:N28,E2,O25:O28),"")</f>
        <v/>
      </c>
      <c r="J23" s="3140"/>
      <c r="K23" s="1061"/>
      <c r="L23" s="1897" t="s">
        <v>2001</v>
      </c>
      <c r="M23" s="1241">
        <f>ROUND(SUMIF(地价!B2:G2,E2,地价!B16:G16),0)</f>
        <v>0</v>
      </c>
      <c r="N23" s="1898" t="s">
        <v>2002</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2003</v>
      </c>
      <c r="C24" s="720" t="e">
        <f>ROUND(POWER(1+G24,J24-I24)*(POWER(1+G24,I24)-1)/(POWER(1+G24,J24)-1),4)</f>
        <v>#DIV/0!</v>
      </c>
      <c r="D24" s="1902" t="s">
        <v>2004</v>
      </c>
      <c r="E24" s="1248">
        <f>存贷款利率!E28/100</f>
        <v>4.3499999999999997E-2</v>
      </c>
      <c r="F24" s="1902" t="s">
        <v>1996</v>
      </c>
      <c r="G24" s="724">
        <f>SUMIF(M30:Q30,E2,M33:Q33)</f>
        <v>0</v>
      </c>
      <c r="H24" s="1902" t="s">
        <v>2005</v>
      </c>
      <c r="I24" s="725" t="e">
        <f>SUMIF('数据-取费表'!C6:C15,E2,'数据-取费表'!F6:F15)/COUNTIF('数据-取费表'!C6:C15,E2)</f>
        <v>#DIV/0!</v>
      </c>
      <c r="J24" s="726">
        <f>IF(E2="住宅",70,IF(E2="商业",40,50))</f>
        <v>50</v>
      </c>
      <c r="K24" s="1061"/>
      <c r="L24" s="1903" t="s">
        <v>2006</v>
      </c>
      <c r="M24" s="1242">
        <f>ROUND(SUMPRODUCT((地价!A4:A16=YEAR(G23)&amp;"-"&amp;ROUNDUP(MONTH(G23)/3,0))*(地价!B2:G2=E2)*(地价!B4:G16)),0)</f>
        <v>0</v>
      </c>
      <c r="N24" s="1904" t="s">
        <v>2007</v>
      </c>
      <c r="O24" s="1905" t="s">
        <v>2008</v>
      </c>
      <c r="P24" s="1906" t="s">
        <v>2009</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3324</v>
      </c>
      <c r="C25" s="461">
        <f>IF(B25="容积率修正",IF(G3&lt;10,D26,J26),C27)</f>
        <v>0</v>
      </c>
      <c r="D25" s="1909"/>
      <c r="E25" s="1909"/>
      <c r="F25" s="1909"/>
      <c r="G25" s="1909"/>
      <c r="H25" s="1909"/>
      <c r="I25" s="1909"/>
      <c r="J25" s="1910"/>
      <c r="K25" s="1061"/>
      <c r="L25" s="2551"/>
      <c r="M25" s="2551"/>
      <c r="N25" s="1911" t="s">
        <v>2010</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2011</v>
      </c>
      <c r="B26" s="1912" t="s">
        <v>2012</v>
      </c>
      <c r="C26" s="1912" t="s">
        <v>3246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3247</v>
      </c>
      <c r="J26" s="374" t="str">
        <f>IF(G3&gt;=10,D115,"——")</f>
        <v>——</v>
      </c>
      <c r="K26" s="1061"/>
      <c r="L26" s="2551"/>
      <c r="M26" s="2551"/>
      <c r="N26" s="1911" t="s">
        <v>2013</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2014</v>
      </c>
      <c r="B27" s="1913" t="s">
        <v>2015</v>
      </c>
      <c r="C27" s="791">
        <f>ROUND(IF(I3&lt;6,SUMPRODUCT((B106:B110=I3)*(C105:N105=G2)*(C106:N110)),SUMIF(C105:N105,G2,C112:N112)),4)</f>
        <v>0</v>
      </c>
      <c r="D27" s="1842"/>
      <c r="E27" s="1842"/>
      <c r="F27" s="1914"/>
      <c r="G27" s="1915"/>
      <c r="H27" s="1916"/>
      <c r="I27" s="1917"/>
      <c r="J27" s="1918"/>
      <c r="K27" s="1056"/>
      <c r="L27" s="1844"/>
      <c r="M27" s="1844"/>
      <c r="N27" s="1911" t="s">
        <v>2016</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2017</v>
      </c>
      <c r="C28" s="716">
        <f>SUMIF(A47:A101,E2,B47:B101)</f>
        <v>0</v>
      </c>
      <c r="D28" s="1894"/>
      <c r="E28" s="1919"/>
      <c r="F28" s="1919"/>
      <c r="G28" s="1919"/>
      <c r="H28" s="1919"/>
      <c r="I28" s="1919"/>
      <c r="J28" s="1920"/>
      <c r="K28" s="1061"/>
      <c r="L28" s="2551"/>
      <c r="M28" s="2551"/>
      <c r="N28" s="1921"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2019</v>
      </c>
      <c r="C29" s="721"/>
      <c r="D29" s="1868"/>
      <c r="E29" s="1868"/>
      <c r="F29" s="1923"/>
      <c r="G29" s="1868"/>
      <c r="H29" s="1868"/>
      <c r="I29" s="1868"/>
      <c r="J29" s="1869"/>
      <c r="K29" s="1056"/>
      <c r="L29" s="1844"/>
      <c r="M29" s="1844"/>
      <c r="N29" s="2548" t="s">
        <v>2020</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2021</v>
      </c>
      <c r="C30" s="2145" t="e">
        <f>IF(B25="容积率修正",E33+SUM(E37:E42),SUM(V2:V16)+SUM(E37:E42))</f>
        <v>#DIV/0!</v>
      </c>
      <c r="D30" s="1925"/>
      <c r="E30" s="1842"/>
      <c r="F30" s="1926"/>
      <c r="G30" s="1842"/>
      <c r="H30" s="1842"/>
      <c r="I30" s="1842"/>
      <c r="J30" s="1927"/>
      <c r="K30" s="1056"/>
      <c r="L30" s="3054" t="s">
        <v>1933</v>
      </c>
      <c r="M30" s="3055" t="s">
        <v>1987</v>
      </c>
      <c r="N30" s="3055" t="s">
        <v>1988</v>
      </c>
      <c r="O30" s="3055" t="s">
        <v>1989</v>
      </c>
      <c r="P30" s="3055" t="s">
        <v>1990</v>
      </c>
      <c r="Q30" s="3058" t="s">
        <v>3251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2022</v>
      </c>
      <c r="C31" s="722" t="e">
        <f>E34+SUM(I37:I42)</f>
        <v>#DIV/0!</v>
      </c>
      <c r="D31" s="1929"/>
      <c r="E31" s="1930"/>
      <c r="F31" s="1931"/>
      <c r="G31" s="1930"/>
      <c r="H31" s="1930"/>
      <c r="I31" s="1930"/>
      <c r="J31" s="1932"/>
      <c r="K31" s="1056"/>
      <c r="L31" s="3056" t="s">
        <v>1993</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2023</v>
      </c>
      <c r="C32" s="1935" t="s">
        <v>2024</v>
      </c>
      <c r="D32" s="1935" t="s">
        <v>2025</v>
      </c>
      <c r="E32" s="1936" t="s">
        <v>2026</v>
      </c>
      <c r="F32" s="1937"/>
      <c r="G32" s="1881"/>
      <c r="H32" s="1881"/>
      <c r="I32" s="1881"/>
      <c r="J32" s="1882"/>
      <c r="K32" s="1056"/>
      <c r="L32" s="3057" t="s">
        <v>1996</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2027</v>
      </c>
      <c r="C33" s="167" t="e">
        <f>ROUND(C5*C22*C23*C24*C25*C28,0)</f>
        <v>#DIV/0!</v>
      </c>
      <c r="D33" s="1940"/>
      <c r="E33" s="727" t="e">
        <f>ROUND(C33*D33/10000,0)</f>
        <v>#DIV/0!</v>
      </c>
      <c r="F33" s="3049" t="s">
        <v>3249</v>
      </c>
      <c r="G33" s="1941"/>
      <c r="H33" s="1941"/>
      <c r="I33" s="1941"/>
      <c r="J33" s="1942"/>
      <c r="K33" s="1056"/>
      <c r="L33" s="3052" t="s">
        <v>3252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2028</v>
      </c>
      <c r="C34" s="179" t="e">
        <f>ROUND(IF(E2="工业",C33*M42,IF(B25="楼层修正",SUM(V2:V16)*M41*10000/D34,C33*M41)),0)</f>
        <v>#DIV/0!</v>
      </c>
      <c r="D34" s="1945"/>
      <c r="E34" s="727" t="e">
        <f>ROUND(IF(B25="楼层修正",SUM(V2:V16)*M40,C34*D34/10000),0)</f>
        <v>#DIV/0!</v>
      </c>
      <c r="F34" s="1946" t="s">
        <v>2029</v>
      </c>
      <c r="G34" s="1947"/>
      <c r="H34" s="1947"/>
      <c r="I34" s="1947"/>
      <c r="J34" s="1948"/>
      <c r="K34" s="1056"/>
      <c r="L34" s="3052" t="s">
        <v>3253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2030</v>
      </c>
      <c r="C35" s="3050" t="s">
        <v>3250</v>
      </c>
      <c r="D35" s="1881"/>
      <c r="E35" s="1951"/>
      <c r="F35" s="1951"/>
      <c r="G35" s="1879" t="s">
        <v>2031</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2024</v>
      </c>
      <c r="D36" s="433" t="s">
        <v>2025</v>
      </c>
      <c r="E36" s="433" t="s">
        <v>2026</v>
      </c>
      <c r="F36" s="333" t="s">
        <v>2032</v>
      </c>
      <c r="G36" s="1954" t="s">
        <v>2024</v>
      </c>
      <c r="H36" s="1954" t="s">
        <v>2025</v>
      </c>
      <c r="I36" s="1954" t="s">
        <v>2026</v>
      </c>
      <c r="J36" s="235"/>
      <c r="K36" s="1964" t="s">
        <v>3254</v>
      </c>
      <c r="L36" s="3141"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505"/>
      <c r="B37" s="1955" t="s">
        <v>2033</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3"/>
      <c r="K37" s="3060" t="s">
        <v>3255</v>
      </c>
      <c r="L37" s="1964"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506"/>
      <c r="B38" s="1884" t="s">
        <v>2034</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06"/>
      <c r="B39" s="1884" t="s">
        <v>3248</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2035</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2036</v>
      </c>
      <c r="M40" s="1958"/>
      <c r="Z40" s="1057"/>
      <c r="AA40" s="1057"/>
      <c r="AB40" s="1057"/>
      <c r="AC40" s="1057"/>
      <c r="AD40" s="1057"/>
      <c r="AE40" s="1057"/>
      <c r="AF40" s="1057"/>
      <c r="AG40" s="1057"/>
      <c r="AH40" s="1057"/>
      <c r="AI40" s="1057"/>
      <c r="AJ40" s="1057"/>
    </row>
    <row r="41" spans="1:37" s="1056" customFormat="1" ht="13">
      <c r="A41" s="1956"/>
      <c r="B41" s="1884" t="s">
        <v>2037</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1" t="s">
        <v>3256</v>
      </c>
      <c r="M41" s="1959">
        <v>0.25</v>
      </c>
      <c r="Z41" s="1057"/>
      <c r="AA41" s="1057"/>
      <c r="AB41" s="1057"/>
      <c r="AC41" s="1057"/>
      <c r="AD41" s="1057"/>
      <c r="AE41" s="1057"/>
      <c r="AF41" s="1057"/>
      <c r="AG41" s="1057"/>
      <c r="AH41" s="1057"/>
      <c r="AI41" s="1057"/>
      <c r="AJ41" s="1057"/>
    </row>
    <row r="42" spans="1:37" s="1056" customFormat="1" ht="13.5" thickBot="1">
      <c r="A42" s="1943"/>
      <c r="B42" s="1960" t="s">
        <v>2038</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1990</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2116</v>
      </c>
      <c r="C44" s="333" t="e">
        <f>ROUND(POWER(1+E44,H44-G44)*(POWER(1+E44,G44)-1)/(POWER(1+E44,H44)-1),4)</f>
        <v>#DIV/0!</v>
      </c>
      <c r="D44" s="163" t="s">
        <v>1996</v>
      </c>
      <c r="E44" s="1991">
        <f>G24</f>
        <v>0</v>
      </c>
      <c r="F44" s="163" t="s">
        <v>2005</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2039</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2040</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2041</v>
      </c>
      <c r="B49" s="1262" t="s">
        <v>2042</v>
      </c>
      <c r="C49" s="1262" t="s">
        <v>2043</v>
      </c>
      <c r="D49" s="1262" t="s">
        <v>2044</v>
      </c>
      <c r="E49" s="701" t="s">
        <v>2045</v>
      </c>
      <c r="F49" s="1971" t="s">
        <v>2046</v>
      </c>
      <c r="G49" s="1262" t="s">
        <v>310</v>
      </c>
      <c r="H49" s="1972" t="s">
        <v>2047</v>
      </c>
      <c r="I49" s="1262" t="s">
        <v>2048</v>
      </c>
      <c r="J49" s="530" t="s">
        <v>1718</v>
      </c>
      <c r="K49" s="530" t="s">
        <v>1719</v>
      </c>
      <c r="L49" s="530" t="s">
        <v>1720</v>
      </c>
      <c r="M49" s="530" t="s">
        <v>1721</v>
      </c>
      <c r="N49" s="530" t="s">
        <v>1722</v>
      </c>
      <c r="AA49" s="1057"/>
      <c r="AB49" s="1057"/>
      <c r="AC49" s="1057"/>
      <c r="AD49" s="1057"/>
      <c r="AE49" s="1057"/>
      <c r="AF49" s="1057"/>
      <c r="AG49" s="1057"/>
      <c r="AH49" s="1057"/>
      <c r="AI49" s="1057"/>
      <c r="AJ49" s="1057"/>
      <c r="AK49" s="1057"/>
    </row>
    <row r="50" spans="1:37" s="1056" customFormat="1" ht="50">
      <c r="A50" s="1970" t="s">
        <v>2049</v>
      </c>
      <c r="B50" s="1973" t="str">
        <f>估价对象房地状况!C4</f>
        <v>咨询对象位于大兴区西红门镇大白楼村，周边多为大白楼村村民居住用房，人流量小，商业繁华度较差</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00">
      <c r="A51" s="1970" t="s">
        <v>2050</v>
      </c>
      <c r="B51" s="1262" t="str">
        <f>估价对象房地状况!C18</f>
        <v>咨询对象北侧临城市支路——大金北路，西侧距城市次干道——团河路直线距离约110米，周边1公里范围内有369、485、676等多条线路经过，2公里范围内无地铁，项目内部有地面停车位，综合评价交通便捷度一般</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3258</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2051</v>
      </c>
      <c r="B53" s="1974" t="s">
        <v>2052</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2053</v>
      </c>
      <c r="B54" s="1262" t="str">
        <f>估价对象房地状况!C24</f>
        <v>城市支路——大金北路</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2054</v>
      </c>
      <c r="B55" s="1975" t="s">
        <v>2055</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137.5">
      <c r="A56" s="1976" t="s">
        <v>2056</v>
      </c>
      <c r="B56" s="1240"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2057</v>
      </c>
      <c r="B57" s="1262" t="str">
        <f>估价对象房地状况!C22</f>
        <v>估价对象所在区域基础设施水平：七通</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88" thickBot="1">
      <c r="A58" s="1977" t="s">
        <v>2058</v>
      </c>
      <c r="B58" s="1978" t="str">
        <f>估价对象房地状况!C20</f>
        <v>区域自然环境：寿保庄公园、敬贤公园、新三余公园、星光·视界公园；人文环境：中国人民公安大学（团河校区）、民政职业大学（大兴校区）；综合评价环境状况较好</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2059</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2041</v>
      </c>
      <c r="B60" s="1262"/>
      <c r="C60" s="1262" t="s">
        <v>2043</v>
      </c>
      <c r="D60" s="1262" t="s">
        <v>2044</v>
      </c>
      <c r="E60" s="701" t="s">
        <v>2045</v>
      </c>
      <c r="F60" s="1971" t="s">
        <v>2060</v>
      </c>
      <c r="G60" s="1262" t="s">
        <v>310</v>
      </c>
      <c r="H60" s="1972" t="s">
        <v>2047</v>
      </c>
      <c r="I60" s="1262" t="s">
        <v>2048</v>
      </c>
      <c r="J60" s="530" t="s">
        <v>1718</v>
      </c>
      <c r="K60" s="530" t="s">
        <v>1719</v>
      </c>
      <c r="L60" s="530" t="s">
        <v>1720</v>
      </c>
      <c r="M60" s="530" t="s">
        <v>1721</v>
      </c>
      <c r="N60" s="530" t="s">
        <v>1722</v>
      </c>
      <c r="AA60" s="1057"/>
      <c r="AB60" s="1057"/>
      <c r="AC60" s="1057"/>
      <c r="AD60" s="1057"/>
      <c r="AE60" s="1057"/>
      <c r="AF60" s="1057"/>
      <c r="AG60" s="1057"/>
      <c r="AH60" s="1057"/>
      <c r="AI60" s="1057"/>
      <c r="AJ60" s="1057"/>
      <c r="AK60" s="1057"/>
    </row>
    <row r="61" spans="1:37" s="1056" customFormat="1" ht="50">
      <c r="A61" s="1970" t="s">
        <v>2061</v>
      </c>
      <c r="B61" s="1973" t="str">
        <f>估价对象房地状况!C17</f>
        <v>估价对象位于大兴区西红门大白楼村，周边办公楼项目较多，入驻率高，办公集聚程度较好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00">
      <c r="A62" s="1970" t="s">
        <v>2050</v>
      </c>
      <c r="B62" s="1262" t="str">
        <f>估价对象房地状况!C18</f>
        <v>咨询对象北侧临城市支路——大金北路，西侧距城市次干道——团河路直线距离约110米，周边1公里范围内有369、485、676等多条线路经过，2公里范围内无地铁，项目内部有地面停车位，综合评价交通便捷度一般</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69" t="s">
        <v>3258</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2051</v>
      </c>
      <c r="B64" s="1974" t="s">
        <v>2052</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2053</v>
      </c>
      <c r="B65" s="1262" t="str">
        <f>估价对象房地状况!C24</f>
        <v>城市支路——大金北路</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2054</v>
      </c>
      <c r="B66" s="1975" t="s">
        <v>2055</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37.5">
      <c r="A67" s="1970" t="s">
        <v>2056</v>
      </c>
      <c r="B67" s="1240"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2057</v>
      </c>
      <c r="B68" s="1240" t="str">
        <f>估价对象房地状况!C22</f>
        <v>估价对象所在区域基础设施水平：七通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88" thickBot="1">
      <c r="A69" s="1977" t="s">
        <v>2058</v>
      </c>
      <c r="B69" s="1979" t="str">
        <f>估价对象房地状况!C20</f>
        <v>区域自然环境：寿保庄公园、敬贤公园、新三余公园、星光·视界公园；人文环境：中国人民公安大学（团河校区）、民政职业大学（大兴校区）；综合评价环境状况较好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2062</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2041</v>
      </c>
      <c r="B71" s="1262"/>
      <c r="C71" s="1262" t="s">
        <v>2043</v>
      </c>
      <c r="D71" s="1262" t="s">
        <v>2044</v>
      </c>
      <c r="E71" s="701" t="s">
        <v>2045</v>
      </c>
      <c r="F71" s="1971" t="s">
        <v>2060</v>
      </c>
      <c r="G71" s="1262" t="s">
        <v>310</v>
      </c>
      <c r="H71" s="1972" t="s">
        <v>2047</v>
      </c>
      <c r="I71" s="1262" t="s">
        <v>2048</v>
      </c>
      <c r="J71" s="530" t="s">
        <v>1718</v>
      </c>
      <c r="K71" s="530" t="s">
        <v>1719</v>
      </c>
      <c r="L71" s="530" t="s">
        <v>1720</v>
      </c>
      <c r="M71" s="530" t="s">
        <v>1721</v>
      </c>
      <c r="N71" s="530" t="s">
        <v>1722</v>
      </c>
      <c r="AA71" s="1057"/>
      <c r="AB71" s="1057"/>
      <c r="AC71" s="1057"/>
      <c r="AD71" s="1057"/>
      <c r="AE71" s="1057"/>
      <c r="AF71" s="1057"/>
      <c r="AG71" s="1057"/>
      <c r="AH71" s="1057"/>
      <c r="AI71" s="1057"/>
      <c r="AJ71" s="1057"/>
      <c r="AK71" s="1057"/>
    </row>
    <row r="72" spans="1:37" s="1056" customFormat="1" ht="50">
      <c r="A72" s="1970" t="s">
        <v>2063</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00">
      <c r="A73" s="1970" t="s">
        <v>2050</v>
      </c>
      <c r="B73" s="1262" t="str">
        <f>估价对象房地状况!C18</f>
        <v>咨询对象北侧临城市支路——大金北路，西侧距城市次干道——团河路直线距离约110米，周边1公里范围内有369、485、676等多条线路经过，2公里范围内无地铁，项目内部有地面停车位，综合评价交通便捷度一般</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3258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2064</v>
      </c>
      <c r="B75" s="1262" t="str">
        <f>估价对象房地状况!C24</f>
        <v>城市支路——大金北路</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37.5">
      <c r="A76" s="1970" t="s">
        <v>2056</v>
      </c>
      <c r="B76" s="1240"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2057</v>
      </c>
      <c r="B77" s="1240" t="str">
        <f>估价对象房地状况!C22</f>
        <v>估价对象所在区域基础设施水平：七通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2054</v>
      </c>
      <c r="B78" s="1975" t="s">
        <v>2055</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87.5">
      <c r="A79" s="1970" t="s">
        <v>2058</v>
      </c>
      <c r="B79" s="1973" t="str">
        <f>估价对象房地状况!C20</f>
        <v>区域自然环境：寿保庄公园、敬贤公园、新三余公园、星光·视界公园；人文环境：中国人民公安大学（团河校区）、民政职业大学（大兴校区）；综合评价环境状况较好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2065</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2066</v>
      </c>
      <c r="B81" s="1968">
        <f>1+E83</f>
        <v>1</v>
      </c>
      <c r="C81" s="699"/>
      <c r="D81" s="699"/>
      <c r="E81" s="700"/>
      <c r="F81" s="1969"/>
      <c r="G81" s="3"/>
      <c r="H81" s="3"/>
      <c r="I81" s="3"/>
      <c r="J81" s="4"/>
      <c r="K81" s="4"/>
      <c r="L81" s="4"/>
      <c r="M81" s="4"/>
      <c r="N81" s="4"/>
      <c r="Z81" s="1845"/>
      <c r="AA81" s="1895"/>
      <c r="AG81" s="1058"/>
      <c r="AK81" s="1895"/>
    </row>
    <row r="82" spans="1:37" ht="26">
      <c r="A82" s="1970" t="s">
        <v>2041</v>
      </c>
      <c r="B82" s="1262"/>
      <c r="C82" s="1262" t="s">
        <v>2043</v>
      </c>
      <c r="D82" s="1262" t="s">
        <v>2044</v>
      </c>
      <c r="E82" s="701" t="s">
        <v>2045</v>
      </c>
      <c r="F82" s="1971" t="s">
        <v>2060</v>
      </c>
      <c r="G82" s="1262" t="s">
        <v>310</v>
      </c>
      <c r="H82" s="1972" t="s">
        <v>2047</v>
      </c>
      <c r="I82" s="1262" t="s">
        <v>2048</v>
      </c>
      <c r="J82" s="530" t="s">
        <v>1718</v>
      </c>
      <c r="K82" s="530" t="s">
        <v>1719</v>
      </c>
      <c r="L82" s="530" t="s">
        <v>1720</v>
      </c>
      <c r="M82" s="530" t="s">
        <v>1721</v>
      </c>
      <c r="N82" s="530" t="s">
        <v>1722</v>
      </c>
      <c r="Z82" s="1845"/>
      <c r="AA82" s="1895"/>
      <c r="AG82" s="1058"/>
      <c r="AK82" s="1895"/>
    </row>
    <row r="83" spans="1:37" ht="37.5">
      <c r="A83" s="1970" t="s">
        <v>2067</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2050</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3259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2064</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2056</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2057</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2054</v>
      </c>
      <c r="B89" s="1975" t="s">
        <v>2068</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2069</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2603</v>
      </c>
      <c r="B91" s="3078">
        <f>1+E93</f>
        <v>1</v>
      </c>
      <c r="C91" s="3071"/>
      <c r="D91" s="3072"/>
      <c r="E91" s="1675"/>
      <c r="F91" s="1675"/>
      <c r="G91" s="3073"/>
      <c r="H91" s="3074"/>
      <c r="I91" s="3075"/>
      <c r="J91" s="3076"/>
      <c r="K91" s="3076"/>
      <c r="L91" s="3076"/>
      <c r="M91" s="3076"/>
      <c r="N91" s="3076"/>
    </row>
    <row r="92" spans="1:37" ht="26">
      <c r="A92" s="3079" t="s">
        <v>3260</v>
      </c>
      <c r="B92" s="2308"/>
      <c r="C92" s="2308" t="s">
        <v>3269</v>
      </c>
      <c r="D92" s="2308" t="s">
        <v>3270</v>
      </c>
      <c r="E92" s="3051" t="s">
        <v>3271</v>
      </c>
      <c r="F92" s="3081" t="s">
        <v>3272</v>
      </c>
      <c r="G92" s="2308" t="s">
        <v>3273</v>
      </c>
      <c r="H92" s="3088" t="s">
        <v>3276</v>
      </c>
      <c r="I92" s="2308" t="s">
        <v>3277</v>
      </c>
      <c r="J92" s="2150" t="s">
        <v>3278</v>
      </c>
      <c r="K92" s="2150" t="s">
        <v>3279</v>
      </c>
      <c r="L92" s="2150" t="s">
        <v>3280</v>
      </c>
      <c r="M92" s="2150" t="s">
        <v>3281</v>
      </c>
      <c r="N92" s="2150" t="s">
        <v>3282</v>
      </c>
    </row>
    <row r="93" spans="1:37" ht="26">
      <c r="A93" s="3069" t="s">
        <v>3261</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100">
      <c r="A94" s="3079" t="s">
        <v>3262</v>
      </c>
      <c r="B94" s="3070" t="str">
        <f>估价对象房地状况!C18</f>
        <v>咨询对象北侧临城市支路——大金北路，西侧距城市次干道——团河路直线距离约110米，周边1公里范围内有369、485、676等多条线路经过，2公里范围内无地铁，项目内部有地面停车位，综合评价交通便捷度一般</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3258</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3263</v>
      </c>
      <c r="B96" s="3085" t="s">
        <v>3274</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3264</v>
      </c>
      <c r="B97" s="3070" t="str">
        <f>估价对象房地状况!C24</f>
        <v>城市支路——大金北路</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3265</v>
      </c>
      <c r="B98" s="3086" t="s">
        <v>3275</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137.5">
      <c r="A99" s="3079" t="s">
        <v>3266</v>
      </c>
      <c r="B99" s="3070" t="str">
        <f>估价对象房地状况!C21</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3267</v>
      </c>
      <c r="B100" s="3070" t="str">
        <f>估价对象房地状况!C22</f>
        <v>估价对象所在区域基础设施水平：七通</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88" thickBot="1">
      <c r="A101" s="3080" t="s">
        <v>3268</v>
      </c>
      <c r="B101" s="3087" t="str">
        <f>估价对象房地状况!C20</f>
        <v>区域自然环境：寿保庄公园、敬贤公园、新三余公园、星光·视界公园；人文环境：中国人民公安大学（团河校区）、民政职业大学（大兴校区）；综合评价环境状况较好</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503" t="s">
        <v>3283</v>
      </c>
      <c r="B103" s="3503"/>
      <c r="C103" s="3503"/>
      <c r="D103" s="3503"/>
      <c r="E103" s="3503"/>
      <c r="F103" s="3503"/>
      <c r="G103" s="3503"/>
      <c r="H103" s="3503"/>
      <c r="I103" s="3503"/>
      <c r="J103" s="3503"/>
      <c r="K103" s="1667"/>
      <c r="L103" s="1667"/>
      <c r="M103" s="1667"/>
      <c r="N103" s="1667"/>
    </row>
    <row r="104" spans="1:14" ht="13">
      <c r="A104" s="3504" t="s">
        <v>3284</v>
      </c>
      <c r="B104" s="3504" t="s">
        <v>3285</v>
      </c>
      <c r="C104" s="3089" t="s">
        <v>3286</v>
      </c>
      <c r="D104" s="3090"/>
      <c r="E104" s="3090"/>
      <c r="F104" s="3090"/>
      <c r="G104" s="3090"/>
      <c r="H104" s="3090"/>
      <c r="I104" s="3090"/>
      <c r="J104" s="3091"/>
      <c r="K104" s="3092"/>
      <c r="L104" s="3092"/>
      <c r="M104" s="3092"/>
      <c r="N104" s="3092"/>
    </row>
    <row r="105" spans="1:14" ht="13">
      <c r="A105" s="3504"/>
      <c r="B105" s="3504"/>
      <c r="C105" s="3093" t="s">
        <v>3287</v>
      </c>
      <c r="D105" s="3093" t="s">
        <v>3288</v>
      </c>
      <c r="E105" s="3093" t="s">
        <v>3289</v>
      </c>
      <c r="F105" s="3093" t="s">
        <v>3290</v>
      </c>
      <c r="G105" s="3093" t="s">
        <v>3291</v>
      </c>
      <c r="H105" s="3093" t="s">
        <v>3292</v>
      </c>
      <c r="I105" s="3093" t="s">
        <v>3293</v>
      </c>
      <c r="J105" s="3093" t="s">
        <v>3294</v>
      </c>
      <c r="K105" s="3093" t="s">
        <v>3295</v>
      </c>
      <c r="L105" s="3093" t="s">
        <v>3296</v>
      </c>
      <c r="M105" s="3093" t="s">
        <v>3297</v>
      </c>
      <c r="N105" s="3093" t="s">
        <v>3298</v>
      </c>
    </row>
    <row r="106" spans="1:14">
      <c r="A106" s="3490" t="s">
        <v>3299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9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9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9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9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91"/>
      <c r="B111" s="3093" t="s">
        <v>3257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92"/>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93" t="s">
        <v>3300</v>
      </c>
      <c r="B113" s="3493"/>
      <c r="C113" s="3493"/>
      <c r="D113" s="3493"/>
      <c r="E113" s="3493"/>
      <c r="F113" s="3493"/>
      <c r="G113" s="3493"/>
      <c r="H113" s="3493"/>
      <c r="I113" s="3493"/>
      <c r="J113" s="349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3301</v>
      </c>
      <c r="B116" s="3113">
        <f>G3</f>
        <v>0</v>
      </c>
      <c r="C116" s="3098" t="s">
        <v>3302</v>
      </c>
      <c r="D116" s="3099">
        <f>SUMPRODUCT((A118:A122=F116)*(B117:M117=H116)*B118:M122)</f>
        <v>0</v>
      </c>
      <c r="E116" s="162" t="s">
        <v>3303</v>
      </c>
      <c r="F116" s="3100">
        <f>E2</f>
        <v>0</v>
      </c>
      <c r="G116" s="162" t="s">
        <v>3304</v>
      </c>
      <c r="H116" s="3100">
        <f>G2</f>
        <v>0</v>
      </c>
      <c r="I116" s="162"/>
      <c r="J116" s="3101"/>
      <c r="K116" s="3101"/>
      <c r="L116" s="3101"/>
      <c r="M116" s="3101"/>
      <c r="N116" s="3096"/>
    </row>
    <row r="117" spans="1:14" ht="13">
      <c r="A117" s="3102"/>
      <c r="B117" s="3103" t="s">
        <v>3305</v>
      </c>
      <c r="C117" s="3103" t="s">
        <v>3306</v>
      </c>
      <c r="D117" s="3103" t="s">
        <v>3307</v>
      </c>
      <c r="E117" s="3104" t="s">
        <v>3308</v>
      </c>
      <c r="F117" s="3104" t="s">
        <v>3309</v>
      </c>
      <c r="G117" s="3104" t="s">
        <v>3310</v>
      </c>
      <c r="H117" s="3105" t="s">
        <v>3311</v>
      </c>
      <c r="I117" s="3105" t="s">
        <v>3312</v>
      </c>
      <c r="J117" s="3106" t="s">
        <v>3313</v>
      </c>
      <c r="K117" s="3106" t="s">
        <v>3314</v>
      </c>
      <c r="L117" s="3106" t="s">
        <v>3315</v>
      </c>
      <c r="M117" s="3107" t="s">
        <v>3316</v>
      </c>
      <c r="N117" s="3096"/>
    </row>
    <row r="118" spans="1:14" ht="13">
      <c r="A118" s="3056" t="s">
        <v>3317</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ht="13">
      <c r="A119" s="3056" t="s">
        <v>3318</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ht="13">
      <c r="A120" s="3056" t="s">
        <v>3319</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3320</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ht="13">
      <c r="A122" s="3112" t="s">
        <v>2603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50:H58 H61:H69 H72:H80 H83:H91">
    <cfRule type="cellIs" dxfId="16" priority="2" operator="notEqual">
      <formula>"——"</formula>
    </cfRule>
  </conditionalFormatting>
  <conditionalFormatting sqref="H93:H101">
    <cfRule type="cellIs" dxfId="15"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20" t="s">
        <v>2598</v>
      </c>
      <c r="B20" s="3513" t="s">
        <v>2619</v>
      </c>
      <c r="C20" s="3167" t="s">
        <v>2430</v>
      </c>
      <c r="D20" s="3167"/>
      <c r="E20" s="2843">
        <v>1</v>
      </c>
      <c r="F20" s="2844" t="s">
        <v>2431</v>
      </c>
      <c r="G20" s="2844"/>
    </row>
    <row r="21" spans="1:13" ht="19.5" customHeight="1">
      <c r="A21" s="3521"/>
      <c r="B21" s="3509"/>
      <c r="C21" s="2856" t="s">
        <v>2432</v>
      </c>
      <c r="D21" s="2856"/>
      <c r="E21" s="2847">
        <v>1</v>
      </c>
      <c r="F21" s="2844" t="s">
        <v>2433</v>
      </c>
      <c r="G21" s="2844"/>
    </row>
    <row r="22" spans="1:13" ht="19.5" customHeight="1">
      <c r="A22" s="3521"/>
      <c r="B22" s="3509"/>
      <c r="C22" s="2856" t="s">
        <v>2434</v>
      </c>
      <c r="D22" s="2856"/>
      <c r="E22" s="2847">
        <v>0.9</v>
      </c>
      <c r="F22" s="2844" t="s">
        <v>2435</v>
      </c>
      <c r="G22" s="2844"/>
    </row>
    <row r="23" spans="1:13" ht="19.5" customHeight="1">
      <c r="A23" s="3521"/>
      <c r="B23" s="3509"/>
      <c r="C23" s="2856" t="s">
        <v>2436</v>
      </c>
      <c r="D23" s="2856"/>
      <c r="E23" s="2847">
        <v>0.9</v>
      </c>
      <c r="F23" s="2844" t="s">
        <v>2437</v>
      </c>
      <c r="G23" s="2844"/>
    </row>
    <row r="24" spans="1:13" ht="19.5" customHeight="1">
      <c r="A24" s="3521"/>
      <c r="B24" s="3509"/>
      <c r="C24" s="2856" t="s">
        <v>2438</v>
      </c>
      <c r="D24" s="2856"/>
      <c r="E24" s="2847">
        <v>0.8</v>
      </c>
      <c r="F24" s="2844" t="s">
        <v>2439</v>
      </c>
      <c r="G24" s="2844"/>
    </row>
    <row r="25" spans="1:13" ht="19.5" customHeight="1">
      <c r="A25" s="3521"/>
      <c r="B25" s="3509"/>
      <c r="C25" s="2856" t="s">
        <v>2440</v>
      </c>
      <c r="D25" s="2856"/>
      <c r="E25" s="2847">
        <v>0.8</v>
      </c>
      <c r="F25" s="2844"/>
      <c r="G25" s="2844"/>
    </row>
    <row r="26" spans="1:13" ht="19.5" customHeight="1">
      <c r="A26" s="3521"/>
      <c r="B26" s="3509"/>
      <c r="C26" s="2856" t="s">
        <v>3398</v>
      </c>
      <c r="D26" s="2856"/>
      <c r="E26" s="2847">
        <v>0.43</v>
      </c>
      <c r="F26" s="2844"/>
      <c r="G26" s="2844"/>
    </row>
    <row r="27" spans="1:13" ht="19.5" customHeight="1" thickBot="1">
      <c r="A27" s="3522"/>
      <c r="B27" s="3514"/>
      <c r="C27" s="3163" t="s">
        <v>3399</v>
      </c>
      <c r="D27" s="3163"/>
      <c r="E27" s="2850">
        <f>E26*0.9</f>
        <v>0.38700000000000001</v>
      </c>
      <c r="F27" s="2844" t="s">
        <v>2441</v>
      </c>
      <c r="G27" s="2844"/>
    </row>
    <row r="28" spans="1:13" ht="19.5" customHeight="1" thickBot="1">
      <c r="A28" s="3162" t="s">
        <v>2620</v>
      </c>
      <c r="B28" s="3161" t="s">
        <v>2619</v>
      </c>
      <c r="C28" s="3164" t="s">
        <v>2621</v>
      </c>
      <c r="D28" s="3165"/>
      <c r="E28" s="3166">
        <v>1</v>
      </c>
      <c r="F28" s="2844" t="s">
        <v>2442</v>
      </c>
      <c r="G28" s="2844"/>
    </row>
    <row r="29" spans="1:13" ht="19.5" customHeight="1">
      <c r="A29" s="3515" t="s">
        <v>2622</v>
      </c>
      <c r="B29" s="3518" t="s">
        <v>2603</v>
      </c>
      <c r="C29" s="2841" t="s">
        <v>2443</v>
      </c>
      <c r="D29" s="2842"/>
      <c r="E29" s="2843">
        <v>1</v>
      </c>
      <c r="F29" s="2844" t="s">
        <v>2444</v>
      </c>
      <c r="G29" s="2844"/>
    </row>
    <row r="30" spans="1:13" ht="19.5" customHeight="1">
      <c r="A30" s="3516"/>
      <c r="B30" s="3512"/>
      <c r="C30" s="2845" t="s">
        <v>2445</v>
      </c>
      <c r="D30" s="2846"/>
      <c r="E30" s="2847">
        <v>1</v>
      </c>
      <c r="F30" s="2844" t="s">
        <v>2446</v>
      </c>
      <c r="G30" s="2844"/>
    </row>
    <row r="31" spans="1:13" ht="19.5" customHeight="1">
      <c r="A31" s="3516"/>
      <c r="B31" s="3512"/>
      <c r="C31" s="2845" t="s">
        <v>2447</v>
      </c>
      <c r="D31" s="2846"/>
      <c r="E31" s="2847">
        <v>0.8</v>
      </c>
      <c r="F31" s="2844" t="s">
        <v>2448</v>
      </c>
      <c r="G31" s="2844"/>
    </row>
    <row r="32" spans="1:13" ht="19.5" customHeight="1">
      <c r="A32" s="3516"/>
      <c r="B32" s="3512"/>
      <c r="C32" s="2845" t="s">
        <v>2449</v>
      </c>
      <c r="D32" s="2846"/>
      <c r="E32" s="2847">
        <v>0.8</v>
      </c>
      <c r="F32" s="2844" t="s">
        <v>2450</v>
      </c>
      <c r="G32" s="2844"/>
    </row>
    <row r="33" spans="1:7" ht="19.5" customHeight="1">
      <c r="A33" s="3516"/>
      <c r="B33" s="3512"/>
      <c r="C33" s="2845" t="s">
        <v>2451</v>
      </c>
      <c r="D33" s="2846"/>
      <c r="E33" s="2847">
        <v>0.8</v>
      </c>
      <c r="F33" s="2844" t="s">
        <v>2452</v>
      </c>
      <c r="G33" s="2844"/>
    </row>
    <row r="34" spans="1:7" ht="19.5" customHeight="1">
      <c r="A34" s="3516"/>
      <c r="B34" s="3512"/>
      <c r="C34" s="2845" t="s">
        <v>2453</v>
      </c>
      <c r="D34" s="2846"/>
      <c r="E34" s="2847">
        <v>0.7</v>
      </c>
      <c r="F34" s="2844" t="s">
        <v>2454</v>
      </c>
      <c r="G34" s="2844"/>
    </row>
    <row r="35" spans="1:7" ht="19.5" customHeight="1">
      <c r="A35" s="3516"/>
      <c r="B35" s="3512"/>
      <c r="C35" s="2845" t="s">
        <v>2455</v>
      </c>
      <c r="D35" s="2846"/>
      <c r="E35" s="2847">
        <v>0.8</v>
      </c>
      <c r="F35" s="2844" t="s">
        <v>2456</v>
      </c>
      <c r="G35" s="2844"/>
    </row>
    <row r="36" spans="1:7" ht="19.5" customHeight="1">
      <c r="A36" s="3516"/>
      <c r="B36" s="3512"/>
      <c r="C36" s="2845" t="s">
        <v>2457</v>
      </c>
      <c r="D36" s="2846"/>
      <c r="E36" s="2847">
        <v>0.6</v>
      </c>
      <c r="F36" s="2844" t="s">
        <v>2458</v>
      </c>
      <c r="G36" s="2844"/>
    </row>
    <row r="37" spans="1:7" ht="19.5" customHeight="1">
      <c r="A37" s="3516"/>
      <c r="B37" s="3512"/>
      <c r="C37" s="2845" t="s">
        <v>2459</v>
      </c>
      <c r="D37" s="2846"/>
      <c r="E37" s="2847">
        <v>0.2</v>
      </c>
      <c r="F37" s="2844" t="s">
        <v>2460</v>
      </c>
      <c r="G37" s="2844"/>
    </row>
    <row r="38" spans="1:7" ht="19.5" customHeight="1">
      <c r="A38" s="3516"/>
      <c r="B38" s="3512"/>
      <c r="C38" s="2845" t="s">
        <v>2461</v>
      </c>
      <c r="D38" s="2846"/>
      <c r="E38" s="2847">
        <v>0.2</v>
      </c>
      <c r="F38" s="2844" t="s">
        <v>2462</v>
      </c>
      <c r="G38" s="2844"/>
    </row>
    <row r="39" spans="1:7" ht="19.5" customHeight="1">
      <c r="A39" s="3516"/>
      <c r="B39" s="3510" t="s">
        <v>2623</v>
      </c>
      <c r="C39" s="2845" t="s">
        <v>2463</v>
      </c>
      <c r="D39" s="2846"/>
      <c r="E39" s="2847">
        <v>0.6</v>
      </c>
      <c r="F39" s="2844" t="s">
        <v>2464</v>
      </c>
      <c r="G39" s="2844"/>
    </row>
    <row r="40" spans="1:7" ht="19.5" customHeight="1">
      <c r="A40" s="3516"/>
      <c r="B40" s="3512"/>
      <c r="C40" s="2845" t="s">
        <v>2465</v>
      </c>
      <c r="D40" s="2846"/>
      <c r="E40" s="2847">
        <v>0.6</v>
      </c>
      <c r="F40" s="2844" t="s">
        <v>2466</v>
      </c>
      <c r="G40" s="2844"/>
    </row>
    <row r="41" spans="1:7" ht="19.5" customHeight="1" thickBot="1">
      <c r="A41" s="3517"/>
      <c r="B41" s="3519"/>
      <c r="C41" s="2848" t="s">
        <v>2467</v>
      </c>
      <c r="D41" s="2849"/>
      <c r="E41" s="2850">
        <v>0.6</v>
      </c>
      <c r="F41" s="2844" t="s">
        <v>2468</v>
      </c>
      <c r="G41" s="2844"/>
    </row>
    <row r="42" spans="1:7" ht="19.5" customHeight="1" thickBot="1">
      <c r="A42" s="2851" t="s">
        <v>2600</v>
      </c>
      <c r="B42" s="2852" t="s">
        <v>2600</v>
      </c>
      <c r="C42" s="2853" t="s">
        <v>2624</v>
      </c>
      <c r="D42" s="2854"/>
      <c r="E42" s="2855">
        <v>1</v>
      </c>
      <c r="F42" s="2844" t="s">
        <v>2469</v>
      </c>
      <c r="G42" s="2844"/>
    </row>
    <row r="43" spans="1:7" ht="19.5" customHeight="1">
      <c r="A43" s="3520" t="s">
        <v>2601</v>
      </c>
      <c r="B43" s="3518" t="s">
        <v>2625</v>
      </c>
      <c r="C43" s="2841" t="s">
        <v>2470</v>
      </c>
      <c r="D43" s="2842"/>
      <c r="E43" s="2843">
        <v>1</v>
      </c>
      <c r="F43" s="2844" t="s">
        <v>2471</v>
      </c>
      <c r="G43" s="2844"/>
    </row>
    <row r="44" spans="1:7" ht="19.5" customHeight="1">
      <c r="A44" s="3521"/>
      <c r="B44" s="3512"/>
      <c r="C44" s="2845" t="s">
        <v>2472</v>
      </c>
      <c r="D44" s="2846"/>
      <c r="E44" s="2847">
        <v>1</v>
      </c>
      <c r="F44" s="2844" t="s">
        <v>2473</v>
      </c>
      <c r="G44" s="2844"/>
    </row>
    <row r="45" spans="1:7" ht="19.5" customHeight="1">
      <c r="A45" s="3521"/>
      <c r="B45" s="3511"/>
      <c r="C45" s="2845" t="s">
        <v>2474</v>
      </c>
      <c r="D45" s="2846"/>
      <c r="E45" s="2847">
        <v>1.5</v>
      </c>
      <c r="F45" s="2844" t="s">
        <v>2475</v>
      </c>
      <c r="G45" s="2844"/>
    </row>
    <row r="46" spans="1:7" ht="19.5" customHeight="1">
      <c r="A46" s="3521"/>
      <c r="B46" s="2856" t="s">
        <v>2626</v>
      </c>
      <c r="C46" s="2845" t="s">
        <v>2627</v>
      </c>
      <c r="D46" s="2846"/>
      <c r="E46" s="2847">
        <v>2</v>
      </c>
      <c r="F46" s="2844" t="s">
        <v>2476</v>
      </c>
      <c r="G46" s="2844"/>
    </row>
    <row r="47" spans="1:7" ht="19.5" customHeight="1">
      <c r="A47" s="3521"/>
      <c r="B47" s="3510" t="s">
        <v>2628</v>
      </c>
      <c r="C47" s="2845" t="s">
        <v>2477</v>
      </c>
      <c r="D47" s="2846"/>
      <c r="E47" s="2847">
        <v>1</v>
      </c>
      <c r="F47" s="2844" t="s">
        <v>2478</v>
      </c>
      <c r="G47" s="2844"/>
    </row>
    <row r="48" spans="1:7" ht="19.5" customHeight="1">
      <c r="A48" s="3521"/>
      <c r="B48" s="3512"/>
      <c r="C48" s="2845" t="s">
        <v>2479</v>
      </c>
      <c r="D48" s="2846"/>
      <c r="E48" s="2847">
        <v>1</v>
      </c>
      <c r="F48" s="2844" t="s">
        <v>2480</v>
      </c>
      <c r="G48" s="2844"/>
    </row>
    <row r="49" spans="1:7" ht="19.5" customHeight="1">
      <c r="A49" s="3521"/>
      <c r="B49" s="3512"/>
      <c r="C49" s="2845" t="s">
        <v>2481</v>
      </c>
      <c r="D49" s="2846"/>
      <c r="E49" s="2847">
        <v>1</v>
      </c>
      <c r="F49" s="2844" t="s">
        <v>2482</v>
      </c>
      <c r="G49" s="2844"/>
    </row>
    <row r="50" spans="1:7" ht="19.5" customHeight="1">
      <c r="A50" s="3521"/>
      <c r="B50" s="3512"/>
      <c r="C50" s="2845" t="s">
        <v>2483</v>
      </c>
      <c r="D50" s="2846"/>
      <c r="E50" s="2847">
        <v>1</v>
      </c>
      <c r="F50" s="2844" t="s">
        <v>2484</v>
      </c>
      <c r="G50" s="2844"/>
    </row>
    <row r="51" spans="1:7" ht="19.5" customHeight="1">
      <c r="A51" s="3521"/>
      <c r="B51" s="3512"/>
      <c r="C51" s="2845" t="s">
        <v>2485</v>
      </c>
      <c r="D51" s="2846"/>
      <c r="E51" s="2847">
        <v>1</v>
      </c>
      <c r="F51" s="2844" t="s">
        <v>2486</v>
      </c>
      <c r="G51" s="2844"/>
    </row>
    <row r="52" spans="1:7" ht="19.5" customHeight="1">
      <c r="A52" s="3521"/>
      <c r="B52" s="3512"/>
      <c r="C52" s="2845" t="s">
        <v>2487</v>
      </c>
      <c r="D52" s="2846"/>
      <c r="E52" s="2847">
        <v>1</v>
      </c>
      <c r="F52" s="2844" t="s">
        <v>2488</v>
      </c>
      <c r="G52" s="2844"/>
    </row>
    <row r="53" spans="1:7" ht="19.5" customHeight="1" thickBot="1">
      <c r="A53" s="3522"/>
      <c r="B53" s="3519"/>
      <c r="C53" s="2848" t="s">
        <v>2489</v>
      </c>
      <c r="D53" s="2849"/>
      <c r="E53" s="2850">
        <v>1</v>
      </c>
      <c r="F53" s="2844" t="s">
        <v>2490</v>
      </c>
      <c r="G53" s="2844"/>
    </row>
    <row r="54" spans="1:7" ht="19.5" customHeight="1">
      <c r="A54" s="2857"/>
      <c r="B54" s="2857"/>
      <c r="C54" s="2857"/>
      <c r="D54" s="2857"/>
      <c r="E54" s="2857"/>
      <c r="F54" s="2857"/>
      <c r="G54" s="2857"/>
    </row>
    <row r="56" spans="1:7" ht="19.5" customHeight="1">
      <c r="A56" s="2858"/>
      <c r="B56" s="2830" t="s">
        <v>2629</v>
      </c>
      <c r="C56" s="2830" t="s">
        <v>2629</v>
      </c>
      <c r="D56" s="2830" t="s">
        <v>2629</v>
      </c>
      <c r="E56" s="2833" t="s">
        <v>2629</v>
      </c>
      <c r="F56" s="2833" t="s">
        <v>2630</v>
      </c>
      <c r="G56" s="2833" t="s">
        <v>2631</v>
      </c>
    </row>
    <row r="57" spans="1:7" ht="19.5" customHeight="1">
      <c r="A57" s="2859"/>
      <c r="B57" s="2833" t="s">
        <v>2598</v>
      </c>
      <c r="C57" s="2833" t="s">
        <v>2598</v>
      </c>
      <c r="D57" s="2833" t="s">
        <v>2598</v>
      </c>
      <c r="E57" s="2830" t="s">
        <v>2599</v>
      </c>
      <c r="F57" s="2830" t="s">
        <v>2601</v>
      </c>
      <c r="G57" s="2830" t="s">
        <v>2632</v>
      </c>
    </row>
    <row r="58" spans="1:7" ht="19.5" customHeight="1">
      <c r="A58" s="2860"/>
      <c r="B58" s="2830">
        <v>1</v>
      </c>
      <c r="C58" s="2830">
        <v>2</v>
      </c>
      <c r="D58" s="2830">
        <v>3</v>
      </c>
      <c r="E58" s="2861" t="s">
        <v>2633</v>
      </c>
      <c r="F58" s="2861" t="s">
        <v>2633</v>
      </c>
      <c r="G58" s="2861" t="s">
        <v>2633</v>
      </c>
    </row>
    <row r="59" spans="1:7" ht="19.5" customHeight="1">
      <c r="A59" s="2862" t="s">
        <v>2586</v>
      </c>
      <c r="B59" s="2830">
        <v>0.7</v>
      </c>
      <c r="C59" s="2830">
        <v>0.4</v>
      </c>
      <c r="D59" s="2830">
        <v>0.3</v>
      </c>
      <c r="E59" s="2861">
        <v>0.3</v>
      </c>
      <c r="F59" s="2830">
        <v>0.3</v>
      </c>
      <c r="G59" s="2830">
        <v>0.2</v>
      </c>
    </row>
    <row r="60" spans="1:7" ht="19.5" customHeight="1">
      <c r="A60" s="2862" t="s">
        <v>2587</v>
      </c>
      <c r="B60" s="2830">
        <v>0.7</v>
      </c>
      <c r="C60" s="2830">
        <v>0.4</v>
      </c>
      <c r="D60" s="2830">
        <v>0.3</v>
      </c>
      <c r="E60" s="2830">
        <v>0.3</v>
      </c>
      <c r="F60" s="2830">
        <v>0.3</v>
      </c>
      <c r="G60" s="2830">
        <v>0.2</v>
      </c>
    </row>
    <row r="61" spans="1:7" ht="19.5" customHeight="1">
      <c r="A61" s="2862" t="s">
        <v>2588</v>
      </c>
      <c r="B61" s="2830">
        <v>0.6</v>
      </c>
      <c r="C61" s="2830">
        <v>0.3</v>
      </c>
      <c r="D61" s="2830">
        <v>0.25</v>
      </c>
      <c r="E61" s="2830">
        <v>0.25</v>
      </c>
      <c r="F61" s="2830">
        <v>0.25</v>
      </c>
      <c r="G61" s="2830">
        <v>0.15</v>
      </c>
    </row>
    <row r="62" spans="1:7" ht="19.5" customHeight="1">
      <c r="A62" s="2862" t="s">
        <v>2589</v>
      </c>
      <c r="B62" s="2830">
        <v>0.6</v>
      </c>
      <c r="C62" s="2830">
        <v>0.3</v>
      </c>
      <c r="D62" s="2830">
        <v>0.25</v>
      </c>
      <c r="E62" s="2830">
        <v>0.25</v>
      </c>
      <c r="F62" s="2830">
        <v>0.25</v>
      </c>
      <c r="G62" s="2830">
        <v>0.15</v>
      </c>
    </row>
    <row r="63" spans="1:7" ht="19.5" customHeight="1">
      <c r="A63" s="2862" t="s">
        <v>2590</v>
      </c>
      <c r="B63" s="2830">
        <v>0.6</v>
      </c>
      <c r="C63" s="2830">
        <v>0.3</v>
      </c>
      <c r="D63" s="2830">
        <v>0.25</v>
      </c>
      <c r="E63" s="2830">
        <v>0.25</v>
      </c>
      <c r="F63" s="2830">
        <v>0.25</v>
      </c>
      <c r="G63" s="2830">
        <v>0.15</v>
      </c>
    </row>
    <row r="64" spans="1:7" ht="19.5" customHeight="1">
      <c r="A64" s="2862" t="s">
        <v>2591</v>
      </c>
      <c r="B64" s="2830">
        <v>0.6</v>
      </c>
      <c r="C64" s="2830">
        <v>0.3</v>
      </c>
      <c r="D64" s="2830">
        <v>0.25</v>
      </c>
      <c r="E64" s="2830">
        <v>0.25</v>
      </c>
      <c r="F64" s="2830">
        <v>0.25</v>
      </c>
      <c r="G64" s="2830">
        <v>0.15</v>
      </c>
    </row>
    <row r="65" spans="1:7" ht="19.5" customHeight="1">
      <c r="A65" s="2862" t="s">
        <v>2592</v>
      </c>
      <c r="B65" s="2830">
        <v>0.6</v>
      </c>
      <c r="C65" s="2830">
        <v>0.3</v>
      </c>
      <c r="D65" s="2830">
        <v>0.25</v>
      </c>
      <c r="E65" s="2830">
        <v>0.25</v>
      </c>
      <c r="F65" s="2830">
        <v>0.25</v>
      </c>
      <c r="G65" s="2830">
        <v>0.15</v>
      </c>
    </row>
    <row r="66" spans="1:7" ht="19.5" customHeight="1">
      <c r="A66" s="2862" t="s">
        <v>2593</v>
      </c>
      <c r="B66" s="2830">
        <v>0.5</v>
      </c>
      <c r="C66" s="2830">
        <v>0.2</v>
      </c>
      <c r="D66" s="2830">
        <v>0.2</v>
      </c>
      <c r="E66" s="2830">
        <v>0.2</v>
      </c>
      <c r="F66" s="2830">
        <v>0.2</v>
      </c>
      <c r="G66" s="2830">
        <v>0.1</v>
      </c>
    </row>
    <row r="67" spans="1:7" ht="19.5" customHeight="1">
      <c r="A67" s="2862" t="s">
        <v>2594</v>
      </c>
      <c r="B67" s="2830">
        <v>0.5</v>
      </c>
      <c r="C67" s="2830">
        <v>0.2</v>
      </c>
      <c r="D67" s="2830">
        <v>0.2</v>
      </c>
      <c r="E67" s="2830">
        <v>0.2</v>
      </c>
      <c r="F67" s="2830">
        <v>0.2</v>
      </c>
      <c r="G67" s="2830">
        <v>0.1</v>
      </c>
    </row>
    <row r="68" spans="1:7" ht="19.5" customHeight="1">
      <c r="A68" s="2862" t="s">
        <v>2595</v>
      </c>
      <c r="B68" s="2830">
        <v>0.5</v>
      </c>
      <c r="C68" s="2830">
        <v>0.2</v>
      </c>
      <c r="D68" s="2830">
        <v>0.2</v>
      </c>
      <c r="E68" s="2830">
        <v>0.2</v>
      </c>
      <c r="F68" s="2830">
        <v>0.2</v>
      </c>
      <c r="G68" s="2830">
        <v>0.1</v>
      </c>
    </row>
    <row r="69" spans="1:7" ht="19.5" customHeight="1">
      <c r="A69" s="2862" t="s">
        <v>2596</v>
      </c>
      <c r="B69" s="2830">
        <v>0.5</v>
      </c>
      <c r="C69" s="2830">
        <v>0.2</v>
      </c>
      <c r="D69" s="2830">
        <v>0.2</v>
      </c>
      <c r="E69" s="2830">
        <v>0.2</v>
      </c>
      <c r="F69" s="2830">
        <v>0.2</v>
      </c>
      <c r="G69" s="2830">
        <v>0.1</v>
      </c>
    </row>
    <row r="70" spans="1:7" ht="19.5" customHeight="1">
      <c r="A70" s="2862" t="s">
        <v>2597</v>
      </c>
      <c r="B70" s="2830">
        <v>0.5</v>
      </c>
      <c r="C70" s="2830">
        <v>0.2</v>
      </c>
      <c r="D70" s="2830">
        <v>0.2</v>
      </c>
      <c r="E70" s="2830">
        <v>0.2</v>
      </c>
      <c r="F70" s="2830">
        <v>0.2</v>
      </c>
      <c r="G70" s="2830">
        <v>0.1</v>
      </c>
    </row>
    <row r="72" spans="1:7" ht="19.5" customHeight="1">
      <c r="A72" s="2844"/>
      <c r="B72" s="2863"/>
      <c r="C72" s="2863"/>
      <c r="D72" s="2863" t="s">
        <v>2634</v>
      </c>
      <c r="E72" s="2863"/>
      <c r="F72" s="2863"/>
    </row>
    <row r="73" spans="1:7" ht="19.5" customHeight="1">
      <c r="A73" s="2856" t="s">
        <v>2635</v>
      </c>
      <c r="B73" s="2856" t="s">
        <v>2636</v>
      </c>
      <c r="C73" s="2856" t="s">
        <v>2637</v>
      </c>
      <c r="D73" s="2856" t="s">
        <v>2638</v>
      </c>
      <c r="E73" s="2856" t="s">
        <v>2639</v>
      </c>
      <c r="F73" s="2856" t="s">
        <v>2640</v>
      </c>
    </row>
    <row r="74" spans="1:7" ht="14">
      <c r="A74" s="2856"/>
      <c r="B74" s="2856"/>
      <c r="C74" s="2856" t="s">
        <v>2641</v>
      </c>
      <c r="D74" s="2856"/>
      <c r="E74" s="2856" t="s">
        <v>2612</v>
      </c>
      <c r="F74" s="2856" t="s">
        <v>2612</v>
      </c>
    </row>
    <row r="75" spans="1:7" ht="14">
      <c r="A75" s="2856">
        <v>1</v>
      </c>
      <c r="B75" s="3510" t="s">
        <v>2642</v>
      </c>
      <c r="C75" s="2830" t="s">
        <v>2643</v>
      </c>
      <c r="D75" s="2830" t="s">
        <v>2644</v>
      </c>
      <c r="E75" s="2856">
        <v>0.2</v>
      </c>
      <c r="F75" s="2856">
        <v>25</v>
      </c>
    </row>
    <row r="76" spans="1:7" ht="26">
      <c r="A76" s="2856">
        <v>2</v>
      </c>
      <c r="B76" s="3512"/>
      <c r="C76" s="2830" t="s">
        <v>2645</v>
      </c>
      <c r="D76" s="2830" t="s">
        <v>2646</v>
      </c>
      <c r="E76" s="2856">
        <v>0.2</v>
      </c>
      <c r="F76" s="2856">
        <v>25</v>
      </c>
    </row>
    <row r="77" spans="1:7" ht="26">
      <c r="A77" s="2856">
        <v>3</v>
      </c>
      <c r="B77" s="3512"/>
      <c r="C77" s="2830" t="s">
        <v>2647</v>
      </c>
      <c r="D77" s="2830" t="s">
        <v>2648</v>
      </c>
      <c r="E77" s="2856">
        <v>0.2</v>
      </c>
      <c r="F77" s="2856">
        <v>25</v>
      </c>
    </row>
    <row r="78" spans="1:7" ht="14">
      <c r="A78" s="2856">
        <v>4</v>
      </c>
      <c r="B78" s="3512"/>
      <c r="C78" s="2830" t="s">
        <v>2649</v>
      </c>
      <c r="D78" s="2830" t="s">
        <v>2650</v>
      </c>
      <c r="E78" s="2856">
        <v>0.15</v>
      </c>
      <c r="F78" s="2856">
        <v>20</v>
      </c>
    </row>
    <row r="79" spans="1:7" ht="26">
      <c r="A79" s="2856">
        <v>5</v>
      </c>
      <c r="B79" s="3512"/>
      <c r="C79" s="2830" t="s">
        <v>2651</v>
      </c>
      <c r="D79" s="2830" t="s">
        <v>2652</v>
      </c>
      <c r="E79" s="2856">
        <v>0.15</v>
      </c>
      <c r="F79" s="2856">
        <v>20</v>
      </c>
    </row>
    <row r="80" spans="1:7" ht="26">
      <c r="A80" s="2856">
        <v>6</v>
      </c>
      <c r="B80" s="3512"/>
      <c r="C80" s="2830" t="s">
        <v>2653</v>
      </c>
      <c r="D80" s="2830" t="s">
        <v>2654</v>
      </c>
      <c r="E80" s="2856">
        <v>0.15</v>
      </c>
      <c r="F80" s="2856">
        <v>20</v>
      </c>
    </row>
    <row r="81" spans="1:6" ht="26">
      <c r="A81" s="2856">
        <v>7</v>
      </c>
      <c r="B81" s="3512"/>
      <c r="C81" s="2830" t="s">
        <v>2655</v>
      </c>
      <c r="D81" s="2830" t="s">
        <v>2656</v>
      </c>
      <c r="E81" s="2856">
        <v>0.15</v>
      </c>
      <c r="F81" s="2856">
        <v>20</v>
      </c>
    </row>
    <row r="82" spans="1:6" ht="26">
      <c r="A82" s="2856">
        <v>8</v>
      </c>
      <c r="B82" s="3512"/>
      <c r="C82" s="2830" t="s">
        <v>2657</v>
      </c>
      <c r="D82" s="2830" t="s">
        <v>2658</v>
      </c>
      <c r="E82" s="2856">
        <v>0.1</v>
      </c>
      <c r="F82" s="2856">
        <v>15</v>
      </c>
    </row>
    <row r="83" spans="1:6" ht="26">
      <c r="A83" s="2856">
        <v>9</v>
      </c>
      <c r="B83" s="3512"/>
      <c r="C83" s="2830" t="s">
        <v>2659</v>
      </c>
      <c r="D83" s="2830" t="s">
        <v>2660</v>
      </c>
      <c r="E83" s="2856">
        <v>0.1</v>
      </c>
      <c r="F83" s="2856">
        <v>15</v>
      </c>
    </row>
    <row r="84" spans="1:6" ht="26">
      <c r="A84" s="2856">
        <v>10</v>
      </c>
      <c r="B84" s="3512"/>
      <c r="C84" s="2830" t="s">
        <v>2661</v>
      </c>
      <c r="D84" s="2830" t="s">
        <v>2662</v>
      </c>
      <c r="E84" s="2856">
        <v>0.1</v>
      </c>
      <c r="F84" s="2856">
        <v>15</v>
      </c>
    </row>
    <row r="85" spans="1:6" ht="26">
      <c r="A85" s="2856">
        <v>11</v>
      </c>
      <c r="B85" s="3512"/>
      <c r="C85" s="2830" t="s">
        <v>2663</v>
      </c>
      <c r="D85" s="2830" t="s">
        <v>2664</v>
      </c>
      <c r="E85" s="2856">
        <v>0.1</v>
      </c>
      <c r="F85" s="2856">
        <v>15</v>
      </c>
    </row>
    <row r="86" spans="1:6" ht="26">
      <c r="A86" s="2856">
        <v>12</v>
      </c>
      <c r="B86" s="3512"/>
      <c r="C86" s="2830" t="s">
        <v>2665</v>
      </c>
      <c r="D86" s="2830" t="s">
        <v>2666</v>
      </c>
      <c r="E86" s="2856">
        <v>0.1</v>
      </c>
      <c r="F86" s="2856">
        <v>15</v>
      </c>
    </row>
    <row r="87" spans="1:6" ht="14">
      <c r="A87" s="2856">
        <v>13</v>
      </c>
      <c r="B87" s="3512"/>
      <c r="C87" s="2830" t="s">
        <v>2667</v>
      </c>
      <c r="D87" s="2830" t="s">
        <v>2668</v>
      </c>
      <c r="E87" s="2856">
        <v>0.1</v>
      </c>
      <c r="F87" s="2856">
        <v>15</v>
      </c>
    </row>
    <row r="88" spans="1:6" ht="14">
      <c r="A88" s="2856">
        <v>14</v>
      </c>
      <c r="B88" s="3512"/>
      <c r="C88" s="2830" t="s">
        <v>2669</v>
      </c>
      <c r="D88" s="2830" t="s">
        <v>2670</v>
      </c>
      <c r="E88" s="2856">
        <v>0.1</v>
      </c>
      <c r="F88" s="2856">
        <v>15</v>
      </c>
    </row>
    <row r="89" spans="1:6" ht="14">
      <c r="A89" s="2856">
        <v>15</v>
      </c>
      <c r="B89" s="3512"/>
      <c r="C89" s="2830" t="s">
        <v>2671</v>
      </c>
      <c r="D89" s="2830" t="s">
        <v>2672</v>
      </c>
      <c r="E89" s="2856">
        <v>0.1</v>
      </c>
      <c r="F89" s="2856">
        <v>15</v>
      </c>
    </row>
    <row r="90" spans="1:6" ht="26">
      <c r="A90" s="2856">
        <v>16</v>
      </c>
      <c r="B90" s="3512"/>
      <c r="C90" s="2830" t="s">
        <v>2673</v>
      </c>
      <c r="D90" s="2830" t="s">
        <v>2674</v>
      </c>
      <c r="E90" s="2856">
        <v>0.1</v>
      </c>
      <c r="F90" s="2856">
        <v>15</v>
      </c>
    </row>
    <row r="91" spans="1:6" ht="26">
      <c r="A91" s="2856">
        <v>17</v>
      </c>
      <c r="B91" s="3511"/>
      <c r="C91" s="2830" t="s">
        <v>2675</v>
      </c>
      <c r="D91" s="2830" t="s">
        <v>2676</v>
      </c>
      <c r="E91" s="2856">
        <v>0.1</v>
      </c>
      <c r="F91" s="2856">
        <v>15</v>
      </c>
    </row>
    <row r="92" spans="1:6" ht="14">
      <c r="A92" s="2856">
        <v>18</v>
      </c>
      <c r="B92" s="3510" t="s">
        <v>2677</v>
      </c>
      <c r="C92" s="2830" t="s">
        <v>2678</v>
      </c>
      <c r="D92" s="2830" t="s">
        <v>2679</v>
      </c>
      <c r="E92" s="2856">
        <v>0.2</v>
      </c>
      <c r="F92" s="2856">
        <v>25</v>
      </c>
    </row>
    <row r="93" spans="1:6" ht="26">
      <c r="A93" s="2856">
        <v>19</v>
      </c>
      <c r="B93" s="3512"/>
      <c r="C93" s="2830" t="s">
        <v>2680</v>
      </c>
      <c r="D93" s="2830" t="s">
        <v>2681</v>
      </c>
      <c r="E93" s="2856">
        <v>0.2</v>
      </c>
      <c r="F93" s="2856">
        <v>25</v>
      </c>
    </row>
    <row r="94" spans="1:6" ht="14">
      <c r="A94" s="2856">
        <v>20</v>
      </c>
      <c r="B94" s="3512"/>
      <c r="C94" s="2830" t="s">
        <v>2682</v>
      </c>
      <c r="D94" s="2830" t="s">
        <v>2683</v>
      </c>
      <c r="E94" s="2856">
        <v>0.15</v>
      </c>
      <c r="F94" s="2856">
        <v>20</v>
      </c>
    </row>
    <row r="95" spans="1:6" ht="26">
      <c r="A95" s="2856">
        <v>21</v>
      </c>
      <c r="B95" s="3512"/>
      <c r="C95" s="2830" t="s">
        <v>2684</v>
      </c>
      <c r="D95" s="2830" t="s">
        <v>2685</v>
      </c>
      <c r="E95" s="2856">
        <v>0.15</v>
      </c>
      <c r="F95" s="2856">
        <v>20</v>
      </c>
    </row>
    <row r="96" spans="1:6" ht="26">
      <c r="A96" s="2856">
        <v>22</v>
      </c>
      <c r="B96" s="3512"/>
      <c r="C96" s="2830" t="s">
        <v>2686</v>
      </c>
      <c r="D96" s="2830" t="s">
        <v>2687</v>
      </c>
      <c r="E96" s="2856">
        <v>0.15</v>
      </c>
      <c r="F96" s="2856">
        <v>20</v>
      </c>
    </row>
    <row r="97" spans="1:6" ht="39">
      <c r="A97" s="2856">
        <v>23</v>
      </c>
      <c r="B97" s="3512"/>
      <c r="C97" s="2830" t="s">
        <v>2688</v>
      </c>
      <c r="D97" s="2830" t="s">
        <v>2689</v>
      </c>
      <c r="E97" s="2856">
        <v>0.15</v>
      </c>
      <c r="F97" s="2856">
        <v>20</v>
      </c>
    </row>
    <row r="98" spans="1:6" ht="14">
      <c r="A98" s="2856">
        <v>24</v>
      </c>
      <c r="B98" s="3512"/>
      <c r="C98" s="2830" t="s">
        <v>2690</v>
      </c>
      <c r="D98" s="2830" t="s">
        <v>2691</v>
      </c>
      <c r="E98" s="2856">
        <v>0.1</v>
      </c>
      <c r="F98" s="2856">
        <v>15</v>
      </c>
    </row>
    <row r="99" spans="1:6" ht="26">
      <c r="A99" s="2856">
        <v>25</v>
      </c>
      <c r="B99" s="3512"/>
      <c r="C99" s="2830" t="s">
        <v>2692</v>
      </c>
      <c r="D99" s="2830" t="s">
        <v>2693</v>
      </c>
      <c r="E99" s="2856">
        <v>0.1</v>
      </c>
      <c r="F99" s="2856">
        <v>15</v>
      </c>
    </row>
    <row r="100" spans="1:6" ht="26">
      <c r="A100" s="2856">
        <v>26</v>
      </c>
      <c r="B100" s="3512"/>
      <c r="C100" s="2830" t="s">
        <v>2694</v>
      </c>
      <c r="D100" s="2830" t="s">
        <v>2695</v>
      </c>
      <c r="E100" s="2856">
        <v>0.1</v>
      </c>
      <c r="F100" s="2856">
        <v>15</v>
      </c>
    </row>
    <row r="101" spans="1:6" ht="26">
      <c r="A101" s="2856">
        <v>27</v>
      </c>
      <c r="B101" s="3512"/>
      <c r="C101" s="2830" t="s">
        <v>2696</v>
      </c>
      <c r="D101" s="2830" t="s">
        <v>2697</v>
      </c>
      <c r="E101" s="2856">
        <v>0.1</v>
      </c>
      <c r="F101" s="2856">
        <v>15</v>
      </c>
    </row>
    <row r="102" spans="1:6" ht="26">
      <c r="A102" s="2856">
        <v>28</v>
      </c>
      <c r="B102" s="3512"/>
      <c r="C102" s="2830" t="s">
        <v>2698</v>
      </c>
      <c r="D102" s="2830" t="s">
        <v>2699</v>
      </c>
      <c r="E102" s="2856">
        <v>0.1</v>
      </c>
      <c r="F102" s="2856">
        <v>15</v>
      </c>
    </row>
    <row r="103" spans="1:6" ht="26">
      <c r="A103" s="2856">
        <v>29</v>
      </c>
      <c r="B103" s="3512"/>
      <c r="C103" s="2830" t="s">
        <v>2700</v>
      </c>
      <c r="D103" s="2830" t="s">
        <v>2701</v>
      </c>
      <c r="E103" s="2856">
        <v>0.1</v>
      </c>
      <c r="F103" s="2856">
        <v>15</v>
      </c>
    </row>
    <row r="104" spans="1:6" ht="26">
      <c r="A104" s="2856">
        <v>30</v>
      </c>
      <c r="B104" s="3512"/>
      <c r="C104" s="2830" t="s">
        <v>2702</v>
      </c>
      <c r="D104" s="2830" t="s">
        <v>2703</v>
      </c>
      <c r="E104" s="2856">
        <v>0.1</v>
      </c>
      <c r="F104" s="2856">
        <v>15</v>
      </c>
    </row>
    <row r="105" spans="1:6" ht="26">
      <c r="A105" s="2856">
        <v>31</v>
      </c>
      <c r="B105" s="3512"/>
      <c r="C105" s="2830" t="s">
        <v>2704</v>
      </c>
      <c r="D105" s="2830" t="s">
        <v>2705</v>
      </c>
      <c r="E105" s="2856">
        <v>0.1</v>
      </c>
      <c r="F105" s="2856">
        <v>15</v>
      </c>
    </row>
    <row r="106" spans="1:6" ht="26">
      <c r="A106" s="2856">
        <v>32</v>
      </c>
      <c r="B106" s="3512"/>
      <c r="C106" s="2830" t="s">
        <v>2706</v>
      </c>
      <c r="D106" s="2830" t="s">
        <v>2707</v>
      </c>
      <c r="E106" s="2856">
        <v>0.1</v>
      </c>
      <c r="F106" s="2856">
        <v>15</v>
      </c>
    </row>
    <row r="107" spans="1:6" ht="26">
      <c r="A107" s="2856">
        <v>33</v>
      </c>
      <c r="B107" s="3512"/>
      <c r="C107" s="2830" t="s">
        <v>2708</v>
      </c>
      <c r="D107" s="2830" t="s">
        <v>2709</v>
      </c>
      <c r="E107" s="2856">
        <v>0.1</v>
      </c>
      <c r="F107" s="2856">
        <v>15</v>
      </c>
    </row>
    <row r="108" spans="1:6" ht="26">
      <c r="A108" s="2856">
        <v>34</v>
      </c>
      <c r="B108" s="3511"/>
      <c r="C108" s="2830" t="s">
        <v>2710</v>
      </c>
      <c r="D108" s="2830" t="s">
        <v>2711</v>
      </c>
      <c r="E108" s="2856">
        <v>0.1</v>
      </c>
      <c r="F108" s="2856">
        <v>15</v>
      </c>
    </row>
    <row r="109" spans="1:6" ht="26">
      <c r="A109" s="2856">
        <v>35</v>
      </c>
      <c r="B109" s="3510" t="s">
        <v>2712</v>
      </c>
      <c r="C109" s="2856" t="s">
        <v>2713</v>
      </c>
      <c r="D109" s="2830" t="s">
        <v>2714</v>
      </c>
      <c r="E109" s="2856">
        <v>0.15</v>
      </c>
      <c r="F109" s="2856">
        <v>20</v>
      </c>
    </row>
    <row r="110" spans="1:6" ht="26">
      <c r="A110" s="2856">
        <v>36</v>
      </c>
      <c r="B110" s="3512"/>
      <c r="C110" s="2856" t="s">
        <v>2715</v>
      </c>
      <c r="D110" s="2830" t="s">
        <v>2716</v>
      </c>
      <c r="E110" s="2856">
        <v>0.15</v>
      </c>
      <c r="F110" s="2856">
        <v>20</v>
      </c>
    </row>
    <row r="111" spans="1:6" ht="26">
      <c r="A111" s="2856">
        <v>37</v>
      </c>
      <c r="B111" s="3512"/>
      <c r="C111" s="2856" t="s">
        <v>2717</v>
      </c>
      <c r="D111" s="2830" t="s">
        <v>2718</v>
      </c>
      <c r="E111" s="2856">
        <v>0.15</v>
      </c>
      <c r="F111" s="2856">
        <v>20</v>
      </c>
    </row>
    <row r="112" spans="1:6" ht="14">
      <c r="A112" s="2856">
        <v>38</v>
      </c>
      <c r="B112" s="3512"/>
      <c r="C112" s="2856" t="s">
        <v>2719</v>
      </c>
      <c r="D112" s="2830" t="s">
        <v>2720</v>
      </c>
      <c r="E112" s="2856">
        <v>0.1</v>
      </c>
      <c r="F112" s="2856">
        <v>15</v>
      </c>
    </row>
    <row r="113" spans="1:6" ht="26">
      <c r="A113" s="2856">
        <v>39</v>
      </c>
      <c r="B113" s="3512"/>
      <c r="C113" s="2856" t="s">
        <v>2721</v>
      </c>
      <c r="D113" s="2830" t="s">
        <v>2722</v>
      </c>
      <c r="E113" s="2856">
        <v>0.1</v>
      </c>
      <c r="F113" s="2856">
        <v>15</v>
      </c>
    </row>
    <row r="114" spans="1:6" ht="26">
      <c r="A114" s="2856">
        <v>40</v>
      </c>
      <c r="B114" s="3511"/>
      <c r="C114" s="2856" t="s">
        <v>2723</v>
      </c>
      <c r="D114" s="2830" t="s">
        <v>2724</v>
      </c>
      <c r="E114" s="2856">
        <v>0.1</v>
      </c>
      <c r="F114" s="2856">
        <v>15</v>
      </c>
    </row>
    <row r="115" spans="1:6" ht="26">
      <c r="A115" s="2856">
        <v>41</v>
      </c>
      <c r="B115" s="3509" t="s">
        <v>2725</v>
      </c>
      <c r="C115" s="2856" t="s">
        <v>2726</v>
      </c>
      <c r="D115" s="2830" t="s">
        <v>2727</v>
      </c>
      <c r="E115" s="2856">
        <v>0.1</v>
      </c>
      <c r="F115" s="2856">
        <v>15</v>
      </c>
    </row>
    <row r="116" spans="1:6" ht="14">
      <c r="A116" s="2856">
        <v>42</v>
      </c>
      <c r="B116" s="3509"/>
      <c r="C116" s="2856" t="s">
        <v>2728</v>
      </c>
      <c r="D116" s="2830" t="s">
        <v>2729</v>
      </c>
      <c r="E116" s="2856">
        <v>0.1</v>
      </c>
      <c r="F116" s="2856">
        <v>15</v>
      </c>
    </row>
    <row r="117" spans="1:6" ht="26">
      <c r="A117" s="2856">
        <v>43</v>
      </c>
      <c r="B117" s="3509"/>
      <c r="C117" s="2856" t="s">
        <v>2730</v>
      </c>
      <c r="D117" s="2830" t="s">
        <v>2731</v>
      </c>
      <c r="E117" s="2856">
        <v>0.1</v>
      </c>
      <c r="F117" s="2856">
        <v>15</v>
      </c>
    </row>
    <row r="118" spans="1:6" ht="26">
      <c r="A118" s="2856">
        <v>44</v>
      </c>
      <c r="B118" s="3510" t="s">
        <v>2732</v>
      </c>
      <c r="C118" s="2856" t="s">
        <v>2733</v>
      </c>
      <c r="D118" s="2830" t="s">
        <v>2734</v>
      </c>
      <c r="E118" s="2856">
        <v>0.1</v>
      </c>
      <c r="F118" s="2856">
        <v>15</v>
      </c>
    </row>
    <row r="119" spans="1:6" ht="26">
      <c r="A119" s="2856">
        <v>45</v>
      </c>
      <c r="B119" s="3511"/>
      <c r="C119" s="2830" t="s">
        <v>2735</v>
      </c>
      <c r="D119" s="2830" t="s">
        <v>2736</v>
      </c>
      <c r="E119" s="2856">
        <v>0.1</v>
      </c>
      <c r="F119" s="2856">
        <v>15</v>
      </c>
    </row>
    <row r="120" spans="1:6" ht="26">
      <c r="A120" s="2856">
        <v>46</v>
      </c>
      <c r="B120" s="3510" t="s">
        <v>2737</v>
      </c>
      <c r="C120" s="2856" t="s">
        <v>2738</v>
      </c>
      <c r="D120" s="2830" t="s">
        <v>2739</v>
      </c>
      <c r="E120" s="2856">
        <v>0.1</v>
      </c>
      <c r="F120" s="2856">
        <v>15</v>
      </c>
    </row>
    <row r="121" spans="1:6" ht="26">
      <c r="A121" s="2856">
        <v>47</v>
      </c>
      <c r="B121" s="3511"/>
      <c r="C121" s="2856" t="s">
        <v>2740</v>
      </c>
      <c r="D121" s="2830" t="s">
        <v>2741</v>
      </c>
      <c r="E121" s="2856">
        <v>0.1</v>
      </c>
      <c r="F121" s="2856">
        <v>15</v>
      </c>
    </row>
    <row r="122" spans="1:6" ht="26">
      <c r="A122" s="2856">
        <v>48</v>
      </c>
      <c r="B122" s="3510" t="s">
        <v>2742</v>
      </c>
      <c r="C122" s="2856" t="s">
        <v>2743</v>
      </c>
      <c r="D122" s="2830" t="s">
        <v>2744</v>
      </c>
      <c r="E122" s="2856">
        <v>0.1</v>
      </c>
      <c r="F122" s="2856">
        <v>15</v>
      </c>
    </row>
    <row r="123" spans="1:6" ht="14">
      <c r="A123" s="2856">
        <v>49</v>
      </c>
      <c r="B123" s="3511"/>
      <c r="C123" s="2856" t="s">
        <v>2745</v>
      </c>
      <c r="D123" s="2830" t="s">
        <v>2746</v>
      </c>
      <c r="E123" s="2856">
        <v>0.1</v>
      </c>
      <c r="F123" s="2856">
        <v>15</v>
      </c>
    </row>
    <row r="124" spans="1:6" ht="26">
      <c r="A124" s="2856">
        <v>50</v>
      </c>
      <c r="B124" s="3509" t="s">
        <v>2747</v>
      </c>
      <c r="C124" s="2856" t="s">
        <v>2748</v>
      </c>
      <c r="D124" s="2830" t="s">
        <v>2749</v>
      </c>
      <c r="E124" s="2856">
        <v>0.1</v>
      </c>
      <c r="F124" s="2856">
        <v>15</v>
      </c>
    </row>
    <row r="125" spans="1:6" ht="26">
      <c r="A125" s="2856">
        <v>51</v>
      </c>
      <c r="B125" s="3509"/>
      <c r="C125" s="2856" t="s">
        <v>2750</v>
      </c>
      <c r="D125" s="2830" t="s">
        <v>2751</v>
      </c>
      <c r="E125" s="2856">
        <v>0.1</v>
      </c>
      <c r="F125" s="2856">
        <v>15</v>
      </c>
    </row>
    <row r="126" spans="1:6" ht="26">
      <c r="A126" s="2856">
        <v>52</v>
      </c>
      <c r="B126" s="3509" t="s">
        <v>2752</v>
      </c>
      <c r="C126" s="2856" t="s">
        <v>2753</v>
      </c>
      <c r="D126" s="2830" t="s">
        <v>2754</v>
      </c>
      <c r="E126" s="2856">
        <v>0.1</v>
      </c>
      <c r="F126" s="2856">
        <v>15</v>
      </c>
    </row>
    <row r="127" spans="1:6" ht="26">
      <c r="A127" s="2856">
        <v>53</v>
      </c>
      <c r="B127" s="3509"/>
      <c r="C127" s="2856" t="s">
        <v>2755</v>
      </c>
      <c r="D127" s="2830" t="s">
        <v>2756</v>
      </c>
      <c r="E127" s="2856">
        <v>0.1</v>
      </c>
      <c r="F127" s="2856">
        <v>15</v>
      </c>
    </row>
    <row r="128" spans="1:6" ht="26">
      <c r="A128" s="2856">
        <v>54</v>
      </c>
      <c r="B128" s="2856" t="s">
        <v>2757</v>
      </c>
      <c r="C128" s="2856" t="s">
        <v>2758</v>
      </c>
      <c r="D128" s="2830" t="s">
        <v>2759</v>
      </c>
      <c r="E128" s="2856">
        <v>0.1</v>
      </c>
      <c r="F128" s="2856">
        <v>15</v>
      </c>
    </row>
    <row r="129" spans="1:6" ht="14">
      <c r="A129" s="2856">
        <v>55</v>
      </c>
      <c r="B129" s="3509" t="s">
        <v>2760</v>
      </c>
      <c r="C129" s="2856" t="s">
        <v>2761</v>
      </c>
      <c r="D129" s="2830" t="s">
        <v>2762</v>
      </c>
      <c r="E129" s="2856">
        <v>0.1</v>
      </c>
      <c r="F129" s="2856">
        <v>15</v>
      </c>
    </row>
    <row r="130" spans="1:6" ht="14">
      <c r="A130" s="2856">
        <v>56</v>
      </c>
      <c r="B130" s="3509"/>
      <c r="C130" s="2856" t="s">
        <v>2763</v>
      </c>
      <c r="D130" s="2830" t="s">
        <v>2764</v>
      </c>
      <c r="E130" s="2856">
        <v>0.1</v>
      </c>
      <c r="F130" s="2856">
        <v>15</v>
      </c>
    </row>
    <row r="131" spans="1:6" ht="26">
      <c r="A131" s="2856">
        <v>57</v>
      </c>
      <c r="B131" s="3509"/>
      <c r="C131" s="2856" t="s">
        <v>2765</v>
      </c>
      <c r="D131" s="2830" t="s">
        <v>2766</v>
      </c>
      <c r="E131" s="2856">
        <v>0.1</v>
      </c>
      <c r="F131" s="2856">
        <v>15</v>
      </c>
    </row>
    <row r="132" spans="1:6" ht="26">
      <c r="A132" s="2856">
        <v>58</v>
      </c>
      <c r="B132" s="3509" t="s">
        <v>2767</v>
      </c>
      <c r="C132" s="2856" t="s">
        <v>2768</v>
      </c>
      <c r="D132" s="2830" t="s">
        <v>2769</v>
      </c>
      <c r="E132" s="2856">
        <v>0.1</v>
      </c>
      <c r="F132" s="2856">
        <v>15</v>
      </c>
    </row>
    <row r="133" spans="1:6" ht="26">
      <c r="A133" s="2856">
        <v>59</v>
      </c>
      <c r="B133" s="3509"/>
      <c r="C133" s="2856" t="s">
        <v>2770</v>
      </c>
      <c r="D133" s="2830" t="s">
        <v>2771</v>
      </c>
      <c r="E133" s="2856">
        <v>0.1</v>
      </c>
      <c r="F133" s="2856">
        <v>15</v>
      </c>
    </row>
    <row r="134" spans="1:6" ht="26">
      <c r="A134" s="2856">
        <v>60</v>
      </c>
      <c r="B134" s="3510" t="s">
        <v>2772</v>
      </c>
      <c r="C134" s="2856" t="s">
        <v>2773</v>
      </c>
      <c r="D134" s="2830" t="s">
        <v>2774</v>
      </c>
      <c r="E134" s="2856">
        <v>0.1</v>
      </c>
      <c r="F134" s="2856">
        <v>15</v>
      </c>
    </row>
    <row r="135" spans="1:6" ht="26">
      <c r="A135" s="2856">
        <v>61</v>
      </c>
      <c r="B135" s="3511"/>
      <c r="C135" s="2856" t="s">
        <v>2775</v>
      </c>
      <c r="D135" s="2830" t="s">
        <v>2776</v>
      </c>
      <c r="E135" s="2856">
        <v>0.1</v>
      </c>
      <c r="F135" s="2856">
        <v>15</v>
      </c>
    </row>
    <row r="136" spans="1:6" ht="26">
      <c r="A136" s="2856">
        <v>62</v>
      </c>
      <c r="B136" s="2856" t="s">
        <v>2777</v>
      </c>
      <c r="C136" s="2856" t="s">
        <v>2778</v>
      </c>
      <c r="D136" s="2830" t="s">
        <v>2779</v>
      </c>
      <c r="E136" s="2856">
        <v>0.1</v>
      </c>
      <c r="F136" s="2856">
        <v>15</v>
      </c>
    </row>
    <row r="137" spans="1:6" ht="26">
      <c r="A137" s="2856">
        <v>63</v>
      </c>
      <c r="B137" s="3509" t="s">
        <v>2780</v>
      </c>
      <c r="C137" s="2856" t="s">
        <v>2781</v>
      </c>
      <c r="D137" s="2830" t="s">
        <v>2782</v>
      </c>
      <c r="E137" s="2856">
        <v>0.1</v>
      </c>
      <c r="F137" s="2856">
        <v>15</v>
      </c>
    </row>
    <row r="138" spans="1:6" ht="14">
      <c r="A138" s="2856">
        <v>64</v>
      </c>
      <c r="B138" s="3509"/>
      <c r="C138" s="2856" t="s">
        <v>2783</v>
      </c>
      <c r="D138" s="2830" t="s">
        <v>2784</v>
      </c>
      <c r="E138" s="2856">
        <v>0.1</v>
      </c>
      <c r="F138" s="2856">
        <v>15</v>
      </c>
    </row>
    <row r="139" spans="1:6" ht="26">
      <c r="A139" s="2856">
        <v>65</v>
      </c>
      <c r="B139" s="2856" t="s">
        <v>2785</v>
      </c>
      <c r="C139" s="2856" t="s">
        <v>2786</v>
      </c>
      <c r="D139" s="2830" t="s">
        <v>2787</v>
      </c>
      <c r="E139" s="2856">
        <v>0.1</v>
      </c>
      <c r="F139" s="2856">
        <v>15</v>
      </c>
    </row>
    <row r="140" spans="1:6" ht="14">
      <c r="A140" s="2856"/>
      <c r="B140" s="2856"/>
      <c r="C140" s="2856"/>
      <c r="D140" s="2856"/>
      <c r="E140" s="2856" t="s">
        <v>2788</v>
      </c>
      <c r="F140" s="2856" t="s">
        <v>2788</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2789</v>
      </c>
      <c r="B1" s="2864"/>
      <c r="C1" s="2864"/>
      <c r="D1" s="2864"/>
      <c r="E1" s="2864"/>
      <c r="F1" s="2864"/>
      <c r="G1" s="2864"/>
      <c r="H1" s="2864"/>
      <c r="I1" s="2864"/>
      <c r="J1" s="2864"/>
      <c r="K1" s="2864"/>
      <c r="L1" s="2864"/>
      <c r="M1" s="2864"/>
      <c r="N1" s="707"/>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f>SUMPRODUCT((A95:A184=ROUNDDOWN(基准地价修正!G3,1))*(B94:M94=基准地价修正!G2)*(B95:M184))</f>
        <v>0</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f>SUMPRODUCT((A371:A460=ROUNDDOWN(基准地价修正!G3,1))*(B370:M370=基准地价修正!G2)*(B371:M460))</f>
        <v>0</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905</v>
      </c>
    </row>
    <row r="2" spans="1:5" ht="78" customHeight="1">
      <c r="A2" s="321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6"/>
      <c r="C2" s="3216"/>
      <c r="D2" s="3216"/>
      <c r="E2" s="3216"/>
    </row>
    <row r="3" spans="1:5" ht="18">
      <c r="A3" s="3217" t="str">
        <f>IF(项目基本情况!B9="房地产市场价值","估价结果一览表（市场价值不需“结果表-1”）","估价结果一览表")</f>
        <v>估价结果一览表</v>
      </c>
      <c r="B3" s="3217"/>
      <c r="C3" s="3217"/>
      <c r="D3" s="3217"/>
      <c r="E3" s="3217"/>
    </row>
    <row r="4" spans="1:5" ht="18.5" thickBot="1">
      <c r="A4" s="1391"/>
      <c r="B4" s="3215" t="s">
        <v>914</v>
      </c>
      <c r="C4" s="3215"/>
      <c r="D4" s="3215"/>
      <c r="E4" s="1391"/>
    </row>
    <row r="5" spans="1:5" ht="16" thickTop="1">
      <c r="B5" s="3213" t="s">
        <v>906</v>
      </c>
      <c r="C5" s="1392" t="s">
        <v>907</v>
      </c>
      <c r="D5" s="797" t="e">
        <f ca="1">结果表!H101</f>
        <v>#REF!</v>
      </c>
    </row>
    <row r="6" spans="1:5" ht="15.5">
      <c r="B6" s="3213"/>
      <c r="C6" s="1392" t="s">
        <v>908</v>
      </c>
      <c r="D6" s="797" t="e">
        <f ca="1">NUMBERSTRING(INT(D5*10000),2)&amp;"元整"</f>
        <v>#REF!</v>
      </c>
    </row>
    <row r="7" spans="1:5" ht="15.5">
      <c r="B7" s="3218"/>
      <c r="C7" s="1393" t="s">
        <v>909</v>
      </c>
      <c r="D7" s="798" t="e">
        <f ca="1">结果表!H102</f>
        <v>#REF!</v>
      </c>
    </row>
    <row r="8" spans="1:5" ht="15.5">
      <c r="B8" s="3219" t="str">
        <f>结果表!E103</f>
        <v>2.估价师知悉的法定优先受偿款</v>
      </c>
      <c r="C8" s="1394" t="s">
        <v>910</v>
      </c>
      <c r="D8" s="798">
        <f>结果表!H103</f>
        <v>0</v>
      </c>
    </row>
    <row r="9" spans="1:5" ht="15.5">
      <c r="B9" s="3221"/>
      <c r="C9" s="1392" t="s">
        <v>908</v>
      </c>
      <c r="D9" s="797" t="str">
        <f>NUMBERSTRING(INT(D8*10000),2)&amp;"元整"</f>
        <v>零元整</v>
      </c>
    </row>
    <row r="10" spans="1:5" ht="16">
      <c r="B10" s="1395" t="s">
        <v>913</v>
      </c>
      <c r="C10" s="1396" t="s">
        <v>911</v>
      </c>
      <c r="D10" s="799">
        <f>结果表!H104</f>
        <v>0</v>
      </c>
    </row>
    <row r="11" spans="1:5" ht="16">
      <c r="B11" s="1395" t="s">
        <v>915</v>
      </c>
      <c r="C11" s="1396" t="s">
        <v>916</v>
      </c>
      <c r="D11" s="799">
        <f>结果表!H105</f>
        <v>0</v>
      </c>
    </row>
    <row r="12" spans="1:5" ht="16">
      <c r="B12" s="1395" t="s">
        <v>917</v>
      </c>
      <c r="C12" s="1396" t="s">
        <v>916</v>
      </c>
      <c r="D12" s="799">
        <f>结果表!H106</f>
        <v>0</v>
      </c>
    </row>
    <row r="13" spans="1:5" ht="15.5">
      <c r="B13" s="3212" t="str">
        <f>结果表!E107</f>
        <v>3.房地产抵押价值</v>
      </c>
      <c r="C13" s="1397" t="s">
        <v>907</v>
      </c>
      <c r="D13" s="800" t="e">
        <f ca="1">结果表!H107</f>
        <v>#REF!</v>
      </c>
    </row>
    <row r="14" spans="1:5" ht="15.5">
      <c r="B14" s="3213"/>
      <c r="C14" s="1392" t="s">
        <v>908</v>
      </c>
      <c r="D14" s="797" t="e">
        <f ca="1">NUMBERSTRING(INT(D13*10000),2)&amp;"元整"</f>
        <v>#REF!</v>
      </c>
    </row>
    <row r="15" spans="1:5" ht="15.5">
      <c r="B15" s="3218"/>
      <c r="C15" s="1393" t="s">
        <v>918</v>
      </c>
      <c r="D15" s="806" t="e">
        <f ca="1">结果表!H108</f>
        <v>#REF!</v>
      </c>
    </row>
    <row r="16" spans="1:5" ht="15">
      <c r="B16" s="3219" t="str">
        <f>结果表!E109</f>
        <v>——</v>
      </c>
      <c r="C16" s="1397" t="s">
        <v>919</v>
      </c>
      <c r="D16" s="1398" t="str">
        <f>结果表!H109</f>
        <v>——</v>
      </c>
    </row>
    <row r="17" spans="1:5" ht="15.5">
      <c r="B17" s="3220"/>
      <c r="C17" s="1392" t="s">
        <v>920</v>
      </c>
      <c r="D17" s="797" t="e">
        <f>NUMBERSTRING(INT(D16*10000),2)&amp;"元整"</f>
        <v>#VALUE!</v>
      </c>
    </row>
    <row r="18" spans="1:5" ht="15.5">
      <c r="B18" s="3221"/>
      <c r="C18" s="1393" t="s">
        <v>909</v>
      </c>
      <c r="D18" s="806" t="str">
        <f>结果表!H110</f>
        <v>——</v>
      </c>
    </row>
    <row r="19" spans="1:5" ht="15.5">
      <c r="B19" s="3212" t="str">
        <f>结果表!E111</f>
        <v>——</v>
      </c>
      <c r="C19" s="1397" t="s">
        <v>907</v>
      </c>
      <c r="D19" s="798" t="str">
        <f>结果表!H111</f>
        <v>——</v>
      </c>
    </row>
    <row r="20" spans="1:5" ht="15.5">
      <c r="B20" s="3213"/>
      <c r="C20" s="1392" t="s">
        <v>920</v>
      </c>
      <c r="D20" s="797" t="e">
        <f>NUMBERSTRING(INT(D19*10000),2)&amp;"元整"</f>
        <v>#VALUE!</v>
      </c>
    </row>
    <row r="21" spans="1:5" ht="16" thickBot="1">
      <c r="B21" s="3214"/>
      <c r="C21" s="1399" t="s">
        <v>918</v>
      </c>
      <c r="D21" s="807" t="str">
        <f>结果表!H112</f>
        <v>——</v>
      </c>
    </row>
    <row r="22" spans="1:5" ht="14.5" thickTop="1">
      <c r="B22" s="1400" t="s">
        <v>921</v>
      </c>
    </row>
    <row r="24" spans="1:5" ht="17.5">
      <c r="A24" s="1401"/>
      <c r="B24" s="1402" t="s">
        <v>912</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3730.1800000000003</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3730.1800000000003</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6">
      <c r="A25" s="734" t="s">
        <v>348</v>
      </c>
      <c r="B25" s="207" t="s">
        <v>420</v>
      </c>
      <c r="C25" s="1042" t="e">
        <f ca="1">ROUND(IF('数据-取费表'!B22&lt;=1,C20*F22*'数据-取费表'!B23/2,C20*(POWER((1+F22),'数据-取费表'!B23/2)-1)),0)</f>
        <v>#VALUE!</v>
      </c>
      <c r="D25" s="230"/>
      <c r="E25" s="233"/>
      <c r="F25" s="231"/>
      <c r="G25" s="234" t="s">
        <v>83</v>
      </c>
    </row>
    <row r="26" spans="1:7" s="206" customFormat="1" ht="13">
      <c r="A26" s="734" t="s">
        <v>350</v>
      </c>
      <c r="B26" s="207" t="s">
        <v>422</v>
      </c>
      <c r="C26" s="230" t="e">
        <f ca="1">ROUND(IF('数据-取费表'!B22&lt;=1,F21*F22*'数据-取费表'!B23/2,F21*(POWER((1+F22),'数据-取费表'!B23/2)-1)),4)</f>
        <v>#VALUE!</v>
      </c>
      <c r="D26" s="230"/>
      <c r="E26" s="233"/>
      <c r="F26" s="231"/>
      <c r="G26" s="235"/>
    </row>
    <row r="27" spans="1:7" s="206" customFormat="1" ht="27">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3730.1800000000003</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93" t="s">
        <v>94</v>
      </c>
    </row>
    <row r="43" spans="1:7" ht="13.5" customHeight="1">
      <c r="A43" s="734" t="s">
        <v>347</v>
      </c>
      <c r="B43" s="207" t="s">
        <v>426</v>
      </c>
      <c r="C43" s="230" t="e">
        <f ca="1">ROUND(IF('数据-取费表'!B22&lt;=1,C39*F22*'数据-取费表'!B21/2,C39*(POWER((1+F22),'数据-取费表'!B21/2)-1)),0)</f>
        <v>#VALUE!</v>
      </c>
      <c r="D43" s="230"/>
      <c r="E43" s="230"/>
      <c r="F43" s="231"/>
      <c r="G43" s="3394"/>
    </row>
    <row r="44" spans="1:7" ht="13.5" customHeight="1">
      <c r="A44" s="734" t="s">
        <v>348</v>
      </c>
      <c r="B44" s="207" t="s">
        <v>428</v>
      </c>
      <c r="C44" s="230" t="e">
        <f ca="1">ROUND(IF('数据-取费表'!B22&lt;=1,C40*F22*'数据-取费表'!B21/2,C40*(POWER((1+F22),'数据-取费表'!B21/2)-1)),4)</f>
        <v>#VALUE!</v>
      </c>
      <c r="D44" s="230"/>
      <c r="E44" s="230"/>
      <c r="F44" s="231"/>
      <c r="G44" s="3395"/>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6">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5">
      <c r="B55" s="262" t="s">
        <v>39</v>
      </c>
      <c r="C55" s="263"/>
    </row>
    <row r="56" spans="1:7" ht="13">
      <c r="B56" s="265" t="s">
        <v>40</v>
      </c>
      <c r="C56" s="266" t="e">
        <f ca="1">ROUND(C51/C52,3)</f>
        <v>#VALUE!</v>
      </c>
    </row>
    <row r="57" spans="1:7" ht="13">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23" t="s">
        <v>3172</v>
      </c>
      <c r="B1" s="3523"/>
    </row>
    <row r="2" spans="1:7" ht="14.5" thickBot="1">
      <c r="A2" s="2967"/>
      <c r="B2" s="2967"/>
    </row>
    <row r="3" spans="1:7" ht="14.5" thickBot="1">
      <c r="A3" s="2967"/>
      <c r="B3" s="2967"/>
      <c r="C3" s="2968" t="s">
        <v>2802</v>
      </c>
      <c r="D3" s="2968" t="s">
        <v>2858</v>
      </c>
      <c r="E3" s="2968" t="s">
        <v>2804</v>
      </c>
      <c r="F3" s="2968" t="s">
        <v>2859</v>
      </c>
      <c r="G3" s="2968" t="s">
        <v>2622</v>
      </c>
    </row>
    <row r="4" spans="1:7" ht="14.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24" t="s">
        <v>3223</v>
      </c>
      <c r="B1" s="3524"/>
      <c r="C1" s="3524"/>
      <c r="D1" s="3524"/>
      <c r="E1" s="3524"/>
      <c r="F1" s="3525"/>
    </row>
    <row r="2" spans="1:6">
      <c r="A2" s="3001" t="s">
        <v>3224</v>
      </c>
    </row>
    <row r="3" spans="1:6">
      <c r="A3" s="3001" t="s">
        <v>3225</v>
      </c>
      <c r="F3" s="3002" t="s">
        <v>3226</v>
      </c>
    </row>
    <row r="4" spans="1:6">
      <c r="A4" s="3003" t="s">
        <v>669</v>
      </c>
      <c r="B4" s="3003" t="s">
        <v>670</v>
      </c>
      <c r="C4" s="3003" t="s">
        <v>21</v>
      </c>
      <c r="D4" s="3003" t="s">
        <v>671</v>
      </c>
      <c r="E4" s="3003" t="s">
        <v>3</v>
      </c>
      <c r="F4" s="3003" t="s">
        <v>3227</v>
      </c>
    </row>
    <row r="5" spans="1:6">
      <c r="A5" s="3004" t="s">
        <v>672</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5" zoomScale="60" zoomScaleNormal="70" workbookViewId="0">
      <selection activeCell="C28" sqref="C28"/>
    </sheetView>
  </sheetViews>
  <sheetFormatPr defaultColWidth="9" defaultRowHeight="14"/>
  <cols>
    <col min="1" max="1" width="10.453125" style="347" customWidth="1"/>
    <col min="2" max="2" width="15.7265625" style="347" customWidth="1"/>
    <col min="3" max="3" width="18.81640625" style="347" customWidth="1"/>
    <col min="4" max="4" width="12.26953125" style="347" customWidth="1"/>
    <col min="5" max="5" width="18.6328125" style="347" customWidth="1"/>
    <col min="6" max="6" width="12.26953125" style="347" customWidth="1"/>
    <col min="7" max="7" width="17" style="347" customWidth="1"/>
    <col min="8" max="8" width="12.26953125" style="347" customWidth="1"/>
    <col min="9" max="9" width="18.269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1657</v>
      </c>
      <c r="B1" s="1808" t="s">
        <v>1807</v>
      </c>
      <c r="C1" s="1141" t="s">
        <v>1659</v>
      </c>
      <c r="D1" s="1142" t="s">
        <v>3438</v>
      </c>
      <c r="E1" s="3130" t="s">
        <v>3442</v>
      </c>
      <c r="F1" s="1735" t="s">
        <v>3443</v>
      </c>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e">
        <f>IF(E1="项目模式",IF(C2="——",ROUND(C50*D3/10000,0),ROUND(C50*D3/10000,0)-D2),IF(E1="单套模式",IF(C2="——",ROUND(C50*D3/10000,4),ROUND(C50*D3/10000,4)-D2)))</f>
        <v>#DIV/0!</v>
      </c>
      <c r="C2" s="1737" t="s">
        <v>43</v>
      </c>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IF(C2="——",C50,ROUND(B2*10000/D3,0))</f>
        <v>#DIV/0!</v>
      </c>
      <c r="C3" s="344" t="s">
        <v>1765</v>
      </c>
      <c r="D3" s="343">
        <f>IF(D1="",'数据-汇总表'!E3,SUMIF('数据-汇总表'!$C19:$C33,D1,'数据-汇总表'!$E19:$E33))</f>
        <v>0</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1766</v>
      </c>
      <c r="B4" s="346"/>
      <c r="C4" s="3440" t="s">
        <v>1767</v>
      </c>
      <c r="D4" s="3441"/>
      <c r="E4" s="3442" t="s">
        <v>1768</v>
      </c>
      <c r="F4" s="3443"/>
      <c r="G4" s="3440" t="s">
        <v>1769</v>
      </c>
      <c r="H4" s="3441"/>
      <c r="I4" s="3440" t="s">
        <v>1770</v>
      </c>
      <c r="J4" s="3441"/>
      <c r="K4" s="537" t="s">
        <v>1771</v>
      </c>
      <c r="L4" s="2485"/>
      <c r="M4" s="2486"/>
      <c r="N4" s="2486"/>
      <c r="O4" s="2486"/>
      <c r="P4" s="3532" t="s">
        <v>1772</v>
      </c>
      <c r="Q4" s="3533"/>
      <c r="R4" s="3536" t="s">
        <v>1768</v>
      </c>
      <c r="S4" s="3537"/>
      <c r="T4" s="3536" t="s">
        <v>1769</v>
      </c>
      <c r="U4" s="3537"/>
      <c r="V4" s="3538" t="s">
        <v>1770</v>
      </c>
      <c r="W4" s="3538"/>
      <c r="X4" s="1809"/>
      <c r="Y4" s="3536" t="s">
        <v>1772</v>
      </c>
      <c r="Z4" s="3537"/>
      <c r="AA4" s="3540" t="s">
        <v>1768</v>
      </c>
      <c r="AB4" s="3540" t="s">
        <v>1769</v>
      </c>
      <c r="AC4" s="3529" t="s">
        <v>1770</v>
      </c>
    </row>
    <row r="5" spans="1:29">
      <c r="A5" s="348"/>
      <c r="B5" s="349"/>
      <c r="C5" s="3469" t="s">
        <v>3444</v>
      </c>
      <c r="D5" s="3459"/>
      <c r="E5" s="3465" t="s">
        <v>1671</v>
      </c>
      <c r="F5" s="3466"/>
      <c r="G5" s="3458" t="s">
        <v>1672</v>
      </c>
      <c r="H5" s="3459"/>
      <c r="I5" s="3458" t="s">
        <v>1673</v>
      </c>
      <c r="J5" s="3459"/>
      <c r="K5" s="537"/>
      <c r="L5" s="2485"/>
      <c r="M5" s="2486"/>
      <c r="N5" s="2486"/>
      <c r="O5" s="2486"/>
      <c r="P5" s="3534"/>
      <c r="Q5" s="3447"/>
      <c r="R5" s="3452"/>
      <c r="S5" s="3453"/>
      <c r="T5" s="3452"/>
      <c r="U5" s="3453"/>
      <c r="V5" s="3426"/>
      <c r="W5" s="3426"/>
      <c r="X5" s="1265"/>
      <c r="Y5" s="3452"/>
      <c r="Z5" s="3453"/>
      <c r="AA5" s="3438"/>
      <c r="AB5" s="3438"/>
      <c r="AC5" s="3530"/>
    </row>
    <row r="6" spans="1:29" ht="15" thickBot="1">
      <c r="A6" s="350"/>
      <c r="B6" s="351"/>
      <c r="C6" s="3456" t="s">
        <v>1674</v>
      </c>
      <c r="D6" s="3457"/>
      <c r="E6" s="3463" t="s">
        <v>1674</v>
      </c>
      <c r="F6" s="3464"/>
      <c r="G6" s="3456" t="s">
        <v>1674</v>
      </c>
      <c r="H6" s="3457"/>
      <c r="I6" s="3456" t="s">
        <v>1674</v>
      </c>
      <c r="J6" s="3457"/>
      <c r="K6" s="537" t="s">
        <v>1675</v>
      </c>
      <c r="L6" s="2485"/>
      <c r="M6" s="2486"/>
      <c r="N6" s="2486"/>
      <c r="O6" s="2486"/>
      <c r="P6" s="3535"/>
      <c r="Q6" s="3449"/>
      <c r="R6" s="3452"/>
      <c r="S6" s="3453"/>
      <c r="T6" s="3454"/>
      <c r="U6" s="3455"/>
      <c r="V6" s="3426"/>
      <c r="W6" s="3426"/>
      <c r="X6" s="1265"/>
      <c r="Y6" s="3454"/>
      <c r="Z6" s="3455"/>
      <c r="AA6" s="3439"/>
      <c r="AB6" s="3439"/>
      <c r="AC6" s="3531"/>
    </row>
    <row r="7" spans="1:29" s="102" customFormat="1" ht="14.5" thickBot="1">
      <c r="A7" s="352" t="s">
        <v>1676</v>
      </c>
      <c r="B7" s="353"/>
      <c r="C7" s="354">
        <f>'数据-取费表'!B2</f>
        <v>45957</v>
      </c>
      <c r="D7" s="355">
        <v>100</v>
      </c>
      <c r="E7" s="356">
        <f>C7</f>
        <v>45957</v>
      </c>
      <c r="F7" s="357">
        <f>SUMIF(59:59,YEAR(E7)&amp;"-"&amp;MONTH(E7),60:60)</f>
        <v>100</v>
      </c>
      <c r="G7" s="356">
        <f>C7</f>
        <v>45957</v>
      </c>
      <c r="H7" s="355">
        <f>SUMIF(59:59,YEAR(G7)&amp;"-"&amp;MONTH(G7),60:60)</f>
        <v>100</v>
      </c>
      <c r="I7" s="356">
        <f>C7</f>
        <v>45957</v>
      </c>
      <c r="J7" s="355">
        <f>SUMIF(59:59,YEAR(I7)&amp;"-"&amp;MONTH(I7),60:60)</f>
        <v>100</v>
      </c>
      <c r="K7" s="38"/>
      <c r="L7" s="2487"/>
      <c r="M7" s="2438"/>
      <c r="N7" s="2438"/>
      <c r="O7" s="2438"/>
      <c r="P7" s="3539" t="s">
        <v>1677</v>
      </c>
      <c r="Q7" s="3462"/>
      <c r="R7" s="664" t="s">
        <v>14</v>
      </c>
      <c r="S7" s="665">
        <f t="shared" ref="S7:S15" si="0">F7</f>
        <v>100</v>
      </c>
      <c r="T7" s="664" t="s">
        <v>14</v>
      </c>
      <c r="U7" s="665">
        <f t="shared" ref="U7:U15" si="1">H7</f>
        <v>100</v>
      </c>
      <c r="V7" s="664" t="s">
        <v>14</v>
      </c>
      <c r="W7" s="665">
        <f t="shared" ref="W7:W15" si="2">J7</f>
        <v>100</v>
      </c>
      <c r="X7" s="666"/>
      <c r="Y7" s="3460" t="s">
        <v>1677</v>
      </c>
      <c r="Z7" s="3461"/>
      <c r="AA7" s="50">
        <f>D7/F7</f>
        <v>1</v>
      </c>
      <c r="AB7" s="50">
        <f>D7/H7</f>
        <v>1</v>
      </c>
      <c r="AC7" s="802">
        <f>D7/J7</f>
        <v>1</v>
      </c>
    </row>
    <row r="8" spans="1:29" s="102" customFormat="1" ht="14.5" thickBot="1">
      <c r="A8" s="352" t="s">
        <v>1678</v>
      </c>
      <c r="B8" s="353"/>
      <c r="C8" s="358" t="s">
        <v>3445</v>
      </c>
      <c r="D8" s="355">
        <v>100</v>
      </c>
      <c r="E8" s="358" t="s">
        <v>3446</v>
      </c>
      <c r="F8" s="357">
        <f>SUMIF(62:62,E8,63:63)-SUMIF(62:62,C8,63:63)+100</f>
        <v>105</v>
      </c>
      <c r="G8" s="358" t="s">
        <v>3446</v>
      </c>
      <c r="H8" s="355">
        <f>SUMIF(62:62,G8,63:63)-SUMIF(62:62,C8,63:63)+100</f>
        <v>105</v>
      </c>
      <c r="I8" s="358" t="s">
        <v>3446</v>
      </c>
      <c r="J8" s="355">
        <f>SUMIF(62:62,I8,63:63)-SUMIF(62:62,C8,63:63)+100</f>
        <v>105</v>
      </c>
      <c r="K8" s="38"/>
      <c r="L8" s="2487"/>
      <c r="M8" s="2438"/>
      <c r="N8" s="2438"/>
      <c r="O8" s="2438"/>
      <c r="P8" s="3539" t="s">
        <v>1680</v>
      </c>
      <c r="Q8" s="3461"/>
      <c r="R8" s="664" t="s">
        <v>14</v>
      </c>
      <c r="S8" s="665">
        <f t="shared" si="0"/>
        <v>105</v>
      </c>
      <c r="T8" s="664" t="s">
        <v>14</v>
      </c>
      <c r="U8" s="665">
        <f t="shared" si="1"/>
        <v>105</v>
      </c>
      <c r="V8" s="664" t="s">
        <v>14</v>
      </c>
      <c r="W8" s="665">
        <f t="shared" si="2"/>
        <v>105</v>
      </c>
      <c r="X8" s="666"/>
      <c r="Y8" s="3460" t="s">
        <v>1680</v>
      </c>
      <c r="Z8" s="3461"/>
      <c r="AA8" s="50">
        <f t="shared" ref="AA8:AA47" si="3">D8/F8</f>
        <v>0.95238095238095233</v>
      </c>
      <c r="AB8" s="50">
        <f t="shared" ref="AB8:AB47" si="4">D8/H8</f>
        <v>0.95238095238095233</v>
      </c>
      <c r="AC8" s="802">
        <f t="shared" ref="AC8:AC47" si="5">D8/J8</f>
        <v>0.95238095238095233</v>
      </c>
    </row>
    <row r="9" spans="1:29" s="102" customFormat="1">
      <c r="A9" s="359" t="s">
        <v>1681</v>
      </c>
      <c r="B9" s="60" t="s">
        <v>1682</v>
      </c>
      <c r="C9" s="3172" t="s">
        <v>3496</v>
      </c>
      <c r="D9" s="59">
        <v>100</v>
      </c>
      <c r="E9" s="362" t="s">
        <v>21</v>
      </c>
      <c r="F9" s="59">
        <f>SUMIF(64:64,E9,65:65)-SUMIF(64:64,C9,65:65)+100</f>
        <v>100</v>
      </c>
      <c r="G9" s="361" t="s">
        <v>21</v>
      </c>
      <c r="H9" s="59">
        <f>SUMIF(64:64,G9,65:65)-SUMIF(64:64,C9,65:65)+100</f>
        <v>100</v>
      </c>
      <c r="I9" s="361" t="s">
        <v>21</v>
      </c>
      <c r="J9" s="59">
        <f>SUMIF(64:64,I9,65:65)-SUMIF(64:64,C9,65:65)+100</f>
        <v>100</v>
      </c>
      <c r="K9" s="38"/>
      <c r="L9" s="2487"/>
      <c r="M9" s="2438"/>
      <c r="N9" s="2438"/>
      <c r="O9" s="2438"/>
      <c r="P9" s="3436" t="s">
        <v>1683</v>
      </c>
      <c r="Q9" s="530" t="str">
        <f t="shared" ref="Q9:Q15" si="6">B9</f>
        <v>用途</v>
      </c>
      <c r="R9" s="664" t="s">
        <v>14</v>
      </c>
      <c r="S9" s="665">
        <f t="shared" si="0"/>
        <v>100</v>
      </c>
      <c r="T9" s="664" t="s">
        <v>14</v>
      </c>
      <c r="U9" s="665">
        <f t="shared" si="1"/>
        <v>100</v>
      </c>
      <c r="V9" s="664" t="s">
        <v>14</v>
      </c>
      <c r="W9" s="665">
        <f t="shared" si="2"/>
        <v>100</v>
      </c>
      <c r="X9" s="666"/>
      <c r="Y9" s="3300" t="s">
        <v>1684</v>
      </c>
      <c r="Z9" s="50" t="str">
        <f t="shared" ref="Z9:Z15" si="7">Q9</f>
        <v>用途</v>
      </c>
      <c r="AA9" s="50">
        <f t="shared" si="3"/>
        <v>1</v>
      </c>
      <c r="AB9" s="50">
        <f t="shared" si="4"/>
        <v>1</v>
      </c>
      <c r="AC9" s="802">
        <f t="shared" si="5"/>
        <v>1</v>
      </c>
    </row>
    <row r="10" spans="1:29" s="366" customFormat="1" ht="28">
      <c r="A10" s="363"/>
      <c r="B10" s="364" t="s">
        <v>1685</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36"/>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802">
        <f t="shared" si="5"/>
        <v>1</v>
      </c>
    </row>
    <row r="11" spans="1:29" ht="15.5">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36"/>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436"/>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36"/>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36"/>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802">
        <f t="shared" si="5"/>
        <v>1</v>
      </c>
    </row>
    <row r="15" spans="1:29" ht="70">
      <c r="A15" s="379" t="s">
        <v>1687</v>
      </c>
      <c r="B15" s="554" t="s">
        <v>1808</v>
      </c>
      <c r="C15" s="1811" t="str">
        <f>估价对象房地状况!C5</f>
        <v>估价对象位于大兴区西红门大白楼村，周边办公楼项目较多，入驻率高，办公集聚程度较好</v>
      </c>
      <c r="D15" s="380">
        <v>100</v>
      </c>
      <c r="E15" s="383"/>
      <c r="F15" s="380">
        <f>SUMIF(77:77,E16,78:78)-SUMIF(77:77,C16,78:78)+100</f>
        <v>0</v>
      </c>
      <c r="G15" s="381"/>
      <c r="H15" s="380">
        <f>SUMIF(77:77,G16,78:78)-SUMIF(77:77,C16,78:78)+100</f>
        <v>0</v>
      </c>
      <c r="I15" s="381"/>
      <c r="J15" s="380">
        <f>SUMIF(77:77,I16,78:78)-SUMIF(77:77,C16,78:78)+100</f>
        <v>0</v>
      </c>
      <c r="K15" s="540"/>
      <c r="L15" s="2491"/>
      <c r="M15" s="2486"/>
      <c r="N15" s="2486"/>
      <c r="O15" s="2486"/>
      <c r="P15" s="3434" t="s">
        <v>1688</v>
      </c>
      <c r="Q15" s="1263" t="str">
        <f t="shared" si="6"/>
        <v>办公集聚程度</v>
      </c>
      <c r="R15" s="667" t="s">
        <v>14</v>
      </c>
      <c r="S15" s="668">
        <f t="shared" si="0"/>
        <v>0</v>
      </c>
      <c r="T15" s="667" t="s">
        <v>14</v>
      </c>
      <c r="U15" s="668">
        <f t="shared" si="1"/>
        <v>0</v>
      </c>
      <c r="V15" s="667" t="s">
        <v>14</v>
      </c>
      <c r="W15" s="668">
        <f t="shared" si="2"/>
        <v>0</v>
      </c>
      <c r="X15" s="1265"/>
      <c r="Y15" s="3427" t="s">
        <v>1688</v>
      </c>
      <c r="Z15" s="1264" t="str">
        <f t="shared" si="7"/>
        <v>办公集聚程度</v>
      </c>
      <c r="AA15" s="1264" t="e">
        <f t="shared" si="3"/>
        <v>#DIV/0!</v>
      </c>
      <c r="AB15" s="1264" t="e">
        <f t="shared" si="4"/>
        <v>#DIV/0!</v>
      </c>
      <c r="AC15" s="1812" t="e">
        <f t="shared" si="5"/>
        <v>#DIV/0!</v>
      </c>
    </row>
    <row r="16" spans="1:29" ht="15.5">
      <c r="A16" s="367"/>
      <c r="B16" s="555"/>
      <c r="C16" s="1758" t="s">
        <v>3457</v>
      </c>
      <c r="D16" s="387"/>
      <c r="E16" s="386"/>
      <c r="F16" s="387"/>
      <c r="G16" s="1758"/>
      <c r="H16" s="389"/>
      <c r="I16" s="386"/>
      <c r="J16" s="387"/>
      <c r="K16" s="541"/>
      <c r="L16" s="2491"/>
      <c r="M16" s="2486"/>
      <c r="N16" s="2486"/>
      <c r="O16" s="2486"/>
      <c r="P16" s="3435"/>
      <c r="Q16" s="1263"/>
      <c r="R16" s="667"/>
      <c r="S16" s="668"/>
      <c r="T16" s="667"/>
      <c r="U16" s="668"/>
      <c r="V16" s="667"/>
      <c r="W16" s="668"/>
      <c r="X16" s="1265"/>
      <c r="Y16" s="3428"/>
      <c r="Z16" s="1264"/>
      <c r="AA16" s="1264">
        <v>1</v>
      </c>
      <c r="AB16" s="1264">
        <v>1</v>
      </c>
      <c r="AC16" s="1812">
        <v>1</v>
      </c>
    </row>
    <row r="17" spans="1:29" ht="154">
      <c r="A17" s="367"/>
      <c r="B17" s="556" t="s">
        <v>1256</v>
      </c>
      <c r="C17" s="1813" t="str">
        <f>估价对象房地状况!C6</f>
        <v>咨询对象北侧临城市支路——大金北路，西侧距城市次干道——团河路直线距离约110米，周边1公里范围内有369、485、676等多条线路经过，2公里范围内无地铁，项目内部有地面停车位，综合评价交通便捷度一般</v>
      </c>
      <c r="D17" s="389">
        <v>100</v>
      </c>
      <c r="E17" s="393"/>
      <c r="F17" s="389">
        <f>SUMIF(79:79,E18,80:80)-SUMIF(79:79,C18,80:80)+100</f>
        <v>0</v>
      </c>
      <c r="G17" s="391"/>
      <c r="H17" s="394">
        <f>SUMIF(79:79,G18,80:80)-SUMIF(79:79,C18,80:80)+100</f>
        <v>0</v>
      </c>
      <c r="I17" s="391"/>
      <c r="J17" s="394">
        <f>SUMIF(79:79,I18,80:80)-SUMIF(79:79,C18,80:80)+100</f>
        <v>0</v>
      </c>
      <c r="K17" s="540"/>
      <c r="L17" s="2491"/>
      <c r="M17" s="2486"/>
      <c r="N17" s="2486"/>
      <c r="O17" s="2486"/>
      <c r="P17" s="3435"/>
      <c r="Q17" s="1263" t="str">
        <f>B17</f>
        <v>交通便捷度</v>
      </c>
      <c r="R17" s="667" t="s">
        <v>14</v>
      </c>
      <c r="S17" s="668">
        <f>F17</f>
        <v>0</v>
      </c>
      <c r="T17" s="667" t="s">
        <v>14</v>
      </c>
      <c r="U17" s="668">
        <f>H17</f>
        <v>0</v>
      </c>
      <c r="V17" s="667" t="s">
        <v>14</v>
      </c>
      <c r="W17" s="668">
        <f>J17</f>
        <v>0</v>
      </c>
      <c r="X17" s="1265"/>
      <c r="Y17" s="3428"/>
      <c r="Z17" s="1264" t="str">
        <f>Q17</f>
        <v>交通便捷度</v>
      </c>
      <c r="AA17" s="1264" t="e">
        <f t="shared" si="3"/>
        <v>#DIV/0!</v>
      </c>
      <c r="AB17" s="1264" t="e">
        <f t="shared" si="4"/>
        <v>#DIV/0!</v>
      </c>
      <c r="AC17" s="1812" t="e">
        <f t="shared" si="5"/>
        <v>#DIV/0!</v>
      </c>
    </row>
    <row r="18" spans="1:29" ht="15.5">
      <c r="A18" s="367"/>
      <c r="B18" s="401"/>
      <c r="C18" s="1814" t="s">
        <v>3455</v>
      </c>
      <c r="D18" s="389"/>
      <c r="E18" s="1756"/>
      <c r="F18" s="389"/>
      <c r="G18" s="1757"/>
      <c r="H18" s="387"/>
      <c r="I18" s="1757"/>
      <c r="J18" s="387"/>
      <c r="K18" s="541"/>
      <c r="L18" s="2491"/>
      <c r="M18" s="2486"/>
      <c r="N18" s="2486"/>
      <c r="O18" s="2486"/>
      <c r="P18" s="3435"/>
      <c r="Q18" s="1263"/>
      <c r="R18" s="667"/>
      <c r="S18" s="668"/>
      <c r="T18" s="667"/>
      <c r="U18" s="668"/>
      <c r="V18" s="667"/>
      <c r="W18" s="668"/>
      <c r="X18" s="1265"/>
      <c r="Y18" s="3428"/>
      <c r="Z18" s="1264"/>
      <c r="AA18" s="1264">
        <v>1</v>
      </c>
      <c r="AB18" s="1264">
        <v>1</v>
      </c>
      <c r="AC18" s="1812">
        <v>1</v>
      </c>
    </row>
    <row r="19" spans="1:29" ht="210">
      <c r="A19" s="367"/>
      <c r="B19" s="556" t="s">
        <v>1809</v>
      </c>
      <c r="C19" s="1813" t="str">
        <f>估价对象房地状况!C7</f>
        <v>估价对象所在区域公共配套设施齐备情况：2公里范围内无银行，医院（北京万博脑康中医医院、大兴区西红门镇金星社区卫生服务中心），购物（世纪家家福（黄亦路店）、世纪华联生活超市（金星庄路店）、华联生活超市（天恒世界集店）），学校（大白楼双语幼儿园、蒲公英中学）</v>
      </c>
      <c r="D19" s="394">
        <v>100</v>
      </c>
      <c r="E19" s="398"/>
      <c r="F19" s="394">
        <f>SUMIF(81:81,E20,82:82)-SUMIF(81:81,C20,82:82)+100</f>
        <v>0</v>
      </c>
      <c r="G19" s="396"/>
      <c r="H19" s="389">
        <f>SUMIF(81:81,G20,82:82)-SUMIF(81:81,C20,82:82)+100</f>
        <v>0</v>
      </c>
      <c r="I19" s="396"/>
      <c r="J19" s="389">
        <f>SUMIF(81:81,I20,82:82)-SUMIF(81:81,C20,82:82)+100</f>
        <v>0</v>
      </c>
      <c r="K19" s="540"/>
      <c r="L19" s="2491"/>
      <c r="M19" s="2486"/>
      <c r="N19" s="2486"/>
      <c r="O19" s="2486"/>
      <c r="P19" s="3435"/>
      <c r="Q19" s="1263" t="str">
        <f>B19</f>
        <v>公共配套设施</v>
      </c>
      <c r="R19" s="667" t="s">
        <v>14</v>
      </c>
      <c r="S19" s="668">
        <f>F19</f>
        <v>0</v>
      </c>
      <c r="T19" s="667" t="s">
        <v>14</v>
      </c>
      <c r="U19" s="668">
        <f>H19</f>
        <v>0</v>
      </c>
      <c r="V19" s="667" t="s">
        <v>14</v>
      </c>
      <c r="W19" s="668">
        <f>J19</f>
        <v>0</v>
      </c>
      <c r="X19" s="1265"/>
      <c r="Y19" s="3428"/>
      <c r="Z19" s="1264" t="str">
        <f>Q19</f>
        <v>公共配套设施</v>
      </c>
      <c r="AA19" s="1264" t="e">
        <f t="shared" si="3"/>
        <v>#DIV/0!</v>
      </c>
      <c r="AB19" s="1264" t="e">
        <f t="shared" si="4"/>
        <v>#DIV/0!</v>
      </c>
      <c r="AC19" s="1812" t="e">
        <f t="shared" si="5"/>
        <v>#DIV/0!</v>
      </c>
    </row>
    <row r="20" spans="1:29" ht="15.5">
      <c r="A20" s="367"/>
      <c r="B20" s="401"/>
      <c r="C20" s="1758" t="s">
        <v>3455</v>
      </c>
      <c r="D20" s="387"/>
      <c r="E20" s="1751"/>
      <c r="F20" s="387"/>
      <c r="G20" s="1752"/>
      <c r="H20" s="387"/>
      <c r="I20" s="1752"/>
      <c r="J20" s="387"/>
      <c r="K20" s="541"/>
      <c r="L20" s="2491"/>
      <c r="M20" s="2486"/>
      <c r="N20" s="2486"/>
      <c r="O20" s="2486"/>
      <c r="P20" s="3435"/>
      <c r="Q20" s="1263"/>
      <c r="R20" s="667"/>
      <c r="S20" s="668"/>
      <c r="T20" s="667"/>
      <c r="U20" s="668"/>
      <c r="V20" s="667"/>
      <c r="W20" s="668"/>
      <c r="X20" s="1265"/>
      <c r="Y20" s="3428"/>
      <c r="Z20" s="1264"/>
      <c r="AA20" s="1264">
        <v>1</v>
      </c>
      <c r="AB20" s="1264">
        <v>1</v>
      </c>
      <c r="AC20" s="1812">
        <v>1</v>
      </c>
    </row>
    <row r="21" spans="1:29" ht="28">
      <c r="A21" s="367"/>
      <c r="B21" s="557" t="s">
        <v>1810</v>
      </c>
      <c r="C21" s="1813" t="str">
        <f>估价对象房地状况!C8</f>
        <v>估价对象所在区域基础设施水平：七通</v>
      </c>
      <c r="D21" s="389">
        <v>100</v>
      </c>
      <c r="E21" s="398"/>
      <c r="F21" s="394">
        <f>SUMIF(83:83,E22,84:84)-SUMIF(83:83,C22,84:84)+100</f>
        <v>0</v>
      </c>
      <c r="G21" s="396"/>
      <c r="H21" s="389">
        <f>SUMIF(83:83,G22,84:84)-SUMIF(83:83,C22,84:84)+100</f>
        <v>0</v>
      </c>
      <c r="I21" s="396"/>
      <c r="J21" s="389">
        <f>SUMIF(83:83,I22,84:84)-SUMIF(83:83,C22,84:84)+100</f>
        <v>0</v>
      </c>
      <c r="K21" s="540"/>
      <c r="L21" s="2491"/>
      <c r="M21" s="2486"/>
      <c r="N21" s="2486"/>
      <c r="O21" s="2486"/>
      <c r="P21" s="3435"/>
      <c r="Q21" s="1263" t="str">
        <f>B21</f>
        <v>基础设施水平</v>
      </c>
      <c r="R21" s="667" t="s">
        <v>14</v>
      </c>
      <c r="S21" s="668">
        <f>F21</f>
        <v>0</v>
      </c>
      <c r="T21" s="667" t="s">
        <v>14</v>
      </c>
      <c r="U21" s="668">
        <f>H21</f>
        <v>0</v>
      </c>
      <c r="V21" s="667" t="s">
        <v>14</v>
      </c>
      <c r="W21" s="668">
        <f>J21</f>
        <v>0</v>
      </c>
      <c r="X21" s="1265"/>
      <c r="Y21" s="3428"/>
      <c r="Z21" s="1264" t="str">
        <f>Q21</f>
        <v>基础设施水平</v>
      </c>
      <c r="AA21" s="1264" t="e">
        <f t="shared" ref="AA21" si="8">D21/F21</f>
        <v>#DIV/0!</v>
      </c>
      <c r="AB21" s="1264" t="e">
        <f t="shared" ref="AB21" si="9">D21/H21</f>
        <v>#DIV/0!</v>
      </c>
      <c r="AC21" s="1812" t="e">
        <f t="shared" ref="AC21" si="10">D21/J21</f>
        <v>#DIV/0!</v>
      </c>
    </row>
    <row r="22" spans="1:29" ht="15.5">
      <c r="A22" s="367"/>
      <c r="B22" s="557"/>
      <c r="C22" s="1814" t="s">
        <v>3472</v>
      </c>
      <c r="D22" s="387"/>
      <c r="E22" s="386"/>
      <c r="F22" s="387"/>
      <c r="G22" s="1758"/>
      <c r="H22" s="387"/>
      <c r="I22" s="1758"/>
      <c r="J22" s="387"/>
      <c r="K22" s="1064"/>
      <c r="L22" s="2491"/>
      <c r="M22" s="2486"/>
      <c r="N22" s="2486"/>
      <c r="O22" s="2486"/>
      <c r="P22" s="3435"/>
      <c r="Q22" s="1263"/>
      <c r="R22" s="667"/>
      <c r="S22" s="668"/>
      <c r="T22" s="667"/>
      <c r="U22" s="668"/>
      <c r="V22" s="667"/>
      <c r="W22" s="668"/>
      <c r="X22" s="1265"/>
      <c r="Y22" s="3428"/>
      <c r="Z22" s="1264"/>
      <c r="AA22" s="1264">
        <v>1</v>
      </c>
      <c r="AB22" s="1264">
        <v>1</v>
      </c>
      <c r="AC22" s="1812">
        <v>1</v>
      </c>
    </row>
    <row r="23" spans="1:29" ht="126">
      <c r="A23" s="367"/>
      <c r="B23" s="556" t="s">
        <v>1811</v>
      </c>
      <c r="C23" s="1813" t="str">
        <f>估价对象房地状况!C9</f>
        <v>区域自然环境：寿保庄公园、敬贤公园、新三余公园、星光·视界公园；人文环境：中国人民公安大学（团河校区）、民政职业大学（大兴校区）；综合评价环境状况较好</v>
      </c>
      <c r="D23" s="389">
        <v>100</v>
      </c>
      <c r="E23" s="393"/>
      <c r="F23" s="389">
        <f>SUMIF(85:85,E24,86:86)-SUMIF(85:85,C24,86:86)+100</f>
        <v>0</v>
      </c>
      <c r="G23" s="391"/>
      <c r="H23" s="389">
        <f>SUMIF(85:85,G24,86:86)-SUMIF(85:85,C24,86:86)+100</f>
        <v>0</v>
      </c>
      <c r="I23" s="391"/>
      <c r="J23" s="389">
        <f>SUMIF(85:85,I24,86:86)-SUMIF(85:85,C24,86:86)+100</f>
        <v>0</v>
      </c>
      <c r="K23" s="540"/>
      <c r="L23" s="2491"/>
      <c r="M23" s="2486"/>
      <c r="N23" s="2486"/>
      <c r="O23" s="2486"/>
      <c r="P23" s="3435"/>
      <c r="Q23" s="1263" t="str">
        <f>B23</f>
        <v>环境质量</v>
      </c>
      <c r="R23" s="667" t="s">
        <v>14</v>
      </c>
      <c r="S23" s="668">
        <f>F23</f>
        <v>0</v>
      </c>
      <c r="T23" s="667" t="s">
        <v>14</v>
      </c>
      <c r="U23" s="668">
        <f>H23</f>
        <v>0</v>
      </c>
      <c r="V23" s="667" t="s">
        <v>14</v>
      </c>
      <c r="W23" s="668">
        <f>J23</f>
        <v>0</v>
      </c>
      <c r="X23" s="1265"/>
      <c r="Y23" s="3428"/>
      <c r="Z23" s="1264" t="str">
        <f>Q23</f>
        <v>环境质量</v>
      </c>
      <c r="AA23" s="1264" t="e">
        <f t="shared" si="3"/>
        <v>#DIV/0!</v>
      </c>
      <c r="AB23" s="1264" t="e">
        <f t="shared" si="4"/>
        <v>#DIV/0!</v>
      </c>
      <c r="AC23" s="1812" t="e">
        <f t="shared" si="5"/>
        <v>#DIV/0!</v>
      </c>
    </row>
    <row r="24" spans="1:29" ht="15.5">
      <c r="A24" s="367"/>
      <c r="B24" s="557"/>
      <c r="C24" s="1758" t="s">
        <v>3455</v>
      </c>
      <c r="D24" s="387"/>
      <c r="E24" s="1751"/>
      <c r="F24" s="387"/>
      <c r="G24" s="1752"/>
      <c r="H24" s="387"/>
      <c r="I24" s="1752"/>
      <c r="J24" s="387"/>
      <c r="K24" s="541"/>
      <c r="L24" s="2491"/>
      <c r="M24" s="2486"/>
      <c r="N24" s="2486"/>
      <c r="O24" s="2486"/>
      <c r="P24" s="3435"/>
      <c r="Q24" s="1263"/>
      <c r="R24" s="667"/>
      <c r="S24" s="668"/>
      <c r="T24" s="667"/>
      <c r="U24" s="668"/>
      <c r="V24" s="667"/>
      <c r="W24" s="668"/>
      <c r="X24" s="1265"/>
      <c r="Y24" s="3428"/>
      <c r="Z24" s="1264"/>
      <c r="AA24" s="1264">
        <v>1</v>
      </c>
      <c r="AB24" s="1264">
        <v>1</v>
      </c>
      <c r="AC24" s="1812">
        <v>1</v>
      </c>
    </row>
    <row r="25" spans="1:29" ht="28">
      <c r="A25" s="348"/>
      <c r="B25" s="556" t="s">
        <v>1812</v>
      </c>
      <c r="C25" s="1762"/>
      <c r="D25" s="374">
        <v>100</v>
      </c>
      <c r="E25" s="373"/>
      <c r="F25" s="374">
        <f>SUMIF(87:87,E26,88:88)-SUMIF(87:87,C26,88:88)+100</f>
        <v>0</v>
      </c>
      <c r="G25" s="1762"/>
      <c r="H25" s="374">
        <f>SUMIF(87:87,G26,88:88)-SUMIF(87:87,C26,88:88)+100</f>
        <v>0</v>
      </c>
      <c r="I25" s="373"/>
      <c r="J25" s="374">
        <f>SUMIF(87:87,I26,88:88)-SUMIF(87:87,C26,88:88)+100</f>
        <v>0</v>
      </c>
      <c r="K25" s="540"/>
      <c r="L25" s="2491"/>
      <c r="M25" s="2486"/>
      <c r="N25" s="2486"/>
      <c r="O25" s="2486"/>
      <c r="P25" s="3435"/>
      <c r="Q25" s="1263" t="str">
        <f>B25</f>
        <v>毗邻道路的类型与等级</v>
      </c>
      <c r="R25" s="667" t="s">
        <v>14</v>
      </c>
      <c r="S25" s="668">
        <f>F25</f>
        <v>0</v>
      </c>
      <c r="T25" s="667" t="s">
        <v>14</v>
      </c>
      <c r="U25" s="668">
        <f>H25</f>
        <v>0</v>
      </c>
      <c r="V25" s="667" t="s">
        <v>14</v>
      </c>
      <c r="W25" s="668">
        <f>J25</f>
        <v>0</v>
      </c>
      <c r="X25" s="1265"/>
      <c r="Y25" s="3428"/>
      <c r="Z25" s="1264" t="str">
        <f>Q25</f>
        <v>毗邻道路的类型与等级</v>
      </c>
      <c r="AA25" s="1264" t="e">
        <f t="shared" si="3"/>
        <v>#DIV/0!</v>
      </c>
      <c r="AB25" s="1264" t="e">
        <f t="shared" si="4"/>
        <v>#DIV/0!</v>
      </c>
      <c r="AC25" s="1812" t="e">
        <f t="shared" si="5"/>
        <v>#DIV/0!</v>
      </c>
    </row>
    <row r="26" spans="1:29" ht="15.5">
      <c r="A26" s="348"/>
      <c r="B26" s="401"/>
      <c r="C26" s="558" t="s">
        <v>3500</v>
      </c>
      <c r="D26" s="374"/>
      <c r="E26" s="542"/>
      <c r="F26" s="374"/>
      <c r="G26" s="558"/>
      <c r="H26" s="374"/>
      <c r="I26" s="542"/>
      <c r="J26" s="374"/>
      <c r="K26" s="541"/>
      <c r="L26" s="2491"/>
      <c r="M26" s="2486"/>
      <c r="N26" s="2486"/>
      <c r="O26" s="2486"/>
      <c r="P26" s="3435"/>
      <c r="Q26" s="1263"/>
      <c r="R26" s="667"/>
      <c r="S26" s="668"/>
      <c r="T26" s="667"/>
      <c r="U26" s="668"/>
      <c r="V26" s="667"/>
      <c r="W26" s="668"/>
      <c r="X26" s="1265"/>
      <c r="Y26" s="3428"/>
      <c r="Z26" s="1264"/>
      <c r="AA26" s="1264">
        <v>1</v>
      </c>
      <c r="AB26" s="1264">
        <v>1</v>
      </c>
      <c r="AC26" s="1812">
        <v>1</v>
      </c>
    </row>
    <row r="27" spans="1:29" ht="15.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35"/>
      <c r="Q27" s="1263" t="str">
        <f t="shared" ref="Q27:Q47" si="11">B27</f>
        <v>楼层</v>
      </c>
      <c r="R27" s="667" t="s">
        <v>14</v>
      </c>
      <c r="S27" s="668">
        <f>F27</f>
        <v>100</v>
      </c>
      <c r="T27" s="667" t="s">
        <v>14</v>
      </c>
      <c r="U27" s="668">
        <f>H27</f>
        <v>100</v>
      </c>
      <c r="V27" s="667" t="s">
        <v>14</v>
      </c>
      <c r="W27" s="668">
        <f>J27</f>
        <v>100</v>
      </c>
      <c r="X27" s="1265"/>
      <c r="Y27" s="3428"/>
      <c r="Z27" s="1264" t="str">
        <f>Q27</f>
        <v>楼层</v>
      </c>
      <c r="AA27" s="1264">
        <f t="shared" si="3"/>
        <v>1</v>
      </c>
      <c r="AB27" s="1264">
        <f t="shared" si="4"/>
        <v>1</v>
      </c>
      <c r="AC27" s="1812">
        <f t="shared" si="5"/>
        <v>1</v>
      </c>
    </row>
    <row r="28" spans="1:29" s="102" customFormat="1" ht="15.5">
      <c r="A28" s="370"/>
      <c r="B28" s="556" t="s">
        <v>1813</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35"/>
      <c r="Q28" s="530" t="str">
        <f t="shared" si="11"/>
        <v>朝向</v>
      </c>
      <c r="R28" s="664" t="s">
        <v>14</v>
      </c>
      <c r="S28" s="665">
        <f>F28</f>
        <v>100</v>
      </c>
      <c r="T28" s="664" t="s">
        <v>14</v>
      </c>
      <c r="U28" s="665">
        <f>H28</f>
        <v>100</v>
      </c>
      <c r="V28" s="664" t="s">
        <v>14</v>
      </c>
      <c r="W28" s="665">
        <f>J28</f>
        <v>100</v>
      </c>
      <c r="X28" s="666"/>
      <c r="Y28" s="342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5"/>
      <c r="Q29" s="1263">
        <f t="shared" si="11"/>
        <v>111</v>
      </c>
      <c r="R29" s="667" t="s">
        <v>14</v>
      </c>
      <c r="S29" s="668">
        <f t="shared" ref="S29:S47" si="12">F29</f>
        <v>100</v>
      </c>
      <c r="T29" s="667" t="s">
        <v>14</v>
      </c>
      <c r="U29" s="668">
        <f t="shared" ref="U29:U47" si="13">H29</f>
        <v>100</v>
      </c>
      <c r="V29" s="667" t="s">
        <v>14</v>
      </c>
      <c r="W29" s="668">
        <f t="shared" ref="W29:W47" si="14">J29</f>
        <v>100</v>
      </c>
      <c r="X29" s="1265"/>
      <c r="Y29" s="342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5"/>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5"/>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5"/>
      <c r="Q32" s="1263">
        <f t="shared" si="11"/>
        <v>111</v>
      </c>
      <c r="R32" s="667" t="s">
        <v>14</v>
      </c>
      <c r="S32" s="668">
        <f t="shared" si="12"/>
        <v>100</v>
      </c>
      <c r="T32" s="667" t="s">
        <v>14</v>
      </c>
      <c r="U32" s="668">
        <f t="shared" si="13"/>
        <v>100</v>
      </c>
      <c r="V32" s="667" t="s">
        <v>14</v>
      </c>
      <c r="W32" s="668">
        <f t="shared" si="14"/>
        <v>100</v>
      </c>
      <c r="X32" s="1265"/>
      <c r="Y32" s="3428"/>
      <c r="Z32" s="1264">
        <f t="shared" si="15"/>
        <v>111</v>
      </c>
      <c r="AA32" s="1264">
        <f t="shared" si="3"/>
        <v>1</v>
      </c>
      <c r="AB32" s="1264">
        <f t="shared" si="4"/>
        <v>1</v>
      </c>
      <c r="AC32" s="1812">
        <f t="shared" si="5"/>
        <v>1</v>
      </c>
    </row>
    <row r="33" spans="1:29" ht="15.5">
      <c r="A33" s="379" t="s">
        <v>1691</v>
      </c>
      <c r="B33" s="60" t="s">
        <v>1814</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29" t="s">
        <v>1693</v>
      </c>
      <c r="Q33" s="1263" t="str">
        <f t="shared" si="11"/>
        <v>建筑类型</v>
      </c>
      <c r="R33" s="667" t="s">
        <v>14</v>
      </c>
      <c r="S33" s="668">
        <f t="shared" si="12"/>
        <v>100</v>
      </c>
      <c r="T33" s="667" t="s">
        <v>14</v>
      </c>
      <c r="U33" s="668">
        <f t="shared" si="13"/>
        <v>100</v>
      </c>
      <c r="V33" s="667" t="s">
        <v>14</v>
      </c>
      <c r="W33" s="668">
        <f t="shared" si="14"/>
        <v>100</v>
      </c>
      <c r="X33" s="1265"/>
      <c r="Y33" s="3432" t="s">
        <v>1693</v>
      </c>
      <c r="Z33" s="1264" t="str">
        <f t="shared" si="15"/>
        <v>建筑类型</v>
      </c>
      <c r="AA33" s="1264">
        <f t="shared" si="3"/>
        <v>1</v>
      </c>
      <c r="AB33" s="1264">
        <f t="shared" si="4"/>
        <v>1</v>
      </c>
      <c r="AC33" s="1812">
        <f t="shared" si="5"/>
        <v>1</v>
      </c>
    </row>
    <row r="34" spans="1:29" s="408" customFormat="1" ht="15.5">
      <c r="A34" s="406"/>
      <c r="B34" s="364" t="s">
        <v>1694</v>
      </c>
      <c r="C34" s="407"/>
      <c r="D34" s="119">
        <v>100</v>
      </c>
      <c r="E34" s="369"/>
      <c r="F34" s="364">
        <f>LOOKUP(E34,104:104,105:105)-LOOKUP(C34,104:104,105:105)+100</f>
        <v>100</v>
      </c>
      <c r="G34" s="368"/>
      <c r="H34" s="119">
        <f>LOOKUP(G34,104:104,105:105)-LOOKUP(C34,104:104,105:105)+100</f>
        <v>100</v>
      </c>
      <c r="I34" s="368"/>
      <c r="J34" s="119">
        <f>LOOKUP(I34,104:104,105:105)-LOOKUP(C34,104:104,105:105)+100</f>
        <v>100</v>
      </c>
      <c r="K34" s="539"/>
      <c r="L34" s="2490"/>
      <c r="M34" s="2492"/>
      <c r="N34" s="2492"/>
      <c r="O34" s="2492"/>
      <c r="P34" s="3430"/>
      <c r="Q34" s="531" t="str">
        <f t="shared" si="11"/>
        <v>项目建筑规模</v>
      </c>
      <c r="R34" s="669" t="s">
        <v>14</v>
      </c>
      <c r="S34" s="670">
        <f t="shared" si="12"/>
        <v>100</v>
      </c>
      <c r="T34" s="669" t="s">
        <v>14</v>
      </c>
      <c r="U34" s="670">
        <f t="shared" si="13"/>
        <v>100</v>
      </c>
      <c r="V34" s="669" t="s">
        <v>14</v>
      </c>
      <c r="W34" s="670">
        <f t="shared" si="14"/>
        <v>100</v>
      </c>
      <c r="X34" s="671"/>
      <c r="Y34" s="3432"/>
      <c r="Z34" s="672" t="str">
        <f t="shared" si="15"/>
        <v>项目建筑规模</v>
      </c>
      <c r="AA34" s="1264">
        <f t="shared" si="3"/>
        <v>1</v>
      </c>
      <c r="AB34" s="1264">
        <f t="shared" si="4"/>
        <v>1</v>
      </c>
      <c r="AC34" s="1812">
        <f t="shared" si="5"/>
        <v>1</v>
      </c>
    </row>
    <row r="35" spans="1:29" ht="15.5">
      <c r="A35" s="409"/>
      <c r="B35" s="364" t="s">
        <v>1695</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30"/>
      <c r="Q35" s="1263" t="str">
        <f t="shared" si="11"/>
        <v>建筑结构</v>
      </c>
      <c r="R35" s="667" t="s">
        <v>14</v>
      </c>
      <c r="S35" s="668">
        <f t="shared" si="12"/>
        <v>100</v>
      </c>
      <c r="T35" s="667" t="s">
        <v>14</v>
      </c>
      <c r="U35" s="668">
        <f t="shared" si="13"/>
        <v>100</v>
      </c>
      <c r="V35" s="667" t="s">
        <v>14</v>
      </c>
      <c r="W35" s="668">
        <f t="shared" si="14"/>
        <v>100</v>
      </c>
      <c r="X35" s="1265"/>
      <c r="Y35" s="3432"/>
      <c r="Z35" s="1264" t="str">
        <f t="shared" si="15"/>
        <v>建筑结构</v>
      </c>
      <c r="AA35" s="1264">
        <f t="shared" si="3"/>
        <v>1</v>
      </c>
      <c r="AB35" s="1264">
        <f t="shared" si="4"/>
        <v>1</v>
      </c>
      <c r="AC35" s="1812">
        <f t="shared" si="5"/>
        <v>1</v>
      </c>
    </row>
    <row r="36" spans="1:29" ht="15.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30"/>
      <c r="Q36" s="1263" t="str">
        <f t="shared" si="11"/>
        <v>公共部分装修</v>
      </c>
      <c r="R36" s="667" t="s">
        <v>14</v>
      </c>
      <c r="S36" s="668">
        <f t="shared" si="12"/>
        <v>100</v>
      </c>
      <c r="T36" s="667" t="s">
        <v>14</v>
      </c>
      <c r="U36" s="668">
        <f t="shared" si="13"/>
        <v>100</v>
      </c>
      <c r="V36" s="667" t="s">
        <v>14</v>
      </c>
      <c r="W36" s="668">
        <f t="shared" si="14"/>
        <v>100</v>
      </c>
      <c r="X36" s="1265"/>
      <c r="Y36" s="3432"/>
      <c r="Z36" s="1264" t="str">
        <f t="shared" si="15"/>
        <v>公共部分装修</v>
      </c>
      <c r="AA36" s="1264">
        <f t="shared" si="3"/>
        <v>1</v>
      </c>
      <c r="AB36" s="1264">
        <f t="shared" si="4"/>
        <v>1</v>
      </c>
      <c r="AC36" s="1812">
        <f t="shared" si="5"/>
        <v>1</v>
      </c>
    </row>
    <row r="37" spans="1:29" ht="15.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30"/>
      <c r="Q37" s="1263" t="str">
        <f t="shared" si="11"/>
        <v>成新度</v>
      </c>
      <c r="R37" s="667" t="s">
        <v>14</v>
      </c>
      <c r="S37" s="668" t="e">
        <f t="shared" si="12"/>
        <v>#N/A</v>
      </c>
      <c r="T37" s="667" t="s">
        <v>14</v>
      </c>
      <c r="U37" s="668" t="e">
        <f t="shared" si="13"/>
        <v>#N/A</v>
      </c>
      <c r="V37" s="667" t="s">
        <v>14</v>
      </c>
      <c r="W37" s="668" t="e">
        <f t="shared" si="14"/>
        <v>#N/A</v>
      </c>
      <c r="X37" s="1265"/>
      <c r="Y37" s="3432"/>
      <c r="Z37" s="1264" t="str">
        <f t="shared" si="15"/>
        <v>成新度</v>
      </c>
      <c r="AA37" s="1264" t="e">
        <f t="shared" si="3"/>
        <v>#N/A</v>
      </c>
      <c r="AB37" s="1264" t="e">
        <f t="shared" si="4"/>
        <v>#N/A</v>
      </c>
      <c r="AC37" s="1812" t="e">
        <f t="shared" si="5"/>
        <v>#N/A</v>
      </c>
    </row>
    <row r="38" spans="1:29" s="102" customFormat="1" ht="15.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30"/>
      <c r="Q38" s="530" t="str">
        <f t="shared" si="11"/>
        <v>写字楼等级</v>
      </c>
      <c r="R38" s="664" t="s">
        <v>14</v>
      </c>
      <c r="S38" s="665">
        <f t="shared" si="12"/>
        <v>100</v>
      </c>
      <c r="T38" s="664" t="s">
        <v>14</v>
      </c>
      <c r="U38" s="665">
        <f t="shared" si="13"/>
        <v>100</v>
      </c>
      <c r="V38" s="664" t="s">
        <v>14</v>
      </c>
      <c r="W38" s="665">
        <f t="shared" si="14"/>
        <v>100</v>
      </c>
      <c r="X38" s="666"/>
      <c r="Y38" s="3432"/>
      <c r="Z38" s="50" t="str">
        <f t="shared" si="15"/>
        <v>写字楼等级</v>
      </c>
      <c r="AA38" s="50">
        <f t="shared" si="3"/>
        <v>1</v>
      </c>
      <c r="AB38" s="50">
        <f t="shared" si="4"/>
        <v>1</v>
      </c>
      <c r="AC38" s="802">
        <f t="shared" si="5"/>
        <v>1</v>
      </c>
    </row>
    <row r="39" spans="1:29" ht="15.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30" t="s">
        <v>1693</v>
      </c>
      <c r="Q39" s="1263" t="str">
        <f t="shared" si="11"/>
        <v>物业管理</v>
      </c>
      <c r="R39" s="667" t="s">
        <v>14</v>
      </c>
      <c r="S39" s="668">
        <f t="shared" si="12"/>
        <v>100</v>
      </c>
      <c r="T39" s="667" t="s">
        <v>14</v>
      </c>
      <c r="U39" s="668">
        <f t="shared" si="13"/>
        <v>100</v>
      </c>
      <c r="V39" s="667" t="s">
        <v>14</v>
      </c>
      <c r="W39" s="668">
        <f t="shared" si="14"/>
        <v>100</v>
      </c>
      <c r="X39" s="1265"/>
      <c r="Y39" s="3432" t="s">
        <v>1693</v>
      </c>
      <c r="Z39" s="1264" t="str">
        <f t="shared" si="15"/>
        <v>物业管理</v>
      </c>
      <c r="AA39" s="1264">
        <f t="shared" si="3"/>
        <v>1</v>
      </c>
      <c r="AB39" s="1264">
        <f t="shared" si="4"/>
        <v>1</v>
      </c>
      <c r="AC39" s="1812">
        <f t="shared" si="5"/>
        <v>1</v>
      </c>
    </row>
    <row r="40" spans="1:29" ht="15.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0"/>
      <c r="Q40" s="1263" t="str">
        <f t="shared" si="11"/>
        <v>市政基础设施</v>
      </c>
      <c r="R40" s="667" t="s">
        <v>14</v>
      </c>
      <c r="S40" s="668">
        <f t="shared" si="12"/>
        <v>100</v>
      </c>
      <c r="T40" s="667" t="s">
        <v>14</v>
      </c>
      <c r="U40" s="668">
        <f t="shared" si="13"/>
        <v>100</v>
      </c>
      <c r="V40" s="667" t="s">
        <v>14</v>
      </c>
      <c r="W40" s="668">
        <f t="shared" si="14"/>
        <v>100</v>
      </c>
      <c r="X40" s="1265"/>
      <c r="Y40" s="3432"/>
      <c r="Z40" s="1264" t="str">
        <f t="shared" si="15"/>
        <v>市政基础设施</v>
      </c>
      <c r="AA40" s="1264">
        <f t="shared" si="3"/>
        <v>1</v>
      </c>
      <c r="AB40" s="1264">
        <f t="shared" si="4"/>
        <v>1</v>
      </c>
      <c r="AC40" s="1812">
        <f t="shared" si="5"/>
        <v>1</v>
      </c>
    </row>
    <row r="41" spans="1:29" ht="15.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30"/>
      <c r="Q41" s="1263" t="str">
        <f t="shared" si="11"/>
        <v>层高</v>
      </c>
      <c r="R41" s="667" t="s">
        <v>14</v>
      </c>
      <c r="S41" s="668">
        <f t="shared" si="12"/>
        <v>100</v>
      </c>
      <c r="T41" s="667" t="s">
        <v>14</v>
      </c>
      <c r="U41" s="668">
        <f t="shared" si="13"/>
        <v>100</v>
      </c>
      <c r="V41" s="667" t="s">
        <v>14</v>
      </c>
      <c r="W41" s="668">
        <f t="shared" si="14"/>
        <v>100</v>
      </c>
      <c r="X41" s="1265"/>
      <c r="Y41" s="3432"/>
      <c r="Z41" s="1264" t="str">
        <f t="shared" si="15"/>
        <v>层高</v>
      </c>
      <c r="AA41" s="1264">
        <f t="shared" si="3"/>
        <v>1</v>
      </c>
      <c r="AB41" s="1264">
        <f t="shared" si="4"/>
        <v>1</v>
      </c>
      <c r="AC41" s="1812">
        <f t="shared" si="5"/>
        <v>1</v>
      </c>
    </row>
    <row r="42" spans="1:29" s="408" customFormat="1" ht="15.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0"/>
      <c r="Q42" s="531" t="str">
        <f t="shared" si="11"/>
        <v>单套建筑面积</v>
      </c>
      <c r="R42" s="669" t="s">
        <v>14</v>
      </c>
      <c r="S42" s="670">
        <f t="shared" si="12"/>
        <v>100</v>
      </c>
      <c r="T42" s="669" t="s">
        <v>14</v>
      </c>
      <c r="U42" s="670">
        <f t="shared" si="13"/>
        <v>100</v>
      </c>
      <c r="V42" s="669" t="s">
        <v>14</v>
      </c>
      <c r="W42" s="670">
        <f t="shared" si="14"/>
        <v>100</v>
      </c>
      <c r="X42" s="671"/>
      <c r="Y42" s="3432"/>
      <c r="Z42" s="672" t="str">
        <f t="shared" si="15"/>
        <v>单套建筑面积</v>
      </c>
      <c r="AA42" s="1264">
        <f t="shared" si="3"/>
        <v>1</v>
      </c>
      <c r="AB42" s="1264">
        <f t="shared" si="4"/>
        <v>1</v>
      </c>
      <c r="AC42" s="1812">
        <f t="shared" si="5"/>
        <v>1</v>
      </c>
    </row>
    <row r="43" spans="1:29" ht="15.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30"/>
      <c r="Q43" s="1263" t="str">
        <f t="shared" si="11"/>
        <v>内部装修</v>
      </c>
      <c r="R43" s="667" t="s">
        <v>14</v>
      </c>
      <c r="S43" s="668">
        <f t="shared" si="12"/>
        <v>100</v>
      </c>
      <c r="T43" s="667" t="s">
        <v>14</v>
      </c>
      <c r="U43" s="668">
        <f t="shared" si="13"/>
        <v>100</v>
      </c>
      <c r="V43" s="667" t="s">
        <v>14</v>
      </c>
      <c r="W43" s="668">
        <f t="shared" si="14"/>
        <v>100</v>
      </c>
      <c r="X43" s="1265"/>
      <c r="Y43" s="3432"/>
      <c r="Z43" s="1264" t="str">
        <f t="shared" si="15"/>
        <v>内部装修</v>
      </c>
      <c r="AA43" s="1264">
        <f t="shared" si="3"/>
        <v>1</v>
      </c>
      <c r="AB43" s="1264">
        <f t="shared" si="4"/>
        <v>1</v>
      </c>
      <c r="AC43" s="1812">
        <f t="shared" si="5"/>
        <v>1</v>
      </c>
    </row>
    <row r="44" spans="1:29" ht="28">
      <c r="A44" s="409"/>
      <c r="B44" s="364" t="s">
        <v>1704</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30"/>
      <c r="Q44" s="1263" t="str">
        <f t="shared" si="11"/>
        <v>内部装修维护情况</v>
      </c>
      <c r="R44" s="667" t="s">
        <v>14</v>
      </c>
      <c r="S44" s="668">
        <f t="shared" si="12"/>
        <v>100</v>
      </c>
      <c r="T44" s="667" t="s">
        <v>14</v>
      </c>
      <c r="U44" s="668">
        <f t="shared" si="13"/>
        <v>100</v>
      </c>
      <c r="V44" s="667" t="s">
        <v>14</v>
      </c>
      <c r="W44" s="668">
        <f t="shared" si="14"/>
        <v>100</v>
      </c>
      <c r="X44" s="1265"/>
      <c r="Y44" s="343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30"/>
      <c r="Q45" s="530">
        <f t="shared" si="11"/>
        <v>111</v>
      </c>
      <c r="R45" s="664" t="s">
        <v>14</v>
      </c>
      <c r="S45" s="665">
        <f t="shared" si="12"/>
        <v>100</v>
      </c>
      <c r="T45" s="664" t="s">
        <v>14</v>
      </c>
      <c r="U45" s="665">
        <f t="shared" si="13"/>
        <v>100</v>
      </c>
      <c r="V45" s="664" t="s">
        <v>14</v>
      </c>
      <c r="W45" s="665">
        <f t="shared" si="14"/>
        <v>100</v>
      </c>
      <c r="X45" s="666"/>
      <c r="Y45" s="343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1"/>
      <c r="Q47" s="1263">
        <f t="shared" si="11"/>
        <v>111</v>
      </c>
      <c r="R47" s="667" t="s">
        <v>14</v>
      </c>
      <c r="S47" s="668">
        <f t="shared" si="12"/>
        <v>100</v>
      </c>
      <c r="T47" s="667" t="s">
        <v>14</v>
      </c>
      <c r="U47" s="668">
        <f t="shared" si="13"/>
        <v>100</v>
      </c>
      <c r="V47" s="667" t="s">
        <v>14</v>
      </c>
      <c r="W47" s="668">
        <f t="shared" si="14"/>
        <v>100</v>
      </c>
      <c r="X47" s="1265"/>
      <c r="Y47" s="3433"/>
      <c r="Z47" s="1264">
        <f t="shared" si="15"/>
        <v>111</v>
      </c>
      <c r="AA47" s="1264">
        <f t="shared" si="3"/>
        <v>1</v>
      </c>
      <c r="AB47" s="1264">
        <f t="shared" si="4"/>
        <v>1</v>
      </c>
      <c r="AC47" s="1812">
        <f t="shared" si="5"/>
        <v>1</v>
      </c>
    </row>
    <row r="48" spans="1:29">
      <c r="A48" s="416" t="s">
        <v>1705</v>
      </c>
      <c r="B48" s="417"/>
      <c r="C48" s="1081" t="s">
        <v>0</v>
      </c>
      <c r="D48" s="418"/>
      <c r="E48" s="419"/>
      <c r="F48" s="420"/>
      <c r="G48" s="421"/>
      <c r="H48" s="422"/>
      <c r="I48" s="419"/>
      <c r="J48" s="422"/>
      <c r="K48" s="674"/>
      <c r="L48" s="2493"/>
      <c r="M48" s="2486"/>
      <c r="N48" s="2486"/>
      <c r="O48" s="2486"/>
      <c r="P48" s="3436" t="str">
        <f>A48</f>
        <v>成交单价（元/平方米）</v>
      </c>
      <c r="Q48" s="3425"/>
      <c r="R48" s="3426">
        <f>E48</f>
        <v>0</v>
      </c>
      <c r="S48" s="3426"/>
      <c r="T48" s="3426">
        <f>G48</f>
        <v>0</v>
      </c>
      <c r="U48" s="3426"/>
      <c r="V48" s="3426">
        <f>I48</f>
        <v>0</v>
      </c>
      <c r="W48" s="3426"/>
      <c r="X48" s="385"/>
      <c r="Y48" s="673"/>
      <c r="Z48" s="385"/>
      <c r="AA48" s="385"/>
      <c r="AB48" s="385"/>
      <c r="AC48" s="555"/>
    </row>
    <row r="49" spans="1:29" ht="14.5" thickBot="1">
      <c r="A49" s="423" t="s">
        <v>1790</v>
      </c>
      <c r="B49" s="424"/>
      <c r="C49" s="1082" t="e">
        <f>R50</f>
        <v>#DIV/0!</v>
      </c>
      <c r="D49" s="2141" t="s">
        <v>2132</v>
      </c>
      <c r="E49" s="1083" t="e">
        <f>R49</f>
        <v>#DIV/0!</v>
      </c>
      <c r="F49" s="2142"/>
      <c r="G49" s="1082" t="e">
        <f>T49</f>
        <v>#DIV/0!</v>
      </c>
      <c r="H49" s="2142"/>
      <c r="I49" s="1083" t="e">
        <f>V49</f>
        <v>#DIV/0!</v>
      </c>
      <c r="J49" s="2142"/>
      <c r="K49" s="2144">
        <f>F49+H49+J49</f>
        <v>0</v>
      </c>
      <c r="L49" s="2493"/>
      <c r="M49" s="2486"/>
      <c r="N49" s="2486"/>
      <c r="O49" s="2486"/>
      <c r="P49" s="3436" t="str">
        <f>A49</f>
        <v>比较价值（元/平方米）</v>
      </c>
      <c r="Q49" s="3425"/>
      <c r="R49" s="3426" t="e">
        <f>IF(F1="售价",ROUND(PRODUCT(R48,AA7:AA47),0),ROUND(PRODUCT(R48,AA7:AA47),1))</f>
        <v>#DIV/0!</v>
      </c>
      <c r="S49" s="3426"/>
      <c r="T49" s="3426" t="e">
        <f>IF(F1="售价",ROUND(PRODUCT(T48,AB7:AB47),0),ROUND(PRODUCT(T48,AB7:AB47),1))</f>
        <v>#DIV/0!</v>
      </c>
      <c r="U49" s="3426"/>
      <c r="V49" s="3426" t="e">
        <f>IF(F1="售价",ROUND(PRODUCT(V48,AC7:AC47),0),ROUND(PRODUCT(V48,AC7:AC47),1))</f>
        <v>#DIV/0!</v>
      </c>
      <c r="W49" s="3426"/>
      <c r="X49" s="385"/>
      <c r="Y49" s="385"/>
      <c r="Z49" s="385"/>
      <c r="AA49" s="385"/>
      <c r="AB49" s="385"/>
      <c r="AC49" s="555"/>
    </row>
    <row r="50" spans="1:29" ht="14.5" thickBot="1">
      <c r="A50" s="427" t="s">
        <v>1791</v>
      </c>
      <c r="B50" s="428"/>
      <c r="C50" s="351" t="e">
        <f>R50</f>
        <v>#DIV/0!</v>
      </c>
      <c r="D50" s="351"/>
      <c r="E50" s="351"/>
      <c r="F50" s="351"/>
      <c r="G50" s="351"/>
      <c r="H50" s="351"/>
      <c r="I50" s="351"/>
      <c r="J50" s="429"/>
      <c r="K50" s="675"/>
      <c r="L50" s="2493"/>
      <c r="M50" s="2486"/>
      <c r="N50" s="2486"/>
      <c r="O50" s="2486"/>
      <c r="P50" s="3526" t="str">
        <f>A50</f>
        <v>估价对象XX用房的比较价值（楼面单价，元/平方米）</v>
      </c>
      <c r="Q50" s="3527"/>
      <c r="R50" s="3528" t="e">
        <f>IF(F1="售价",ROUND(IF(D49="简单平均",AVERAGE(R49:V49),R49*F49+T49*H49+V49*J49),0),ROUND(IF(D49="简单平均",AVERAGE(R49:V49),R49*F49+T49*H49+V49*J49),1))</f>
        <v>#DIV/0!</v>
      </c>
      <c r="S50" s="3528"/>
      <c r="T50" s="3528"/>
      <c r="U50" s="3528"/>
      <c r="V50" s="3528"/>
      <c r="W50" s="352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1795</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1676</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4.5" thickBot="1">
      <c r="A61" s="449" t="s">
        <v>1713</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c r="A62" s="455" t="s">
        <v>1678</v>
      </c>
      <c r="B62" s="444"/>
      <c r="C62" s="456" t="s">
        <v>1773</v>
      </c>
      <c r="D62" s="31" t="str">
        <f>'比较法-商业'!D61</f>
        <v>挂牌价</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4.5" thickBot="1">
      <c r="A63" s="455"/>
      <c r="B63" s="444"/>
      <c r="C63" s="445">
        <v>100</v>
      </c>
      <c r="D63" s="31">
        <f>'比较法-商业'!D62</f>
        <v>105</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ht="14.5" thickBot="1">
      <c r="A64" s="379" t="s">
        <v>1716</v>
      </c>
      <c r="B64" s="460" t="s">
        <v>1682</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2"/>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1685</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1686</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1687</v>
      </c>
      <c r="B77" s="460" t="s">
        <v>1818</v>
      </c>
      <c r="C77" s="504" t="s">
        <v>1718</v>
      </c>
      <c r="D77" s="504" t="s">
        <v>1719</v>
      </c>
      <c r="E77" s="504" t="s">
        <v>1720</v>
      </c>
      <c r="F77" s="504" t="s">
        <v>1721</v>
      </c>
      <c r="G77" s="504" t="s">
        <v>1722</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1723</v>
      </c>
      <c r="C79" s="509" t="s">
        <v>1718</v>
      </c>
      <c r="D79" s="509" t="s">
        <v>1719</v>
      </c>
      <c r="E79" s="509" t="s">
        <v>1720</v>
      </c>
      <c r="F79" s="509" t="s">
        <v>1721</v>
      </c>
      <c r="G79" s="509" t="s">
        <v>1722</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1724</v>
      </c>
      <c r="C81" s="509" t="s">
        <v>1718</v>
      </c>
      <c r="D81" s="509" t="s">
        <v>1719</v>
      </c>
      <c r="E81" s="509" t="s">
        <v>1720</v>
      </c>
      <c r="F81" s="509" t="s">
        <v>1721</v>
      </c>
      <c r="G81" s="509" t="s">
        <v>1722</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1810</v>
      </c>
      <c r="C83" s="581" t="s">
        <v>1796</v>
      </c>
      <c r="D83" s="581" t="s">
        <v>1797</v>
      </c>
      <c r="E83" s="581" t="s">
        <v>1798</v>
      </c>
      <c r="F83" s="581" t="s">
        <v>1799</v>
      </c>
      <c r="G83" s="581" t="s">
        <v>1800</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1819</v>
      </c>
      <c r="C85" s="509" t="s">
        <v>1718</v>
      </c>
      <c r="D85" s="509" t="s">
        <v>1719</v>
      </c>
      <c r="E85" s="509" t="s">
        <v>1720</v>
      </c>
      <c r="F85" s="509" t="s">
        <v>1721</v>
      </c>
      <c r="G85" s="509" t="s">
        <v>1722</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1820</v>
      </c>
      <c r="C87" s="3183" t="s">
        <v>3497</v>
      </c>
      <c r="D87" s="3173" t="s">
        <v>3498</v>
      </c>
      <c r="E87" s="3173" t="s">
        <v>3499</v>
      </c>
      <c r="F87" s="3173" t="s">
        <v>3501</v>
      </c>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4.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4.5" thickTop="1">
      <c r="A89" s="370"/>
      <c r="B89" s="469" t="str">
        <f>B27</f>
        <v>楼层</v>
      </c>
      <c r="C89" s="3173" t="s">
        <v>3502</v>
      </c>
      <c r="D89" s="3173" t="s">
        <v>3503</v>
      </c>
      <c r="E89" s="3173" t="s">
        <v>3504</v>
      </c>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4.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1691</v>
      </c>
      <c r="B101" s="460" t="s">
        <v>1733</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1734</v>
      </c>
      <c r="C103" s="509" t="str">
        <f>C104&amp;"(含)"&amp;"-"&amp;D104</f>
        <v>0(含)-50</v>
      </c>
      <c r="D103" s="509" t="str">
        <f t="shared" ref="D103:L103" si="23">D104&amp;"(含)"&amp;"-"&amp;E104</f>
        <v>50(含)-100</v>
      </c>
      <c r="E103" s="509" t="str">
        <f t="shared" si="23"/>
        <v>100(含)-200</v>
      </c>
      <c r="F103" s="509" t="str">
        <f t="shared" si="23"/>
        <v>200(含)-300</v>
      </c>
      <c r="G103" s="509" t="str">
        <f t="shared" si="23"/>
        <v>300(含)-500</v>
      </c>
      <c r="H103" s="509" t="str">
        <f t="shared" si="23"/>
        <v>500(含)-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f>'比较法-商业'!C103</f>
        <v>0</v>
      </c>
      <c r="D104" s="6">
        <f>'比较法-商业'!D103</f>
        <v>50</v>
      </c>
      <c r="E104" s="6">
        <f>'比较法-商业'!E103</f>
        <v>100</v>
      </c>
      <c r="F104" s="6">
        <f>'比较法-商业'!F103</f>
        <v>200</v>
      </c>
      <c r="G104" s="6">
        <f>'比较法-商业'!G103</f>
        <v>300</v>
      </c>
      <c r="H104" s="6">
        <f>'比较法-商业'!H103</f>
        <v>500</v>
      </c>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6">
        <f>'比较法-商业'!C104</f>
        <v>100</v>
      </c>
      <c r="D105" s="6">
        <f>'比较法-商业'!D104</f>
        <v>98</v>
      </c>
      <c r="E105" s="6">
        <f>'比较法-商业'!E104</f>
        <v>96</v>
      </c>
      <c r="F105" s="6">
        <f>'比较法-商业'!F104</f>
        <v>94</v>
      </c>
      <c r="G105" s="6">
        <f>'比较法-商业'!G104</f>
        <v>92</v>
      </c>
      <c r="H105" s="6">
        <f>'比较法-商业'!H104</f>
        <v>90</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1735</v>
      </c>
      <c r="C106" s="3173" t="s">
        <v>3505</v>
      </c>
      <c r="D106" s="3173" t="s">
        <v>3506</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1737</v>
      </c>
      <c r="C108" s="3173" t="s">
        <v>3507</v>
      </c>
      <c r="D108" s="3173" t="s">
        <v>3508</v>
      </c>
      <c r="E108" s="3173" t="s">
        <v>3509</v>
      </c>
      <c r="F108" s="3175" t="s">
        <v>3510</v>
      </c>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1187</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1821</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1738</v>
      </c>
      <c r="C115" s="3173" t="s">
        <v>3511</v>
      </c>
      <c r="D115" s="3173" t="s">
        <v>3512</v>
      </c>
      <c r="E115" s="3175" t="s">
        <v>3513</v>
      </c>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1739</v>
      </c>
      <c r="C117" s="3173" t="s">
        <v>3514</v>
      </c>
      <c r="D117" s="3173" t="s">
        <v>3515</v>
      </c>
      <c r="E117" s="3173" t="s">
        <v>3516</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1822</v>
      </c>
      <c r="C119" s="3175" t="s">
        <v>3517</v>
      </c>
      <c r="D119" s="3175" t="s">
        <v>3518</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1805</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1741</v>
      </c>
      <c r="C123" s="3173" t="s">
        <v>3507</v>
      </c>
      <c r="D123" s="3173" t="s">
        <v>3508</v>
      </c>
      <c r="E123" s="3173" t="s">
        <v>3509</v>
      </c>
      <c r="F123" s="3175" t="s">
        <v>3510</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1742</v>
      </c>
      <c r="C125" s="509" t="s">
        <v>1718</v>
      </c>
      <c r="D125" s="509" t="s">
        <v>1719</v>
      </c>
      <c r="E125" s="509" t="s">
        <v>1720</v>
      </c>
      <c r="F125" s="509" t="s">
        <v>1721</v>
      </c>
      <c r="G125" s="509" t="s">
        <v>1722</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45957</v>
      </c>
      <c r="B1" s="2928" t="s">
        <v>3367</v>
      </c>
      <c r="C1" s="2929"/>
      <c r="D1" s="2929"/>
      <c r="E1" s="2929"/>
      <c r="F1" s="2929"/>
      <c r="G1" s="2929"/>
      <c r="H1" s="2929"/>
      <c r="I1" s="2929"/>
      <c r="J1" s="2895"/>
      <c r="K1" s="2929" t="s">
        <v>454</v>
      </c>
      <c r="L1" s="2929"/>
      <c r="M1" s="2929"/>
      <c r="N1" s="2929"/>
      <c r="O1" s="2929"/>
      <c r="P1" s="2929"/>
      <c r="Q1" s="2895"/>
      <c r="R1" s="3541" t="s">
        <v>456</v>
      </c>
      <c r="S1" s="3542"/>
      <c r="T1" s="3542"/>
      <c r="U1" s="3542"/>
      <c r="V1" s="3542"/>
      <c r="W1" s="3542"/>
      <c r="X1" s="2895"/>
      <c r="Y1" s="3541" t="s">
        <v>457</v>
      </c>
      <c r="Z1" s="3542"/>
      <c r="AA1" s="3542"/>
      <c r="AB1" s="3542"/>
      <c r="AC1" s="3542"/>
      <c r="AD1" s="3542"/>
    </row>
    <row r="2" spans="1:44" s="2010" customFormat="1" ht="14.5" thickBot="1">
      <c r="B2" s="2880"/>
      <c r="C2" s="2881"/>
      <c r="D2" s="2011" t="s">
        <v>2801</v>
      </c>
      <c r="E2" s="2012" t="s">
        <v>2802</v>
      </c>
      <c r="F2" s="2012" t="s">
        <v>2803</v>
      </c>
      <c r="G2" s="2012" t="s">
        <v>2804</v>
      </c>
      <c r="H2" s="2012" t="s">
        <v>2805</v>
      </c>
      <c r="I2" s="2012" t="s">
        <v>2622</v>
      </c>
      <c r="J2" s="2882"/>
      <c r="K2" s="2011" t="s">
        <v>2801</v>
      </c>
      <c r="L2" s="2012" t="s">
        <v>2802</v>
      </c>
      <c r="M2" s="2012" t="s">
        <v>2803</v>
      </c>
      <c r="N2" s="2012" t="s">
        <v>2804</v>
      </c>
      <c r="O2" s="2012" t="s">
        <v>2806</v>
      </c>
      <c r="P2" s="2012" t="s">
        <v>2622</v>
      </c>
      <c r="Q2" s="2882"/>
      <c r="R2" s="2011" t="s">
        <v>2801</v>
      </c>
      <c r="S2" s="2012" t="s">
        <v>2802</v>
      </c>
      <c r="T2" s="2012" t="s">
        <v>2803</v>
      </c>
      <c r="U2" s="2012" t="s">
        <v>2807</v>
      </c>
      <c r="V2" s="2012" t="s">
        <v>2808</v>
      </c>
      <c r="W2" s="2012" t="s">
        <v>2622</v>
      </c>
      <c r="X2" s="2882"/>
      <c r="Y2" s="2011" t="s">
        <v>2801</v>
      </c>
      <c r="Z2" s="2012" t="s">
        <v>2802</v>
      </c>
      <c r="AA2" s="2012" t="s">
        <v>2803</v>
      </c>
      <c r="AB2" s="2012" t="s">
        <v>2809</v>
      </c>
      <c r="AC2" s="2012" t="s">
        <v>2808</v>
      </c>
      <c r="AD2" s="2012" t="s">
        <v>2622</v>
      </c>
      <c r="AF2" t="s">
        <v>3392</v>
      </c>
      <c r="AG2" t="s">
        <v>670</v>
      </c>
      <c r="AH2" t="s">
        <v>21</v>
      </c>
      <c r="AI2" t="s">
        <v>3393</v>
      </c>
      <c r="AJ2" t="s">
        <v>3</v>
      </c>
      <c r="AK2" t="s">
        <v>3394</v>
      </c>
      <c r="AM2" t="s">
        <v>3392</v>
      </c>
      <c r="AN2" t="s">
        <v>670</v>
      </c>
      <c r="AO2" t="s">
        <v>21</v>
      </c>
      <c r="AP2" t="s">
        <v>3393</v>
      </c>
      <c r="AQ2" t="s">
        <v>3</v>
      </c>
      <c r="AR2" t="s">
        <v>3394</v>
      </c>
    </row>
    <row r="3" spans="1:44" s="2885" customFormat="1" ht="13">
      <c r="A3" s="2883" t="s">
        <v>2810</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3391</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3405</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3406</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3397</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3396</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3371</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3365</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3364</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3360</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3359</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3357</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3356</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3355</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3353</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3344</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2811</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2812</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2813</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2814</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2815</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3370</v>
      </c>
    </row>
    <row r="27" spans="1:44">
      <c r="I27" s="1405" t="s">
        <v>2816</v>
      </c>
    </row>
    <row r="29" spans="1:44" s="2009" customFormat="1" ht="13">
      <c r="B29" s="2928" t="s">
        <v>3368</v>
      </c>
      <c r="C29" s="2929"/>
      <c r="D29" s="2929"/>
      <c r="E29" s="2929"/>
      <c r="F29" s="2929"/>
      <c r="G29" s="2929"/>
      <c r="H29" s="2929"/>
      <c r="I29" s="2929"/>
      <c r="J29" s="2895"/>
      <c r="K29" s="2929" t="s">
        <v>2817</v>
      </c>
      <c r="L29" s="2929"/>
      <c r="M29" s="2929"/>
      <c r="N29" s="2929"/>
      <c r="O29" s="2929"/>
      <c r="P29" s="2929"/>
      <c r="Q29" s="2895"/>
      <c r="R29" s="3541" t="s">
        <v>2818</v>
      </c>
      <c r="S29" s="3542"/>
      <c r="T29" s="3542"/>
      <c r="U29" s="3542"/>
      <c r="V29" s="3542"/>
      <c r="W29" s="3542"/>
      <c r="X29" s="2895"/>
      <c r="Y29" s="3541" t="s">
        <v>2819</v>
      </c>
      <c r="Z29" s="3542"/>
      <c r="AA29" s="3542"/>
      <c r="AB29" s="3542"/>
      <c r="AC29" s="3542"/>
      <c r="AD29" s="3542"/>
    </row>
    <row r="30" spans="1:44" s="2010" customFormat="1" ht="14.5" thickBot="1">
      <c r="B30" s="2880"/>
      <c r="C30" s="2881"/>
      <c r="D30" s="2011" t="s">
        <v>2820</v>
      </c>
      <c r="E30" s="2012" t="s">
        <v>2821</v>
      </c>
      <c r="F30" s="2012" t="s">
        <v>2822</v>
      </c>
      <c r="G30" s="2012" t="s">
        <v>2823</v>
      </c>
      <c r="H30" s="2012"/>
      <c r="I30" s="2012" t="s">
        <v>2824</v>
      </c>
      <c r="J30" s="2882"/>
      <c r="K30" s="2011" t="s">
        <v>2820</v>
      </c>
      <c r="L30" s="2012" t="s">
        <v>2821</v>
      </c>
      <c r="M30" s="2012" t="s">
        <v>2822</v>
      </c>
      <c r="N30" s="2012" t="s">
        <v>2823</v>
      </c>
      <c r="O30" s="2012"/>
      <c r="P30" s="2012" t="s">
        <v>2824</v>
      </c>
      <c r="Q30" s="2882"/>
      <c r="R30" s="2011" t="s">
        <v>2820</v>
      </c>
      <c r="S30" s="2012" t="s">
        <v>2821</v>
      </c>
      <c r="T30" s="2012" t="s">
        <v>2822</v>
      </c>
      <c r="U30" s="2012" t="s">
        <v>2823</v>
      </c>
      <c r="V30" s="2012"/>
      <c r="W30" s="2012" t="s">
        <v>2824</v>
      </c>
      <c r="X30" s="2882"/>
      <c r="Y30" s="2011" t="s">
        <v>2820</v>
      </c>
      <c r="Z30" s="2012" t="s">
        <v>2821</v>
      </c>
      <c r="AA30" s="2012" t="s">
        <v>2822</v>
      </c>
      <c r="AB30" s="2012" t="s">
        <v>2823</v>
      </c>
      <c r="AC30" s="2012"/>
      <c r="AD30" s="2012" t="s">
        <v>2824</v>
      </c>
      <c r="AG30" t="s">
        <v>670</v>
      </c>
      <c r="AH30" t="s">
        <v>21</v>
      </c>
      <c r="AI30" t="s">
        <v>3393</v>
      </c>
      <c r="AJ30"/>
      <c r="AK30" t="s">
        <v>3394</v>
      </c>
      <c r="AN30" t="s">
        <v>670</v>
      </c>
      <c r="AO30" t="s">
        <v>21</v>
      </c>
      <c r="AP30" t="s">
        <v>3393</v>
      </c>
      <c r="AQ30"/>
      <c r="AR30" t="s">
        <v>3394</v>
      </c>
    </row>
    <row r="31" spans="1:44" s="2885" customFormat="1" ht="13">
      <c r="A31" s="2883" t="s">
        <v>2825</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3391</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3407</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3406</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3395</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3396</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3362</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3366</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3363</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3361</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3359</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3358</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3356</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3355</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3354</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3344</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2826</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2827</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2828</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2829</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2815</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46" t="s">
        <v>452</v>
      </c>
      <c r="C1" s="3546"/>
      <c r="D1" s="3546"/>
      <c r="E1" s="3546"/>
      <c r="F1" s="3546"/>
      <c r="G1" s="3542" t="s">
        <v>453</v>
      </c>
      <c r="H1" s="3542"/>
      <c r="I1" s="3542"/>
      <c r="J1" s="3542"/>
      <c r="K1" s="3542"/>
      <c r="L1" s="3542"/>
      <c r="N1" s="3542" t="s">
        <v>454</v>
      </c>
      <c r="O1" s="3542"/>
      <c r="P1" s="3542"/>
      <c r="Q1" s="3542"/>
      <c r="S1" s="3542" t="s">
        <v>455</v>
      </c>
      <c r="T1" s="3542"/>
      <c r="U1" s="3542"/>
      <c r="V1" s="3542"/>
      <c r="X1" s="3541" t="s">
        <v>456</v>
      </c>
      <c r="Y1" s="3542"/>
      <c r="Z1" s="3542"/>
      <c r="AA1" s="3542"/>
      <c r="AB1" s="3542"/>
      <c r="AD1" s="3541" t="s">
        <v>457</v>
      </c>
      <c r="AE1" s="3542"/>
      <c r="AF1" s="3542"/>
      <c r="AG1" s="3542"/>
      <c r="AH1" s="3542"/>
    </row>
    <row r="2" spans="1:34" s="2010" customFormat="1" ht="14.5" thickBot="1">
      <c r="B2" s="2011" t="s">
        <v>458</v>
      </c>
      <c r="C2" s="2011" t="s">
        <v>459</v>
      </c>
      <c r="D2" s="2012" t="s">
        <v>460</v>
      </c>
      <c r="E2" s="2012" t="s">
        <v>461</v>
      </c>
      <c r="F2" s="2011" t="s">
        <v>462</v>
      </c>
      <c r="G2" s="2013"/>
      <c r="I2" s="2011" t="s">
        <v>458</v>
      </c>
      <c r="J2" s="2012" t="s">
        <v>673</v>
      </c>
      <c r="K2" s="2012" t="s">
        <v>308</v>
      </c>
      <c r="L2" s="2011" t="s">
        <v>462</v>
      </c>
      <c r="N2" s="2011" t="s">
        <v>458</v>
      </c>
      <c r="O2" s="2012" t="s">
        <v>673</v>
      </c>
      <c r="P2" s="2012" t="s">
        <v>308</v>
      </c>
      <c r="Q2" s="2011" t="s">
        <v>462</v>
      </c>
      <c r="S2" s="2011" t="s">
        <v>458</v>
      </c>
      <c r="T2" s="2012" t="s">
        <v>673</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2108</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2109</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2124</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2122</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2121</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2120</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2118</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2117</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2119</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4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2115</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4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2114</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4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2107</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5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2105</v>
      </c>
      <c r="B25" s="2049">
        <v>439</v>
      </c>
      <c r="C25" s="2049">
        <v>327</v>
      </c>
      <c r="D25" s="2049">
        <f>C25</f>
        <v>327</v>
      </c>
      <c r="E25" s="2049">
        <v>627</v>
      </c>
      <c r="F25" s="2050">
        <v>283</v>
      </c>
      <c r="G25" s="354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2106</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4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674</v>
      </c>
      <c r="B27" s="2041">
        <f t="shared" si="232"/>
        <v>419.31181600000002</v>
      </c>
      <c r="C27" s="2041">
        <f t="shared" si="233"/>
        <v>313.95436800000004</v>
      </c>
      <c r="D27" s="2041">
        <f t="shared" si="234"/>
        <v>313.95436800000004</v>
      </c>
      <c r="E27" s="2041">
        <f t="shared" si="235"/>
        <v>596.63028431999999</v>
      </c>
      <c r="F27" s="2041">
        <f t="shared" si="236"/>
        <v>274.74220703999998</v>
      </c>
      <c r="G27" s="354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5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4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4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4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4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4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4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4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4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4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5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4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4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4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4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4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4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4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4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4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4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4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4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4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4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4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4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4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4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4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4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4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4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4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4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4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4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4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4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4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4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44">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4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4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4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44">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4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54" t="s">
        <v>2830</v>
      </c>
      <c r="B1" s="3554"/>
      <c r="C1" s="3554"/>
      <c r="D1" s="3554"/>
      <c r="E1" s="3554"/>
      <c r="F1" s="3554"/>
      <c r="G1" s="3555"/>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5"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52"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5" thickBot="1">
      <c r="A4" s="3553"/>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5"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5"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5"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5"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45957</v>
      </c>
      <c r="D1" s="1217" t="s">
        <v>603</v>
      </c>
      <c r="E1" s="1212">
        <f>'数据-取费表'!B22</f>
        <v>0</v>
      </c>
      <c r="F1" s="1217" t="s">
        <v>604</v>
      </c>
      <c r="G1" s="1213" t="e">
        <f ca="1">IF(OR(C1&lt;C27,E1&lt;=1),INDIRECT("d"&amp;$K$1)/100,ROUND((D5+(E1-C5)*(D7-D5)/(C7-C5))/100,4))</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2300</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229" t="str">
        <f>IF(项目基本情况!B9="房地产市场价值","估价结果一览表","结果表-2")</f>
        <v>结果表-2</v>
      </c>
      <c r="B1" s="3229"/>
      <c r="C1" s="3229"/>
      <c r="D1" s="3229"/>
      <c r="E1" s="3229"/>
      <c r="F1" s="3229"/>
      <c r="G1" s="3229"/>
      <c r="H1" s="3229"/>
      <c r="I1" s="3229"/>
    </row>
    <row r="2" spans="1:9" ht="30" customHeight="1" thickTop="1">
      <c r="A2" s="3230" t="s">
        <v>925</v>
      </c>
      <c r="B2" s="3230" t="s">
        <v>926</v>
      </c>
      <c r="C2" s="3230" t="s">
        <v>927</v>
      </c>
      <c r="D2" s="3230" t="str">
        <f>结果表!D116</f>
        <v>出让国有建设用地使用权价值</v>
      </c>
      <c r="E2" s="3230"/>
      <c r="F2" s="3230" t="str">
        <f>结果表!F116</f>
        <v>在建建筑物价值</v>
      </c>
      <c r="G2" s="3230"/>
      <c r="H2" s="3230" t="str">
        <f>IF(项目基本情况!B9="房地产市场价值","房地产市场价值","房地产价值")</f>
        <v>房地产价值</v>
      </c>
      <c r="I2" s="3230"/>
    </row>
    <row r="3" spans="1:9" ht="16">
      <c r="A3" s="3225"/>
      <c r="B3" s="3225"/>
      <c r="C3" s="3225"/>
      <c r="D3" s="801" t="s">
        <v>922</v>
      </c>
      <c r="E3" s="801" t="s">
        <v>928</v>
      </c>
      <c r="F3" s="801" t="s">
        <v>922</v>
      </c>
      <c r="G3" s="801" t="s">
        <v>923</v>
      </c>
      <c r="H3" s="801" t="s">
        <v>922</v>
      </c>
      <c r="I3" s="801" t="s">
        <v>923</v>
      </c>
    </row>
    <row r="4" spans="1:9" ht="15.5">
      <c r="A4" s="1403" t="str">
        <f>项目基本情况!S2</f>
        <v>北京市房地产</v>
      </c>
      <c r="B4" s="801">
        <f>项目基本情况!C17</f>
        <v>3730.1800000000003</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25" t="s">
        <v>924</v>
      </c>
      <c r="B5" s="3225"/>
      <c r="C5" s="3225"/>
      <c r="D5" s="3225" t="e">
        <f ca="1">结果表!D119</f>
        <v>#REF!</v>
      </c>
      <c r="E5" s="3225"/>
      <c r="F5" s="3225" t="e">
        <f ca="1">结果表!F119</f>
        <v>#REF!</v>
      </c>
      <c r="G5" s="3225"/>
      <c r="H5" s="3225" t="e">
        <f ca="1">结果表!H119</f>
        <v>#REF!</v>
      </c>
      <c r="I5" s="3225"/>
    </row>
    <row r="6" spans="1:9" ht="15.5">
      <c r="A6" s="3224" t="str">
        <f>结果表!A120</f>
        <v>估价师知悉的法定优先受偿款</v>
      </c>
      <c r="B6" s="3224"/>
      <c r="C6" s="3224"/>
      <c r="D6" s="3224">
        <f>结果表!D120</f>
        <v>0</v>
      </c>
      <c r="E6" s="3224"/>
      <c r="F6" s="3224"/>
      <c r="G6" s="3224"/>
      <c r="H6" s="3224"/>
      <c r="I6" s="3224"/>
    </row>
    <row r="7" spans="1:9" ht="15.5">
      <c r="A7" s="3225" t="s">
        <v>924</v>
      </c>
      <c r="B7" s="3225"/>
      <c r="C7" s="3225"/>
      <c r="D7" s="3226" t="str">
        <f>结果表!D121</f>
        <v>零元整</v>
      </c>
      <c r="E7" s="3227"/>
      <c r="F7" s="3227"/>
      <c r="G7" s="3227"/>
      <c r="H7" s="3227"/>
      <c r="I7" s="3228"/>
    </row>
    <row r="8" spans="1:9" ht="15.5">
      <c r="A8" s="3224" t="str">
        <f>结果表!A122</f>
        <v>房地产抵押价值</v>
      </c>
      <c r="B8" s="3224"/>
      <c r="C8" s="3224"/>
      <c r="D8" s="3224" t="e">
        <f ca="1">结果表!D122</f>
        <v>#REF!</v>
      </c>
      <c r="E8" s="3224"/>
      <c r="F8" s="3224"/>
      <c r="G8" s="3224"/>
      <c r="H8" s="3224"/>
      <c r="I8" s="3224"/>
    </row>
    <row r="9" spans="1:9" ht="15.5">
      <c r="A9" s="3225" t="s">
        <v>924</v>
      </c>
      <c r="B9" s="3225"/>
      <c r="C9" s="3225"/>
      <c r="D9" s="3225" t="e">
        <f ca="1">结果表!D123</f>
        <v>#REF!</v>
      </c>
      <c r="E9" s="3225"/>
      <c r="F9" s="3225"/>
      <c r="G9" s="3225"/>
      <c r="H9" s="3225"/>
      <c r="I9" s="3225"/>
    </row>
    <row r="10" spans="1:9" ht="15.5">
      <c r="A10" s="3224" t="str">
        <f>结果表!A124</f>
        <v/>
      </c>
      <c r="B10" s="3224"/>
      <c r="C10" s="3224"/>
      <c r="D10" s="3224" t="str">
        <f>结果表!D124</f>
        <v>——</v>
      </c>
      <c r="E10" s="3224"/>
      <c r="F10" s="3224"/>
      <c r="G10" s="3224"/>
      <c r="H10" s="3224"/>
      <c r="I10" s="3224"/>
    </row>
    <row r="11" spans="1:9" ht="15.5">
      <c r="A11" s="3225" t="s">
        <v>924</v>
      </c>
      <c r="B11" s="3225"/>
      <c r="C11" s="3225"/>
      <c r="D11" s="3225" t="e">
        <f>结果表!D125</f>
        <v>#VALUE!</v>
      </c>
      <c r="E11" s="3225"/>
      <c r="F11" s="3225"/>
      <c r="G11" s="3225"/>
      <c r="H11" s="3225"/>
      <c r="I11" s="3225"/>
    </row>
    <row r="12" spans="1:9" ht="15.5">
      <c r="A12" s="3224" t="str">
        <f>结果表!A126</f>
        <v/>
      </c>
      <c r="B12" s="3224"/>
      <c r="C12" s="3224"/>
      <c r="D12" s="3224" t="str">
        <f>结果表!D126</f>
        <v>——</v>
      </c>
      <c r="E12" s="3224"/>
      <c r="F12" s="3224"/>
      <c r="G12" s="3224"/>
      <c r="H12" s="3224"/>
      <c r="I12" s="3224"/>
    </row>
    <row r="13" spans="1:9" ht="16" thickBot="1">
      <c r="A13" s="3222" t="s">
        <v>924</v>
      </c>
      <c r="B13" s="3222"/>
      <c r="C13" s="3222"/>
      <c r="D13" s="3222" t="e">
        <f>结果表!D127</f>
        <v>#VALUE!</v>
      </c>
      <c r="E13" s="3222"/>
      <c r="F13" s="3222"/>
      <c r="G13" s="3222"/>
      <c r="H13" s="3222"/>
      <c r="I13" s="3222"/>
    </row>
    <row r="14" spans="1:9" ht="14.5" thickTop="1">
      <c r="A14" s="3223" t="s">
        <v>929</v>
      </c>
      <c r="B14" s="3223"/>
      <c r="C14" s="3223"/>
      <c r="D14" s="3223"/>
      <c r="E14" s="3223"/>
      <c r="F14" s="3223"/>
      <c r="G14" s="3223"/>
      <c r="H14" s="3223"/>
      <c r="I14" s="3223"/>
    </row>
    <row r="16" spans="1:9" ht="17.5">
      <c r="A16" s="1404" t="s">
        <v>912</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37" t="s">
        <v>946</v>
      </c>
      <c r="B1" s="3237"/>
      <c r="C1" s="3237"/>
      <c r="D1" s="3237"/>
    </row>
    <row r="2" spans="1:4" ht="18">
      <c r="A2" s="3238" t="s">
        <v>930</v>
      </c>
      <c r="B2" s="3238"/>
      <c r="C2" s="3238"/>
      <c r="D2" s="3238"/>
    </row>
    <row r="3" spans="1:4" ht="17.5">
      <c r="A3" s="1407" t="s">
        <v>931</v>
      </c>
      <c r="B3" s="1407" t="s">
        <v>932</v>
      </c>
      <c r="C3" s="1407" t="s">
        <v>933</v>
      </c>
      <c r="D3" s="1407" t="s">
        <v>934</v>
      </c>
    </row>
    <row r="4" spans="1:4" ht="56.25" customHeight="1">
      <c r="A4" s="1408">
        <f>项目基本情况!B4</f>
        <v>0</v>
      </c>
      <c r="B4" s="1409">
        <f>项目基本情况!C4</f>
        <v>0</v>
      </c>
      <c r="C4" s="1410"/>
      <c r="D4" s="1411" t="s">
        <v>935</v>
      </c>
    </row>
    <row r="5" spans="1:4" ht="56.25" customHeight="1">
      <c r="A5" s="1408">
        <f>项目基本情况!D4</f>
        <v>0</v>
      </c>
      <c r="B5" s="1409">
        <f>项目基本情况!E4</f>
        <v>0</v>
      </c>
      <c r="C5" s="1412"/>
      <c r="D5" s="1411" t="s">
        <v>935</v>
      </c>
    </row>
    <row r="6" spans="1:4" ht="18">
      <c r="A6" s="3238" t="s">
        <v>936</v>
      </c>
      <c r="B6" s="3238"/>
      <c r="C6" s="3238"/>
      <c r="D6" s="3238"/>
    </row>
    <row r="7" spans="1:4" ht="17.5">
      <c r="A7" s="1407" t="s">
        <v>931</v>
      </c>
      <c r="B7" s="1409" t="s">
        <v>937</v>
      </c>
      <c r="C7" s="1407" t="s">
        <v>933</v>
      </c>
      <c r="D7" s="1407" t="s">
        <v>934</v>
      </c>
    </row>
    <row r="8" spans="1:4" ht="56.25" customHeight="1">
      <c r="A8" s="1413" t="s">
        <v>390</v>
      </c>
      <c r="B8" s="1413" t="s">
        <v>0</v>
      </c>
      <c r="C8" s="1410"/>
      <c r="D8" s="1411" t="s">
        <v>935</v>
      </c>
    </row>
    <row r="10" spans="1:4" ht="18">
      <c r="A10" s="1414" t="s">
        <v>938</v>
      </c>
    </row>
    <row r="11" spans="1:4" ht="30" customHeight="1">
      <c r="A11" s="3239" t="s">
        <v>939</v>
      </c>
      <c r="B11" s="3231"/>
      <c r="C11" s="3231"/>
      <c r="D11" s="3231"/>
    </row>
    <row r="12" spans="1:4" ht="15.5">
      <c r="A12" s="32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36"/>
      <c r="C12" s="3236"/>
      <c r="D12" s="3236"/>
    </row>
    <row r="13" spans="1:4" ht="30" customHeight="1">
      <c r="A13" s="3231" t="str">
        <f>IF(项目基本情况!B8="抵押","3.抵押双方在办理抵押登记手续时，应使用本公司出具的正式《房地产评估报告》，特提醒报告使用者注意。","——")</f>
        <v>——</v>
      </c>
      <c r="B13" s="3236"/>
      <c r="C13" s="3236"/>
      <c r="D13" s="3236"/>
    </row>
    <row r="14" spans="1:4" ht="15.75" customHeight="1">
      <c r="A14" s="3231" t="str">
        <f>IF(项目基本情况!B8="抵押","4.本次评估估价师所知悉的法定优先受偿款情况说明如下：","——")</f>
        <v>——</v>
      </c>
      <c r="B14" s="3236"/>
      <c r="C14" s="3236"/>
      <c r="D14" s="3236"/>
    </row>
    <row r="15" spans="1:4" ht="42" customHeight="1">
      <c r="A15" s="3231" t="str">
        <f>IF(项目基本情况!B8="抵押","（1）"&amp;CONCATENATE(项目基本情况!L20,项目基本情况!L21,项目基本情况!L22),"——")</f>
        <v>——</v>
      </c>
      <c r="B15" s="3231"/>
      <c r="C15" s="3231"/>
      <c r="D15" s="3231"/>
    </row>
    <row r="16" spans="1:4" ht="30" customHeight="1">
      <c r="A16" s="3233" t="s">
        <v>940</v>
      </c>
      <c r="B16" s="3233"/>
      <c r="C16" s="3233"/>
      <c r="D16" s="3233"/>
    </row>
    <row r="17" spans="1:4" ht="144" customHeight="1">
      <c r="A17" s="3233" t="s">
        <v>941</v>
      </c>
      <c r="B17" s="3233"/>
      <c r="C17" s="3233"/>
      <c r="D17" s="3233"/>
    </row>
    <row r="18" spans="1:4" ht="15.75" customHeight="1">
      <c r="A18" s="3231" t="str">
        <f>IF(项目基本情况!B8="抵押",结果表!K120,"——")</f>
        <v>——</v>
      </c>
      <c r="B18" s="3231"/>
      <c r="C18" s="3231"/>
      <c r="D18" s="3231"/>
    </row>
    <row r="19" spans="1:4" ht="46.5" customHeight="1">
      <c r="A19" s="32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1"/>
      <c r="C19" s="3231"/>
      <c r="D19" s="3231"/>
    </row>
    <row r="20" spans="1:4" ht="57.75" customHeight="1">
      <c r="A20" s="32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1"/>
      <c r="C20" s="3231"/>
      <c r="D20" s="3231"/>
    </row>
    <row r="21" spans="1:4" ht="57.75" customHeight="1">
      <c r="A21" s="32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4"/>
      <c r="C21" s="3234"/>
      <c r="D21" s="3234"/>
    </row>
    <row r="22" spans="1:4" ht="18.75" customHeight="1">
      <c r="A22" s="3235" t="s">
        <v>942</v>
      </c>
      <c r="B22" s="3235"/>
      <c r="C22" s="3235"/>
      <c r="D22" s="3235"/>
    </row>
    <row r="23" spans="1:4">
      <c r="A23" s="1415"/>
      <c r="B23" s="459"/>
      <c r="C23" s="459"/>
      <c r="D23" s="459"/>
    </row>
    <row r="24" spans="1:4">
      <c r="A24" s="1415"/>
      <c r="B24" s="459"/>
      <c r="C24" s="459"/>
      <c r="D24" s="459"/>
    </row>
    <row r="25" spans="1:4" ht="17.5">
      <c r="A25" s="1416" t="s">
        <v>943</v>
      </c>
    </row>
    <row r="26" spans="1:4" ht="17.5">
      <c r="A26" s="1387"/>
    </row>
    <row r="27" spans="1:4" ht="17.5">
      <c r="A27" s="1387" t="s">
        <v>944</v>
      </c>
    </row>
    <row r="30" spans="1:4" ht="17.5">
      <c r="D30" s="1416" t="s">
        <v>945</v>
      </c>
    </row>
    <row r="31" spans="1:4" ht="13.5" customHeight="1">
      <c r="C31" s="3232">
        <v>42551</v>
      </c>
      <c r="D31" s="32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947</v>
      </c>
    </row>
    <row r="3" spans="1:7">
      <c r="A3" s="1420" t="s">
        <v>55</v>
      </c>
      <c r="B3" s="1405" t="s">
        <v>948</v>
      </c>
      <c r="G3" s="1421"/>
    </row>
    <row r="4" spans="1:7">
      <c r="G4" s="1421"/>
    </row>
    <row r="5" spans="1:7">
      <c r="A5" s="1423" t="s">
        <v>46</v>
      </c>
      <c r="B5" s="1405" t="s">
        <v>949</v>
      </c>
      <c r="G5" s="1421"/>
    </row>
    <row r="6" spans="1:7">
      <c r="G6" s="1421"/>
    </row>
    <row r="7" spans="1:7">
      <c r="A7" s="1424" t="s">
        <v>108</v>
      </c>
      <c r="B7" s="1405" t="s">
        <v>950</v>
      </c>
      <c r="G7" s="1421"/>
    </row>
    <row r="8" spans="1:7">
      <c r="G8" s="1421"/>
    </row>
    <row r="9" spans="1:7">
      <c r="A9" s="1425" t="s">
        <v>47</v>
      </c>
      <c r="B9" s="1405" t="s">
        <v>951</v>
      </c>
    </row>
    <row r="11" spans="1:7">
      <c r="A11" s="1426" t="s">
        <v>48</v>
      </c>
      <c r="B11" s="1427" t="s">
        <v>45</v>
      </c>
    </row>
    <row r="13" spans="1:7">
      <c r="A13" s="1428" t="s">
        <v>952</v>
      </c>
    </row>
    <row r="15" spans="1:7" ht="14">
      <c r="A15" s="3245" t="s">
        <v>953</v>
      </c>
      <c r="B15" s="3240" t="s">
        <v>109</v>
      </c>
      <c r="C15" s="3241"/>
    </row>
    <row r="16" spans="1:7" ht="14">
      <c r="A16" s="3246"/>
      <c r="B16" s="3240" t="s">
        <v>42</v>
      </c>
      <c r="C16" s="3241"/>
    </row>
    <row r="17" spans="1:3" ht="14">
      <c r="A17" s="3246"/>
      <c r="B17" s="3243" t="s">
        <v>954</v>
      </c>
      <c r="C17" s="1429" t="s">
        <v>953</v>
      </c>
    </row>
    <row r="18" spans="1:3" ht="14">
      <c r="A18" s="3246"/>
      <c r="B18" s="3243"/>
      <c r="C18" s="1429" t="s">
        <v>955</v>
      </c>
    </row>
    <row r="19" spans="1:3" ht="14">
      <c r="A19" s="3246"/>
      <c r="B19" s="3243"/>
      <c r="C19" s="1429" t="s">
        <v>956</v>
      </c>
    </row>
    <row r="20" spans="1:3" ht="14">
      <c r="A20" s="3247"/>
      <c r="B20" s="3242" t="s">
        <v>957</v>
      </c>
      <c r="C20" s="3241"/>
    </row>
    <row r="21" spans="1:3" ht="14">
      <c r="A21" s="1430" t="s">
        <v>958</v>
      </c>
      <c r="B21" s="1431"/>
      <c r="C21" s="1432"/>
    </row>
    <row r="22" spans="1:3" ht="14">
      <c r="A22" s="3244" t="s">
        <v>959</v>
      </c>
      <c r="B22" s="3242" t="s">
        <v>960</v>
      </c>
      <c r="C22" s="3241"/>
    </row>
    <row r="23" spans="1:3" ht="14">
      <c r="A23" s="3244"/>
      <c r="B23" s="3242" t="s">
        <v>961</v>
      </c>
      <c r="C23" s="3241"/>
    </row>
    <row r="24" spans="1:3" ht="14">
      <c r="A24" s="3244"/>
      <c r="B24" s="3242" t="s">
        <v>962</v>
      </c>
      <c r="C24" s="3241"/>
    </row>
    <row r="25" spans="1:3" ht="14">
      <c r="A25" s="3244"/>
      <c r="B25" s="3243" t="s">
        <v>963</v>
      </c>
      <c r="C25" s="1429" t="s">
        <v>964</v>
      </c>
    </row>
    <row r="26" spans="1:3" ht="14">
      <c r="A26" s="3244"/>
      <c r="B26" s="3243"/>
      <c r="C26" s="1429" t="s">
        <v>965</v>
      </c>
    </row>
    <row r="27" spans="1:3" ht="14">
      <c r="A27" s="3244"/>
      <c r="B27" s="3243"/>
      <c r="C27" s="1429" t="s">
        <v>966</v>
      </c>
    </row>
    <row r="28" spans="1:3" ht="14">
      <c r="A28" s="3244"/>
      <c r="B28" s="3243"/>
      <c r="C28" s="1429" t="s">
        <v>967</v>
      </c>
    </row>
    <row r="29" spans="1:3" ht="14">
      <c r="A29" s="3244"/>
      <c r="B29" s="3243"/>
      <c r="C29" s="1429" t="s">
        <v>968</v>
      </c>
    </row>
    <row r="30" spans="1:3" ht="14">
      <c r="A30" s="3244"/>
      <c r="B30" s="3243"/>
      <c r="C30" s="1429" t="s">
        <v>969</v>
      </c>
    </row>
    <row r="31" spans="1:3" ht="14">
      <c r="A31" s="3244"/>
      <c r="B31" s="3243"/>
      <c r="C31" s="1429" t="s">
        <v>970</v>
      </c>
    </row>
    <row r="32" spans="1:3" ht="14">
      <c r="A32" s="3244"/>
      <c r="B32" s="3243"/>
      <c r="C32" s="1429" t="s">
        <v>971</v>
      </c>
    </row>
    <row r="33" spans="1:3" ht="14">
      <c r="A33" s="3244"/>
      <c r="B33" s="3243"/>
      <c r="C33" s="1429" t="s">
        <v>972</v>
      </c>
    </row>
    <row r="34" spans="1:3">
      <c r="A34" s="1433" t="s">
        <v>49</v>
      </c>
    </row>
    <row r="37" spans="1:3">
      <c r="A37" s="1433" t="s">
        <v>973</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2133</v>
      </c>
      <c r="B2" s="2157">
        <f ca="1">TODAY()</f>
        <v>45960</v>
      </c>
      <c r="C2" s="2158" t="s">
        <v>2134</v>
      </c>
      <c r="D2" s="2158"/>
      <c r="E2" s="2158"/>
      <c r="F2" s="2154"/>
      <c r="G2" s="2154"/>
      <c r="H2" s="2154"/>
    </row>
    <row r="3" spans="1:8" ht="24" customHeight="1">
      <c r="A3" s="2159" t="s">
        <v>2135</v>
      </c>
      <c r="B3" s="1219" t="s">
        <v>2136</v>
      </c>
      <c r="C3" s="1219" t="s">
        <v>2137</v>
      </c>
      <c r="D3" s="2160" t="s">
        <v>2138</v>
      </c>
      <c r="E3" s="2161" t="s">
        <v>2139</v>
      </c>
      <c r="F3" s="1219" t="s">
        <v>2140</v>
      </c>
      <c r="G3" s="1219" t="s">
        <v>2137</v>
      </c>
      <c r="H3" s="2160" t="s">
        <v>2141</v>
      </c>
    </row>
    <row r="4" spans="1:8" ht="24" customHeight="1">
      <c r="A4" s="1219" t="s">
        <v>2142</v>
      </c>
      <c r="B4" s="1219" t="str">
        <f ca="1">IF(C4&lt;B2,"已过期",1119970066)</f>
        <v>已过期</v>
      </c>
      <c r="C4" s="2162">
        <v>45937</v>
      </c>
      <c r="D4" s="2163" t="str">
        <f ca="1">A4&amp;"（注册号："&amp;B4&amp;"）"</f>
        <v>梁津（注册号：已过期）</v>
      </c>
      <c r="E4" s="2164" t="s">
        <v>2142</v>
      </c>
      <c r="F4" s="1219">
        <f ca="1">IF(G4&lt;B2,"已过期",96010014)</f>
        <v>96010014</v>
      </c>
      <c r="G4" s="2165">
        <v>47118</v>
      </c>
      <c r="H4" s="2166" t="str">
        <f ca="1">E4&amp;"（注册号："&amp;F4&amp;"）"</f>
        <v>梁津（注册号：96010014）</v>
      </c>
    </row>
    <row r="5" spans="1:8" ht="24" customHeight="1">
      <c r="A5" s="1219" t="s">
        <v>2143</v>
      </c>
      <c r="B5" s="1219" t="str">
        <f ca="1">IF(C5&lt;B2,"已过期",1119970111)</f>
        <v>已过期</v>
      </c>
      <c r="C5" s="2162">
        <v>45937</v>
      </c>
      <c r="D5" s="2163" t="str">
        <f t="shared" ref="D5:D15" ca="1" si="0">A5&amp;"（注册号："&amp;B5&amp;"）"</f>
        <v>叶凌（注册号：已过期）</v>
      </c>
      <c r="E5" s="2164" t="s">
        <v>2143</v>
      </c>
      <c r="F5" s="1219">
        <f ca="1">IF(G5&lt;B2,"已过期",94010078)</f>
        <v>94010078</v>
      </c>
      <c r="G5" s="2165">
        <v>46387</v>
      </c>
      <c r="H5" s="2166" t="str">
        <f t="shared" ref="H5:H16" ca="1" si="1">E5&amp;"（注册号："&amp;F5&amp;"）"</f>
        <v>叶凌（注册号：94010078）</v>
      </c>
    </row>
    <row r="6" spans="1:8" ht="24" customHeight="1">
      <c r="A6" s="1219" t="s">
        <v>2144</v>
      </c>
      <c r="B6" s="1219" t="str">
        <f ca="1">IF(C6&lt;B2,"已过期",1120050019)</f>
        <v>已过期</v>
      </c>
      <c r="C6" s="2162">
        <v>45410</v>
      </c>
      <c r="D6" s="2163" t="str">
        <f t="shared" ca="1" si="0"/>
        <v>王鹏（注册号：已过期）</v>
      </c>
      <c r="E6" s="2164" t="s">
        <v>2144</v>
      </c>
      <c r="F6" s="1219">
        <f ca="1">IF(G6&lt;B2,"已过期",2002110030)</f>
        <v>2002110030</v>
      </c>
      <c r="G6" s="2165">
        <v>46387</v>
      </c>
      <c r="H6" s="2166" t="str">
        <f t="shared" ca="1" si="1"/>
        <v>王鹏（注册号：2002110030）</v>
      </c>
    </row>
    <row r="7" spans="1:8" ht="24" customHeight="1">
      <c r="A7" s="1219" t="s">
        <v>2145</v>
      </c>
      <c r="B7" s="1219" t="str">
        <f ca="1">IF(C7&lt;B2,"已过期",1120000080)</f>
        <v>已过期</v>
      </c>
      <c r="C7" s="2162">
        <v>45937</v>
      </c>
      <c r="D7" s="2163" t="str">
        <f t="shared" ca="1" si="0"/>
        <v>欧红伟（注册号：已过期）</v>
      </c>
      <c r="E7" s="2164" t="s">
        <v>2145</v>
      </c>
      <c r="F7" s="1219">
        <f ca="1">IF(G7&lt;B2,"已过期",2000110082)</f>
        <v>2000110082</v>
      </c>
      <c r="G7" s="2165">
        <v>46387</v>
      </c>
      <c r="H7" s="2166" t="str">
        <f t="shared" ca="1" si="1"/>
        <v>欧红伟（注册号：2000110082）</v>
      </c>
    </row>
    <row r="8" spans="1:8" ht="24" customHeight="1">
      <c r="A8" s="1219" t="s">
        <v>2146</v>
      </c>
      <c r="B8" s="1219" t="str">
        <f ca="1">IF(C8&lt;B2,"已过期",1419970001)</f>
        <v>已过期</v>
      </c>
      <c r="C8" s="2162">
        <v>45937</v>
      </c>
      <c r="D8" s="2163" t="str">
        <f t="shared" ca="1" si="0"/>
        <v>吴薇（注册号：已过期）</v>
      </c>
      <c r="E8" s="2164" t="s">
        <v>2146</v>
      </c>
      <c r="F8" s="1219">
        <f ca="1">IF(G8&lt;B2,"已过期",2002110125)</f>
        <v>2002110125</v>
      </c>
      <c r="G8" s="2165">
        <v>47118</v>
      </c>
      <c r="H8" s="2166" t="str">
        <f t="shared" ca="1" si="1"/>
        <v>吴薇（注册号：2002110125）</v>
      </c>
    </row>
    <row r="9" spans="1:8" ht="24" customHeight="1">
      <c r="A9" s="1219" t="s">
        <v>2147</v>
      </c>
      <c r="B9" s="1219" t="str">
        <f ca="1">IF(C9&lt;B2,"已过期",1120060040)</f>
        <v>已过期</v>
      </c>
      <c r="C9" s="2167">
        <v>45592</v>
      </c>
      <c r="D9" s="2163" t="str">
        <f t="shared" ca="1" si="0"/>
        <v>陈颖（注册号：已过期）</v>
      </c>
      <c r="E9" s="2164" t="s">
        <v>2147</v>
      </c>
      <c r="F9" s="1219">
        <f ca="1">IF(G9&lt;B2,"已过期",2004110096)</f>
        <v>2004110096</v>
      </c>
      <c r="G9" s="2165">
        <v>47118</v>
      </c>
      <c r="H9" s="2166" t="str">
        <f t="shared" ca="1" si="1"/>
        <v>陈颖（注册号：2004110096）</v>
      </c>
    </row>
    <row r="10" spans="1:8" ht="24" customHeight="1">
      <c r="A10" s="1219" t="s">
        <v>2148</v>
      </c>
      <c r="B10" s="1219" t="str">
        <f ca="1">IF(C10&lt;B2,"已过期",1120100036)</f>
        <v>已过期</v>
      </c>
      <c r="C10" s="2167">
        <v>45752</v>
      </c>
      <c r="D10" s="2163" t="str">
        <f t="shared" ca="1" si="0"/>
        <v>崔锴（注册号：已过期）</v>
      </c>
      <c r="E10" s="2164" t="s">
        <v>2148</v>
      </c>
      <c r="F10" s="1219">
        <f ca="1">IF(G10&lt;B2,"已过期",2010110070)</f>
        <v>2010110070</v>
      </c>
      <c r="G10" s="2165">
        <v>47907</v>
      </c>
      <c r="H10" s="2166" t="str">
        <f t="shared" ca="1" si="1"/>
        <v>崔锴（注册号：2010110070）</v>
      </c>
    </row>
    <row r="11" spans="1:8" ht="24" customHeight="1">
      <c r="A11" s="1219" t="s">
        <v>2149</v>
      </c>
      <c r="B11" s="1219" t="str">
        <f ca="1">IF(C11&lt;B2,"已过期",1120070131)</f>
        <v>已过期</v>
      </c>
      <c r="C11" s="2162">
        <v>45937</v>
      </c>
      <c r="D11" s="2163" t="str">
        <f t="shared" ca="1" si="0"/>
        <v>郑燚（注册号：已过期）</v>
      </c>
      <c r="E11" s="2164" t="s">
        <v>2149</v>
      </c>
      <c r="F11" s="1219">
        <f ca="1">IF(G11&lt;B2,"已过期",2014110011)</f>
        <v>2014110011</v>
      </c>
      <c r="G11" s="2165">
        <v>49302</v>
      </c>
      <c r="H11" s="2166" t="str">
        <f t="shared" ca="1" si="1"/>
        <v>郑燚（注册号：2014110011）</v>
      </c>
    </row>
    <row r="12" spans="1:8" ht="24" customHeight="1">
      <c r="A12" s="1219" t="s">
        <v>2150</v>
      </c>
      <c r="B12" s="1219" t="str">
        <f ca="1">IF(C12&lt;B2,"已过期",1120040230)</f>
        <v>已过期</v>
      </c>
      <c r="C12" s="2167">
        <v>45937</v>
      </c>
      <c r="D12" s="2163" t="str">
        <f t="shared" ca="1" si="0"/>
        <v>苏海（注册号：已过期）</v>
      </c>
      <c r="E12" s="2164" t="s">
        <v>2150</v>
      </c>
      <c r="F12" s="1219">
        <f ca="1">IF(G12&lt;B2,"已过期",98030020)</f>
        <v>98030020</v>
      </c>
      <c r="G12" s="2165">
        <v>47118</v>
      </c>
      <c r="H12" s="2166" t="str">
        <f t="shared" ca="1" si="1"/>
        <v>苏海（注册号：98030020）</v>
      </c>
    </row>
    <row r="13" spans="1:8" ht="24" customHeight="1">
      <c r="A13" s="1219" t="s">
        <v>2151</v>
      </c>
      <c r="B13" s="1219" t="str">
        <f ca="1">IF(C13&lt;B2,"已过期",1120020033)</f>
        <v>已过期</v>
      </c>
      <c r="C13" s="2162">
        <v>45375</v>
      </c>
      <c r="D13" s="2163" t="str">
        <f t="shared" ca="1" si="0"/>
        <v>刘敬东（注册号：已过期）</v>
      </c>
      <c r="E13" s="2164" t="s">
        <v>2151</v>
      </c>
      <c r="F13" s="1219">
        <f ca="1">IF(G13&lt;B2,"已过期",2000110137)</f>
        <v>2000110137</v>
      </c>
      <c r="G13" s="2165">
        <v>46387</v>
      </c>
      <c r="H13" s="2166" t="str">
        <f t="shared" ca="1" si="1"/>
        <v>刘敬东（注册号：2000110137）</v>
      </c>
    </row>
    <row r="14" spans="1:8" ht="24" customHeight="1">
      <c r="A14" s="1219" t="s">
        <v>2152</v>
      </c>
      <c r="B14" s="1219" t="str">
        <f ca="1">IF(C14&lt;B2,"已过期",1119980106)</f>
        <v>已过期</v>
      </c>
      <c r="C14" s="2167">
        <v>44969</v>
      </c>
      <c r="D14" s="2163" t="str">
        <f t="shared" ca="1" si="0"/>
        <v>刘俊财（注册号：已过期）</v>
      </c>
      <c r="E14" s="2164" t="s">
        <v>2152</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2153</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8" t="s">
        <v>2154</v>
      </c>
      <c r="B17" s="3248"/>
      <c r="C17" s="3248"/>
      <c r="D17" s="3248"/>
      <c r="E17" s="3248"/>
      <c r="F17" s="3248"/>
      <c r="G17" s="3248"/>
      <c r="H17" s="3248"/>
    </row>
    <row r="18" spans="1:8" ht="24" customHeight="1">
      <c r="A18" s="3249" t="s">
        <v>2155</v>
      </c>
      <c r="B18" s="3249"/>
      <c r="C18" s="3249"/>
      <c r="D18" s="2160"/>
      <c r="E18" s="3250" t="s">
        <v>2156</v>
      </c>
      <c r="F18" s="3249"/>
      <c r="G18" s="3249"/>
    </row>
    <row r="19" spans="1:8" s="2170" customFormat="1" ht="24" customHeight="1">
      <c r="A19" s="2169" t="s">
        <v>2157</v>
      </c>
      <c r="B19" s="1219" t="s">
        <v>2158</v>
      </c>
      <c r="C19" s="1219" t="s">
        <v>2137</v>
      </c>
      <c r="D19" s="2160"/>
      <c r="E19" s="2164" t="s">
        <v>2157</v>
      </c>
      <c r="F19" s="1219" t="s">
        <v>2158</v>
      </c>
      <c r="G19" s="1219" t="s">
        <v>2137</v>
      </c>
    </row>
    <row r="20" spans="1:8" s="2170" customFormat="1" ht="24" customHeight="1">
      <c r="A20" s="2171" t="s">
        <v>2159</v>
      </c>
      <c r="B20" s="2171" t="s">
        <v>2160</v>
      </c>
      <c r="C20" s="2165">
        <v>45898</v>
      </c>
      <c r="D20" s="2172"/>
      <c r="E20" s="2173" t="s">
        <v>2161</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典型户型修正</vt:lpstr>
      <vt:lpstr>面积表</vt:lpstr>
      <vt:lpstr>商业租金案例</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比较法-办公</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2025-10-30T02:19:40Z</dcterms:modified>
</cp:coreProperties>
</file>