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8" firstSheet="28" activeTab="4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15" r:id="rId29"/>
    <sheet name="酒店收入计算" sheetId="57" state="hidden" r:id="rId30"/>
    <sheet name="成本逼近法" sheetId="11" state="hidden" r:id="rId31"/>
    <sheet name="不动产收益法-公寓" sheetId="69" r:id="rId32"/>
    <sheet name="不动产比较法-住宅" sheetId="21" r:id="rId33"/>
    <sheet name="不动产比较法-公寓" sheetId="68"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7" r:id="rId42"/>
    <sheet name="土地案例" sheetId="70" r:id="rId43"/>
    <sheet name="住宅、商业案例" sheetId="71" r:id="rId44"/>
    <sheet name="每宗地价值" sheetId="72" r:id="rId45"/>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70" l="1"/>
  <c r="C28" i="31" l="1"/>
  <c r="F33" i="33"/>
  <c r="AA33" i="33"/>
  <c r="F40" i="33"/>
  <c r="AA40" i="33" s="1"/>
  <c r="R48" i="33" s="1"/>
  <c r="E48" i="33" s="1"/>
  <c r="E52" i="33" s="1"/>
  <c r="F52" i="33" s="1"/>
  <c r="D101" i="33"/>
  <c r="E101" i="33"/>
  <c r="F32" i="33"/>
  <c r="AA32" i="33"/>
  <c r="D106" i="33"/>
  <c r="F34" i="33"/>
  <c r="AA34" i="33"/>
  <c r="F35" i="33"/>
  <c r="AA35" i="33"/>
  <c r="R47" i="33"/>
  <c r="F7" i="33"/>
  <c r="AA7" i="33"/>
  <c r="G66" i="33"/>
  <c r="F10" i="33"/>
  <c r="AA10" i="33"/>
  <c r="H33" i="33"/>
  <c r="AB33" i="33"/>
  <c r="H40" i="33"/>
  <c r="AB40" i="33"/>
  <c r="H32" i="33"/>
  <c r="AB32" i="33"/>
  <c r="H34" i="33"/>
  <c r="AB34" i="33"/>
  <c r="H35" i="33"/>
  <c r="AB35" i="33"/>
  <c r="T47" i="33"/>
  <c r="H7" i="33"/>
  <c r="AB7" i="33"/>
  <c r="H10" i="33"/>
  <c r="AB10" i="33"/>
  <c r="T48" i="33"/>
  <c r="J33" i="33"/>
  <c r="AC33" i="33"/>
  <c r="J40" i="33"/>
  <c r="AC40" i="33"/>
  <c r="J32" i="33"/>
  <c r="AC32" i="33"/>
  <c r="J34" i="33"/>
  <c r="AC34" i="33"/>
  <c r="J35" i="33"/>
  <c r="AC35" i="33"/>
  <c r="V47" i="33"/>
  <c r="J7" i="33"/>
  <c r="AC7" i="33"/>
  <c r="J10" i="33"/>
  <c r="AC10" i="33"/>
  <c r="V48" i="33"/>
  <c r="Q28" i="31"/>
  <c r="D6" i="31"/>
  <c r="E28" i="31"/>
  <c r="G28" i="31"/>
  <c r="I28" i="31"/>
  <c r="C13" i="39"/>
  <c r="F10" i="70"/>
  <c r="M11" i="1"/>
  <c r="C27" i="31"/>
  <c r="Q27" i="31"/>
  <c r="E6" i="31"/>
  <c r="E27" i="31"/>
  <c r="G27" i="31"/>
  <c r="I27" i="31"/>
  <c r="C25" i="31"/>
  <c r="Q25" i="31"/>
  <c r="E25" i="31"/>
  <c r="G25" i="31"/>
  <c r="I25" i="31"/>
  <c r="C26" i="31"/>
  <c r="Q26" i="31"/>
  <c r="E26" i="31"/>
  <c r="G26" i="31"/>
  <c r="I26" i="31"/>
  <c r="M7" i="1"/>
  <c r="F27" i="21"/>
  <c r="AA27" i="21"/>
  <c r="R47" i="21"/>
  <c r="F7" i="21"/>
  <c r="AA7" i="21"/>
  <c r="D85" i="21"/>
  <c r="F23" i="21"/>
  <c r="AA23" i="21"/>
  <c r="D83" i="21"/>
  <c r="F21" i="21"/>
  <c r="AA21" i="21"/>
  <c r="D81" i="21"/>
  <c r="F19" i="21"/>
  <c r="AA19" i="21"/>
  <c r="D79" i="21"/>
  <c r="F17" i="21"/>
  <c r="AA17" i="21"/>
  <c r="D77" i="21"/>
  <c r="F15" i="21"/>
  <c r="AA15" i="21"/>
  <c r="R48" i="21"/>
  <c r="H27" i="21"/>
  <c r="AB27" i="21"/>
  <c r="T47" i="21"/>
  <c r="H7" i="21"/>
  <c r="AB7" i="21"/>
  <c r="H23" i="21"/>
  <c r="AB23" i="21"/>
  <c r="H21" i="21"/>
  <c r="AB21" i="21"/>
  <c r="H19" i="21"/>
  <c r="AB19" i="21"/>
  <c r="H17" i="21"/>
  <c r="AB17" i="21"/>
  <c r="H15" i="21"/>
  <c r="AB15" i="21"/>
  <c r="T48" i="21"/>
  <c r="J27" i="21"/>
  <c r="AC27" i="21"/>
  <c r="J7" i="21"/>
  <c r="AC7" i="21"/>
  <c r="E85" i="21"/>
  <c r="J23" i="21"/>
  <c r="AC23" i="21"/>
  <c r="J21" i="21"/>
  <c r="AC21" i="21"/>
  <c r="J19" i="21"/>
  <c r="AC19" i="21"/>
  <c r="J17" i="21"/>
  <c r="AC17" i="21"/>
  <c r="J15" i="21"/>
  <c r="AC15" i="21"/>
  <c r="G1" i="69"/>
  <c r="F32" i="69"/>
  <c r="F15" i="69"/>
  <c r="F17" i="69"/>
  <c r="F18" i="69"/>
  <c r="F20" i="69"/>
  <c r="F23" i="69"/>
  <c r="F21" i="69"/>
  <c r="F28" i="69"/>
  <c r="C28" i="69"/>
  <c r="F33" i="69"/>
  <c r="F34" i="69"/>
  <c r="M47" i="69"/>
  <c r="J50" i="69"/>
  <c r="J51" i="69"/>
  <c r="Q73" i="69"/>
  <c r="F59" i="69"/>
  <c r="D60" i="69"/>
  <c r="F60" i="69"/>
  <c r="F61" i="69"/>
  <c r="Q60" i="69"/>
  <c r="Q59" i="69"/>
  <c r="F58" i="69"/>
  <c r="Q52" i="69"/>
  <c r="F31" i="69"/>
  <c r="M18" i="69"/>
  <c r="M20" i="69"/>
  <c r="D24" i="69"/>
  <c r="D23" i="69"/>
  <c r="D22" i="69"/>
  <c r="M19" i="69"/>
  <c r="M17" i="69"/>
  <c r="J140" i="68"/>
  <c r="C145" i="68"/>
  <c r="K139" i="68"/>
  <c r="K145" i="68"/>
  <c r="K144" i="68"/>
  <c r="K143" i="68"/>
  <c r="J142" i="68"/>
  <c r="K141" i="68"/>
  <c r="B130" i="68"/>
  <c r="B128" i="68"/>
  <c r="B126" i="68"/>
  <c r="D125" i="68"/>
  <c r="E125" i="68"/>
  <c r="F125" i="68"/>
  <c r="G125" i="68"/>
  <c r="D123" i="68"/>
  <c r="E123" i="68"/>
  <c r="F123" i="68"/>
  <c r="G123" i="68"/>
  <c r="H123" i="68"/>
  <c r="I123" i="68"/>
  <c r="J123" i="68"/>
  <c r="K123" i="68"/>
  <c r="L123" i="68"/>
  <c r="M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B94" i="68"/>
  <c r="B92"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G81" i="68"/>
  <c r="D79" i="68"/>
  <c r="E79" i="68"/>
  <c r="F79" i="68"/>
  <c r="G79" i="68"/>
  <c r="D77" i="68"/>
  <c r="E77" i="68"/>
  <c r="F77" i="68"/>
  <c r="G77" i="68"/>
  <c r="B74" i="68"/>
  <c r="B72" i="68"/>
  <c r="B70"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C7" i="68"/>
  <c r="C58" i="68"/>
  <c r="D58" i="68"/>
  <c r="E58" i="68"/>
  <c r="F58" i="68"/>
  <c r="G58" i="68"/>
  <c r="H58" i="68"/>
  <c r="I58" i="68"/>
  <c r="J58" i="68"/>
  <c r="K58" i="68"/>
  <c r="L58" i="68"/>
  <c r="M58" i="68"/>
  <c r="N58" i="68"/>
  <c r="O58" i="68"/>
  <c r="I54" i="68"/>
  <c r="J54" i="68"/>
  <c r="G54" i="68"/>
  <c r="H54" i="68"/>
  <c r="E54" i="68"/>
  <c r="F54" i="68"/>
  <c r="V47" i="68"/>
  <c r="J7" i="68"/>
  <c r="AC7" i="68"/>
  <c r="J8" i="68"/>
  <c r="AC8" i="68"/>
  <c r="J9" i="68"/>
  <c r="AC9" i="68"/>
  <c r="J10" i="68"/>
  <c r="AC10" i="68"/>
  <c r="C11" i="68"/>
  <c r="J11" i="68"/>
  <c r="AC11" i="68"/>
  <c r="J12" i="68"/>
  <c r="AC12" i="68"/>
  <c r="J13" i="68"/>
  <c r="AC13" i="68"/>
  <c r="J14" i="68"/>
  <c r="AC14" i="68"/>
  <c r="J15" i="68"/>
  <c r="AC15" i="68"/>
  <c r="J17" i="68"/>
  <c r="AC17" i="68"/>
  <c r="J19" i="68"/>
  <c r="AC19" i="68"/>
  <c r="J21" i="68"/>
  <c r="AC21" i="68"/>
  <c r="J23" i="68"/>
  <c r="AC23" i="68"/>
  <c r="J25" i="68"/>
  <c r="AC25" i="68"/>
  <c r="J26" i="68"/>
  <c r="AC26" i="68"/>
  <c r="J27" i="68"/>
  <c r="AC27" i="68"/>
  <c r="J28" i="68"/>
  <c r="AC28" i="68"/>
  <c r="J29" i="68"/>
  <c r="AC29" i="68"/>
  <c r="J30" i="68"/>
  <c r="AC30" i="68"/>
  <c r="J31" i="68"/>
  <c r="AC31" i="68"/>
  <c r="J32" i="68"/>
  <c r="AC32" i="68"/>
  <c r="C33" i="68"/>
  <c r="J33" i="68"/>
  <c r="AC33" i="68"/>
  <c r="J34" i="68"/>
  <c r="AC34" i="68"/>
  <c r="J35" i="68"/>
  <c r="AC35" i="68"/>
  <c r="J36" i="68"/>
  <c r="AC36" i="68"/>
  <c r="J37" i="68"/>
  <c r="AC37" i="68"/>
  <c r="J38" i="68"/>
  <c r="AC38" i="68"/>
  <c r="J39" i="68"/>
  <c r="AC39" i="68"/>
  <c r="J40" i="68"/>
  <c r="AC40" i="68"/>
  <c r="J41" i="68"/>
  <c r="AC41" i="68"/>
  <c r="J42" i="68"/>
  <c r="AC42" i="68"/>
  <c r="J43" i="68"/>
  <c r="AC43" i="68"/>
  <c r="J44" i="68"/>
  <c r="AC44" i="68"/>
  <c r="J45" i="68"/>
  <c r="AC45" i="68"/>
  <c r="J46" i="68"/>
  <c r="AC46" i="68"/>
  <c r="V48" i="68"/>
  <c r="I48" i="68"/>
  <c r="R47" i="68"/>
  <c r="F7" i="68"/>
  <c r="AA7" i="68"/>
  <c r="F8" i="68"/>
  <c r="AA8" i="68"/>
  <c r="F9" i="68"/>
  <c r="AA9" i="68"/>
  <c r="F10" i="68"/>
  <c r="AA10" i="68"/>
  <c r="F11" i="68"/>
  <c r="AA11" i="68"/>
  <c r="F12" i="68"/>
  <c r="AA12" i="68"/>
  <c r="F13" i="68"/>
  <c r="AA13" i="68"/>
  <c r="F14" i="68"/>
  <c r="AA14" i="68"/>
  <c r="F15" i="68"/>
  <c r="AA15" i="68"/>
  <c r="F17" i="68"/>
  <c r="AA17" i="68"/>
  <c r="F19" i="68"/>
  <c r="AA19" i="68"/>
  <c r="F21" i="68"/>
  <c r="AA21" i="68"/>
  <c r="F23" i="68"/>
  <c r="AA23" i="68"/>
  <c r="F25" i="68"/>
  <c r="AA25" i="68"/>
  <c r="F26" i="68"/>
  <c r="AA26" i="68"/>
  <c r="F27" i="68"/>
  <c r="AA27" i="68"/>
  <c r="F28" i="68"/>
  <c r="AA28" i="68"/>
  <c r="F29" i="68"/>
  <c r="AA29" i="68"/>
  <c r="F30" i="68"/>
  <c r="AA30" i="68"/>
  <c r="F31" i="68"/>
  <c r="AA31" i="68"/>
  <c r="F32" i="68"/>
  <c r="AA32" i="68"/>
  <c r="F33" i="68"/>
  <c r="AA33" i="68"/>
  <c r="F34" i="68"/>
  <c r="AA34" i="68"/>
  <c r="F35" i="68"/>
  <c r="AA35" i="68"/>
  <c r="F36" i="68"/>
  <c r="AA36" i="68"/>
  <c r="F37" i="68"/>
  <c r="AA37" i="68"/>
  <c r="F38" i="68"/>
  <c r="AA38" i="68"/>
  <c r="F39" i="68"/>
  <c r="AA39" i="68"/>
  <c r="F40" i="68"/>
  <c r="AA40" i="68"/>
  <c r="F41" i="68"/>
  <c r="AA41" i="68"/>
  <c r="F42" i="68"/>
  <c r="AA42" i="68"/>
  <c r="F43" i="68"/>
  <c r="AA43" i="68"/>
  <c r="F44" i="68"/>
  <c r="AA44" i="68"/>
  <c r="F45" i="68"/>
  <c r="AA45" i="68"/>
  <c r="F46" i="68"/>
  <c r="AA46" i="68"/>
  <c r="R48" i="68"/>
  <c r="E48" i="68"/>
  <c r="I53" i="68"/>
  <c r="J53" i="68"/>
  <c r="T47" i="68"/>
  <c r="H7" i="68"/>
  <c r="AB7" i="68"/>
  <c r="H8" i="68"/>
  <c r="AB8" i="68"/>
  <c r="H9" i="68"/>
  <c r="AB9" i="68"/>
  <c r="H10" i="68"/>
  <c r="AB10" i="68"/>
  <c r="H11" i="68"/>
  <c r="AB11" i="68"/>
  <c r="H12" i="68"/>
  <c r="AB12" i="68"/>
  <c r="H13" i="68"/>
  <c r="AB13" i="68"/>
  <c r="H14" i="68"/>
  <c r="AB14" i="68"/>
  <c r="H15" i="68"/>
  <c r="AB15" i="68"/>
  <c r="H17" i="68"/>
  <c r="AB17" i="68"/>
  <c r="H19" i="68"/>
  <c r="AB19" i="68"/>
  <c r="H21" i="68"/>
  <c r="AB21" i="68"/>
  <c r="H23" i="68"/>
  <c r="AB23" i="68"/>
  <c r="H25" i="68"/>
  <c r="AB25" i="68"/>
  <c r="H26" i="68"/>
  <c r="AB26" i="68"/>
  <c r="H27" i="68"/>
  <c r="AB27" i="68"/>
  <c r="H28" i="68"/>
  <c r="AB28" i="68"/>
  <c r="H29" i="68"/>
  <c r="AB29" i="68"/>
  <c r="H30" i="68"/>
  <c r="AB30" i="68"/>
  <c r="H31" i="68"/>
  <c r="AB31" i="68"/>
  <c r="H32" i="68"/>
  <c r="AB32" i="68"/>
  <c r="H33" i="68"/>
  <c r="AB33" i="68"/>
  <c r="H34" i="68"/>
  <c r="AB34" i="68"/>
  <c r="H35" i="68"/>
  <c r="AB35" i="68"/>
  <c r="H36" i="68"/>
  <c r="AB36" i="68"/>
  <c r="H37" i="68"/>
  <c r="AB37" i="68"/>
  <c r="H38" i="68"/>
  <c r="AB38" i="68"/>
  <c r="H39" i="68"/>
  <c r="AB39" i="68"/>
  <c r="H40" i="68"/>
  <c r="AB40" i="68"/>
  <c r="H41" i="68"/>
  <c r="AB41" i="68"/>
  <c r="H42" i="68"/>
  <c r="AB42" i="68"/>
  <c r="H43" i="68"/>
  <c r="AB43" i="68"/>
  <c r="H44" i="68"/>
  <c r="AB44" i="68"/>
  <c r="H45" i="68"/>
  <c r="AB45" i="68"/>
  <c r="H46" i="68"/>
  <c r="AB46" i="68"/>
  <c r="T48" i="68"/>
  <c r="G48" i="68"/>
  <c r="G53" i="68"/>
  <c r="H53" i="68"/>
  <c r="E53" i="68"/>
  <c r="F53" i="68"/>
  <c r="I52" i="68"/>
  <c r="J52" i="68"/>
  <c r="G52" i="68"/>
  <c r="H52" i="68"/>
  <c r="E52" i="68"/>
  <c r="F52" i="68"/>
  <c r="R49" i="68"/>
  <c r="P49" i="68"/>
  <c r="C49" i="68"/>
  <c r="P48" i="68"/>
  <c r="C48" i="68"/>
  <c r="P47" i="68"/>
  <c r="Q46" i="68"/>
  <c r="Z46" i="68"/>
  <c r="W46" i="68"/>
  <c r="U46" i="68"/>
  <c r="S46" i="68"/>
  <c r="Q45" i="68"/>
  <c r="Z45" i="68"/>
  <c r="W45" i="68"/>
  <c r="U45" i="68"/>
  <c r="S45" i="68"/>
  <c r="Q44" i="68"/>
  <c r="Z44" i="68"/>
  <c r="W44" i="68"/>
  <c r="U44" i="68"/>
  <c r="S44" i="68"/>
  <c r="Q43" i="68"/>
  <c r="Z43" i="68"/>
  <c r="W43" i="68"/>
  <c r="U43" i="68"/>
  <c r="S43" i="68"/>
  <c r="Q42" i="68"/>
  <c r="Z42" i="68"/>
  <c r="W42" i="68"/>
  <c r="U42" i="68"/>
  <c r="S42" i="68"/>
  <c r="Q41" i="68"/>
  <c r="Z41" i="68"/>
  <c r="W41" i="68"/>
  <c r="U41" i="68"/>
  <c r="S41" i="68"/>
  <c r="Q40" i="68"/>
  <c r="Z40" i="68"/>
  <c r="W40" i="68"/>
  <c r="U40" i="68"/>
  <c r="S40" i="68"/>
  <c r="Q39" i="68"/>
  <c r="Z39" i="68"/>
  <c r="W39" i="68"/>
  <c r="U39" i="68"/>
  <c r="S39" i="68"/>
  <c r="Q38" i="68"/>
  <c r="Z38" i="68"/>
  <c r="W38" i="68"/>
  <c r="U38" i="68"/>
  <c r="S38" i="68"/>
  <c r="Q37" i="68"/>
  <c r="Z37" i="68"/>
  <c r="W37" i="68"/>
  <c r="U37" i="68"/>
  <c r="S37" i="68"/>
  <c r="Q36" i="68"/>
  <c r="Z36" i="68"/>
  <c r="W36" i="68"/>
  <c r="U36" i="68"/>
  <c r="S36" i="68"/>
  <c r="Q35" i="68"/>
  <c r="Z35" i="68"/>
  <c r="W35" i="68"/>
  <c r="U35" i="68"/>
  <c r="S35" i="68"/>
  <c r="Q34" i="68"/>
  <c r="Z34" i="68"/>
  <c r="W34" i="68"/>
  <c r="U34" i="68"/>
  <c r="S34" i="68"/>
  <c r="Q33" i="68"/>
  <c r="Z33" i="68"/>
  <c r="W33" i="68"/>
  <c r="U33" i="68"/>
  <c r="S33" i="68"/>
  <c r="Q32" i="68"/>
  <c r="Z32" i="68"/>
  <c r="W32" i="68"/>
  <c r="U32" i="68"/>
  <c r="S32" i="68"/>
  <c r="Q31" i="68"/>
  <c r="Z31" i="68"/>
  <c r="W31" i="68"/>
  <c r="U31" i="68"/>
  <c r="S31" i="68"/>
  <c r="Q30" i="68"/>
  <c r="Z30" i="68"/>
  <c r="W30" i="68"/>
  <c r="U30" i="68"/>
  <c r="S30" i="68"/>
  <c r="Q29" i="68"/>
  <c r="Z29" i="68"/>
  <c r="W29" i="68"/>
  <c r="U29" i="68"/>
  <c r="S29" i="68"/>
  <c r="Q28" i="68"/>
  <c r="Z28" i="68"/>
  <c r="W28" i="68"/>
  <c r="U28" i="68"/>
  <c r="S28" i="68"/>
  <c r="Q27" i="68"/>
  <c r="Z27" i="68"/>
  <c r="W27" i="68"/>
  <c r="U27" i="68"/>
  <c r="S27" i="68"/>
  <c r="Q26" i="68"/>
  <c r="Z26" i="68"/>
  <c r="W26" i="68"/>
  <c r="U26" i="68"/>
  <c r="S26" i="68"/>
  <c r="Q25" i="68"/>
  <c r="Z25" i="68"/>
  <c r="W25" i="68"/>
  <c r="U25" i="68"/>
  <c r="S25" i="68"/>
  <c r="Q23" i="68"/>
  <c r="Z23" i="68"/>
  <c r="W23" i="68"/>
  <c r="U23" i="68"/>
  <c r="S23" i="68"/>
  <c r="C23" i="68"/>
  <c r="Q21" i="68"/>
  <c r="Z21" i="68"/>
  <c r="W21" i="68"/>
  <c r="U21" i="68"/>
  <c r="S21" i="68"/>
  <c r="C21" i="68"/>
  <c r="Q19" i="68"/>
  <c r="Z19" i="68"/>
  <c r="W19" i="68"/>
  <c r="U19" i="68"/>
  <c r="S19" i="68"/>
  <c r="C19" i="68"/>
  <c r="Q17" i="68"/>
  <c r="Z17" i="68"/>
  <c r="W17" i="68"/>
  <c r="U17" i="68"/>
  <c r="S17" i="68"/>
  <c r="C17" i="68"/>
  <c r="Q15" i="68"/>
  <c r="Z15" i="68"/>
  <c r="W15" i="68"/>
  <c r="U15" i="68"/>
  <c r="S15" i="68"/>
  <c r="C15" i="68"/>
  <c r="Q14" i="68"/>
  <c r="Z14" i="68"/>
  <c r="W14" i="68"/>
  <c r="U14" i="68"/>
  <c r="S14" i="68"/>
  <c r="Q13" i="68"/>
  <c r="Z13" i="68"/>
  <c r="W13" i="68"/>
  <c r="U13" i="68"/>
  <c r="S13" i="68"/>
  <c r="Q12" i="68"/>
  <c r="Z12" i="68"/>
  <c r="W12" i="68"/>
  <c r="U12" i="68"/>
  <c r="S12" i="68"/>
  <c r="Q11" i="68"/>
  <c r="Z11" i="68"/>
  <c r="W11" i="68"/>
  <c r="U11" i="68"/>
  <c r="S11" i="68"/>
  <c r="Q10" i="68"/>
  <c r="Z10" i="68"/>
  <c r="W10" i="68"/>
  <c r="U10" i="68"/>
  <c r="S10" i="68"/>
  <c r="Q9" i="68"/>
  <c r="Z9" i="68"/>
  <c r="W9" i="68"/>
  <c r="U9" i="68"/>
  <c r="S9" i="68"/>
  <c r="W8" i="68"/>
  <c r="U8" i="68"/>
  <c r="S8" i="68"/>
  <c r="W7" i="68"/>
  <c r="U7" i="68"/>
  <c r="S7" i="68"/>
  <c r="D3" i="68"/>
  <c r="B3" i="68"/>
  <c r="B2" i="68"/>
  <c r="D91" i="33"/>
  <c r="E91" i="33"/>
  <c r="H27" i="33"/>
  <c r="AB27" i="33"/>
  <c r="H26" i="33"/>
  <c r="AB26" i="33"/>
  <c r="F27" i="33"/>
  <c r="AA27" i="33"/>
  <c r="F26" i="33"/>
  <c r="AA26" i="33"/>
  <c r="J27" i="33"/>
  <c r="AC27" i="33"/>
  <c r="J26" i="33"/>
  <c r="AC26" i="33"/>
  <c r="B27" i="31"/>
  <c r="B26" i="31"/>
  <c r="B25" i="31"/>
  <c r="D9" i="67"/>
  <c r="D10" i="67"/>
  <c r="D8" i="67"/>
  <c r="D13" i="67"/>
  <c r="D5" i="67"/>
  <c r="D25" i="67"/>
  <c r="D23" i="67"/>
  <c r="D35" i="67"/>
  <c r="D36" i="67"/>
  <c r="D32" i="67"/>
  <c r="H30" i="67"/>
  <c r="H31" i="67"/>
  <c r="D30" i="67"/>
  <c r="F29" i="67"/>
  <c r="D28" i="67"/>
  <c r="D27" i="67"/>
  <c r="F26" i="67"/>
  <c r="G27" i="67"/>
  <c r="F27" i="67"/>
  <c r="I25" i="67"/>
  <c r="D22" i="67"/>
  <c r="H18" i="67"/>
  <c r="H15" i="67"/>
  <c r="G10" i="67"/>
  <c r="N9" i="67"/>
  <c r="G9" i="67"/>
  <c r="D4" i="67"/>
  <c r="N2" i="67"/>
  <c r="C11" i="33"/>
  <c r="C33" i="21"/>
  <c r="C11" i="21"/>
  <c r="G24" i="6"/>
  <c r="G23" i="6"/>
  <c r="F22" i="6"/>
  <c r="F21" i="6"/>
  <c r="F20" i="6"/>
  <c r="F19" i="6"/>
  <c r="Q13" i="3"/>
  <c r="S13" i="3"/>
  <c r="O13" i="3"/>
  <c r="M13" i="3"/>
  <c r="K13" i="3"/>
  <c r="C40" i="39"/>
  <c r="A3" i="3"/>
  <c r="L4" i="9"/>
  <c r="M4" i="9"/>
  <c r="A30"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s="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O25" i="31"/>
  <c r="M25" i="31"/>
  <c r="K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D121"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F109" i="33"/>
  <c r="E109" i="33"/>
  <c r="D109" i="33"/>
  <c r="C109"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M102" i="33"/>
  <c r="L102" i="33"/>
  <c r="K102" i="33"/>
  <c r="J102" i="33"/>
  <c r="I102" i="33"/>
  <c r="H102" i="33"/>
  <c r="G102" i="33"/>
  <c r="F102" i="33"/>
  <c r="E102" i="33"/>
  <c r="D102" i="33"/>
  <c r="C102" i="33"/>
  <c r="F101" i="33"/>
  <c r="G101" i="33"/>
  <c r="H101" i="33"/>
  <c r="I101" i="33"/>
  <c r="J101" i="33"/>
  <c r="K101" i="33"/>
  <c r="L101" i="33"/>
  <c r="M101" i="33"/>
  <c r="B92" i="33"/>
  <c r="B90"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P47" i="33"/>
  <c r="Q46" i="33"/>
  <c r="Z46" i="33"/>
  <c r="Q45" i="33"/>
  <c r="Z45" i="33"/>
  <c r="Q44" i="33"/>
  <c r="Z44" i="33"/>
  <c r="Q43" i="33"/>
  <c r="Z43" i="33"/>
  <c r="Q42" i="33"/>
  <c r="Z42" i="33"/>
  <c r="E123" i="33"/>
  <c r="F123" i="33"/>
  <c r="J42" i="33"/>
  <c r="AC42" i="33"/>
  <c r="W41" i="33"/>
  <c r="Q41" i="33"/>
  <c r="Z41" i="33"/>
  <c r="Q40" i="33"/>
  <c r="Z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s="1"/>
  <c r="C17" i="20"/>
  <c r="B58" i="46"/>
  <c r="C16" i="20"/>
  <c r="B47" i="46" s="1"/>
  <c r="C15" i="20"/>
  <c r="B69" i="46" s="1"/>
  <c r="E54" i="21"/>
  <c r="F54" i="21" s="1"/>
  <c r="I54" i="21"/>
  <c r="J54" i="21" s="1"/>
  <c r="G54" i="21"/>
  <c r="H54" i="21" s="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V47" i="21"/>
  <c r="V48" i="21" s="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K26" i="31"/>
  <c r="K27" i="31"/>
  <c r="K28" i="31"/>
  <c r="AC28" i="34"/>
  <c r="AA12" i="21"/>
  <c r="S12" i="21"/>
  <c r="H25" i="21"/>
  <c r="U25" i="21"/>
  <c r="F25" i="21"/>
  <c r="S25" i="21"/>
  <c r="J25" i="21"/>
  <c r="AC25" i="21"/>
  <c r="E125" i="33"/>
  <c r="F125" i="33"/>
  <c r="G125" i="33"/>
  <c r="H43" i="33"/>
  <c r="U43" i="33"/>
  <c r="H17" i="37"/>
  <c r="U17" i="37"/>
  <c r="F23" i="37"/>
  <c r="S23" i="37"/>
  <c r="F79"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s="1"/>
  <c r="B59" i="40" s="1"/>
  <c r="F59" i="40" s="1"/>
  <c r="I60" i="40"/>
  <c r="C60" i="40" s="1"/>
  <c r="B60" i="40" s="1"/>
  <c r="F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S17" i="21"/>
  <c r="H37" i="21"/>
  <c r="U37" i="21"/>
  <c r="F40" i="21"/>
  <c r="S40" i="21"/>
  <c r="H40" i="21"/>
  <c r="AB40" i="21"/>
  <c r="E119" i="21"/>
  <c r="F119" i="21"/>
  <c r="G119" i="21"/>
  <c r="H119" i="21"/>
  <c r="I119" i="21"/>
  <c r="J119" i="21"/>
  <c r="K119" i="21"/>
  <c r="L119" i="21"/>
  <c r="M119" i="21"/>
  <c r="AA8" i="33"/>
  <c r="S8" i="33"/>
  <c r="AC8" i="33"/>
  <c r="H66" i="33"/>
  <c r="F11" i="33"/>
  <c r="S11" i="33"/>
  <c r="J15" i="33"/>
  <c r="W15" i="33"/>
  <c r="H19" i="33"/>
  <c r="AB19"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U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97" i="39"/>
  <c r="G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S16" i="39"/>
  <c r="S15" i="34"/>
  <c r="AA15" i="34"/>
  <c r="AA41" i="33"/>
  <c r="F106" i="33"/>
  <c r="G106" i="33"/>
  <c r="H106" i="33"/>
  <c r="I106" i="33"/>
  <c r="J106" i="33"/>
  <c r="K106" i="33"/>
  <c r="L106" i="33"/>
  <c r="M106" i="33"/>
  <c r="U30" i="40"/>
  <c r="AA37" i="39"/>
  <c r="W29" i="35"/>
  <c r="AC39" i="39"/>
  <c r="W39" i="39"/>
  <c r="AA39" i="39"/>
  <c r="S39"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W35" i="33"/>
  <c r="S32" i="33"/>
  <c r="AC15" i="33"/>
  <c r="H11" i="33"/>
  <c r="U11" i="33"/>
  <c r="U10" i="33"/>
  <c r="I66" i="33"/>
  <c r="U40" i="21"/>
  <c r="U11" i="37"/>
  <c r="AC16" i="35"/>
  <c r="AC13" i="40"/>
  <c r="J11" i="34"/>
  <c r="W11" i="34"/>
  <c r="S17" i="34"/>
  <c r="AC36" i="33"/>
  <c r="F25" i="40"/>
  <c r="AA25" i="40"/>
  <c r="J11" i="33"/>
  <c r="W11" i="33"/>
  <c r="H33" i="37"/>
  <c r="AB33" i="37"/>
  <c r="W15" i="34"/>
  <c r="AC15" i="34"/>
  <c r="U20" i="35"/>
  <c r="AB20" i="35"/>
  <c r="W23" i="40"/>
  <c r="D73" i="9"/>
  <c r="N73" i="9"/>
  <c r="J51" i="15"/>
  <c r="B11" i="1"/>
  <c r="E11" i="1"/>
  <c r="K11" i="1"/>
  <c r="B9" i="1"/>
  <c r="E9" i="1"/>
  <c r="K9" i="1"/>
  <c r="M9" i="1"/>
  <c r="B7" i="1"/>
  <c r="E7" i="1"/>
  <c r="K7" i="1"/>
  <c r="O7" i="1"/>
  <c r="P7" i="1" s="1"/>
  <c r="C20" i="43"/>
  <c r="U40" i="39"/>
  <c r="W43" i="39"/>
  <c r="W33" i="39"/>
  <c r="AB29" i="39"/>
  <c r="W27" i="39"/>
  <c r="S23" i="39"/>
  <c r="C29" i="39"/>
  <c r="F32" i="15"/>
  <c r="F59" i="15"/>
  <c r="F29" i="12"/>
  <c r="A11" i="55"/>
  <c r="B62" i="63"/>
  <c r="G11" i="1"/>
  <c r="G10" i="1"/>
  <c r="G12" i="1"/>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W23" i="21"/>
  <c r="W17" i="21"/>
  <c r="S15" i="21"/>
  <c r="F77" i="21"/>
  <c r="G77" i="21"/>
  <c r="AC11" i="21"/>
  <c r="AB11" i="21"/>
  <c r="W13" i="21"/>
  <c r="AA11"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A30" i="64"/>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E297" i="3"/>
  <c r="E86"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C67" i="40"/>
  <c r="D65" i="40"/>
  <c r="P24" i="46"/>
  <c r="B68" i="40"/>
  <c r="P25" i="46"/>
  <c r="B73" i="39"/>
  <c r="P23" i="46"/>
  <c r="P21" i="46"/>
  <c r="P22" i="46"/>
  <c r="C72" i="39"/>
  <c r="D70" i="39"/>
  <c r="O19" i="46"/>
  <c r="K17" i="4"/>
  <c r="A22" i="51"/>
  <c r="B16" i="63"/>
  <c r="H77" i="46"/>
  <c r="H69" i="46"/>
  <c r="H86" i="46"/>
  <c r="H82" i="46"/>
  <c r="H63" i="46"/>
  <c r="H59" i="46"/>
  <c r="H64" i="46"/>
  <c r="H60" i="46"/>
  <c r="H10" i="48"/>
  <c r="H87" i="46"/>
  <c r="H85" i="46"/>
  <c r="H83" i="46"/>
  <c r="O13" i="1"/>
  <c r="P13" i="1"/>
  <c r="K10" i="1"/>
  <c r="M10" i="1"/>
  <c r="O10" i="1" s="1"/>
  <c r="P10" i="1" s="1"/>
  <c r="F27" i="6"/>
  <c r="E27" i="6"/>
  <c r="K24" i="6"/>
  <c r="S11" i="1"/>
  <c r="M24" i="6"/>
  <c r="I24" i="6"/>
  <c r="H24" i="6"/>
  <c r="D24" i="6"/>
  <c r="R24" i="6"/>
  <c r="R11" i="1"/>
  <c r="S13" i="1"/>
  <c r="R13" i="1"/>
  <c r="B6" i="1"/>
  <c r="E6" i="1"/>
  <c r="B10" i="1"/>
  <c r="E10" i="1"/>
  <c r="BA5" i="3"/>
  <c r="K23" i="6"/>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64" i="46"/>
  <c r="D24" i="15"/>
  <c r="AB11" i="46"/>
  <c r="AB13" i="46"/>
  <c r="C23" i="46"/>
  <c r="AJ11" i="46"/>
  <c r="AJ13" i="46"/>
  <c r="AG11" i="46"/>
  <c r="AG13" i="46"/>
  <c r="AF11" i="46"/>
  <c r="AF13" i="46"/>
  <c r="Y11" i="46"/>
  <c r="Y13" i="46"/>
  <c r="AC11" i="46"/>
  <c r="AC13" i="46"/>
  <c r="AH11" i="46"/>
  <c r="AH13" i="46"/>
  <c r="AD11" i="46"/>
  <c r="AD13" i="46"/>
  <c r="Z11" i="46"/>
  <c r="Z13" i="46"/>
  <c r="AI11" i="46"/>
  <c r="AI13" i="46"/>
  <c r="AE11" i="46"/>
  <c r="AE13" i="46"/>
  <c r="AA11" i="46"/>
  <c r="AA13" i="46"/>
  <c r="AO6" i="3"/>
  <c r="E561" i="3"/>
  <c r="E476" i="3"/>
  <c r="F29" i="6"/>
  <c r="F28" i="6"/>
  <c r="E22" i="46"/>
  <c r="F101" i="46"/>
  <c r="F109" i="46"/>
  <c r="N101" i="46"/>
  <c r="N109" i="46"/>
  <c r="K101" i="46"/>
  <c r="K109" i="46"/>
  <c r="Z7" i="46"/>
  <c r="D101" i="46"/>
  <c r="L101" i="46"/>
  <c r="I101" i="46"/>
  <c r="N104" i="45"/>
  <c r="G22" i="46"/>
  <c r="H101" i="46"/>
  <c r="E101" i="46"/>
  <c r="M101" i="46"/>
  <c r="F22" i="46"/>
  <c r="B113" i="46"/>
  <c r="I116" i="46"/>
  <c r="J116" i="46"/>
  <c r="K116" i="46"/>
  <c r="L116" i="46"/>
  <c r="M116" i="46"/>
  <c r="J101" i="46"/>
  <c r="G101" i="46"/>
  <c r="G103" i="46"/>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AZ13" i="3"/>
  <c r="G29" i="6"/>
  <c r="G30" i="6"/>
  <c r="G31" i="6"/>
  <c r="AZ16" i="3"/>
  <c r="E14" i="6"/>
  <c r="E10" i="6"/>
  <c r="E15" i="6"/>
  <c r="H16" i="1"/>
  <c r="G16" i="1"/>
  <c r="J12" i="40"/>
  <c r="F30" i="6"/>
  <c r="E28" i="6"/>
  <c r="E13" i="6"/>
  <c r="E11" i="6"/>
  <c r="H70" i="46"/>
  <c r="H72" i="46"/>
  <c r="A9" i="64"/>
  <c r="A9" i="51"/>
  <c r="B9" i="63"/>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I48" i="33"/>
  <c r="I52" i="33" s="1"/>
  <c r="J52" i="33" s="1"/>
  <c r="U7" i="33"/>
  <c r="G48" i="33"/>
  <c r="D67" i="40"/>
  <c r="E65" i="40"/>
  <c r="S7" i="33"/>
  <c r="G39" i="46"/>
  <c r="I39" i="46" s="1"/>
  <c r="Q16" i="1"/>
  <c r="F18" i="11"/>
  <c r="C18" i="11"/>
  <c r="AP16" i="1"/>
  <c r="F22" i="11"/>
  <c r="G66" i="36"/>
  <c r="J18" i="36"/>
  <c r="AE8" i="1"/>
  <c r="AE6" i="1"/>
  <c r="F31" i="15"/>
  <c r="F58" i="15"/>
  <c r="F33" i="44"/>
  <c r="M17" i="15"/>
  <c r="M19" i="44"/>
  <c r="G105" i="46"/>
  <c r="G118" i="46"/>
  <c r="H118" i="46"/>
  <c r="G109" i="46"/>
  <c r="D116" i="46"/>
  <c r="E116" i="46"/>
  <c r="F116" i="46"/>
  <c r="G116" i="46"/>
  <c r="H116" i="46"/>
  <c r="B118" i="46"/>
  <c r="C118" i="46"/>
  <c r="G106" i="46"/>
  <c r="G104" i="46"/>
  <c r="B116" i="46"/>
  <c r="C116" i="46"/>
  <c r="D117" i="46"/>
  <c r="E117" i="46"/>
  <c r="F117" i="46"/>
  <c r="G117" i="46"/>
  <c r="H117" i="46"/>
  <c r="D118" i="46"/>
  <c r="E118" i="46"/>
  <c r="F118" i="46"/>
  <c r="S6" i="46"/>
  <c r="S2" i="46"/>
  <c r="S5" i="46"/>
  <c r="S3" i="46"/>
  <c r="S4" i="46"/>
  <c r="S7" i="46"/>
  <c r="M107" i="46"/>
  <c r="M104" i="46"/>
  <c r="M102" i="46"/>
  <c r="M103" i="46"/>
  <c r="M109" i="46"/>
  <c r="M105" i="46"/>
  <c r="M106" i="46"/>
  <c r="H104" i="46"/>
  <c r="H102" i="46"/>
  <c r="H105" i="46"/>
  <c r="H109" i="46"/>
  <c r="H107" i="46"/>
  <c r="H106" i="46"/>
  <c r="H103" i="46"/>
  <c r="L106" i="46"/>
  <c r="L102" i="46"/>
  <c r="L107" i="46"/>
  <c r="L105" i="46"/>
  <c r="L109" i="46"/>
  <c r="L104" i="46"/>
  <c r="L103" i="46"/>
  <c r="D2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E104" i="46"/>
  <c r="E103" i="46"/>
  <c r="E106" i="46"/>
  <c r="E109" i="46"/>
  <c r="E107" i="46"/>
  <c r="E105" i="46"/>
  <c r="E102" i="46"/>
  <c r="I105" i="46"/>
  <c r="I102" i="46"/>
  <c r="I104" i="46"/>
  <c r="I109" i="46"/>
  <c r="I103" i="46"/>
  <c r="I107" i="46"/>
  <c r="I106" i="46"/>
  <c r="D102" i="46"/>
  <c r="D106" i="46"/>
  <c r="D104" i="46"/>
  <c r="D105" i="46"/>
  <c r="D109" i="46"/>
  <c r="D107" i="46"/>
  <c r="D103" i="46"/>
  <c r="U7" i="35"/>
  <c r="AC7" i="36"/>
  <c r="V36" i="36"/>
  <c r="I36" i="36"/>
  <c r="I40" i="36"/>
  <c r="J40" i="36"/>
  <c r="W18" i="36"/>
  <c r="AC18" i="36"/>
  <c r="U7" i="36"/>
  <c r="G41" i="36"/>
  <c r="H41" i="36"/>
  <c r="W7" i="35"/>
  <c r="S7" i="37"/>
  <c r="U7" i="34"/>
  <c r="C115" i="46"/>
  <c r="H12" i="40"/>
  <c r="AB12" i="40"/>
  <c r="AG6" i="1"/>
  <c r="H12" i="39"/>
  <c r="U12" i="39"/>
  <c r="F12" i="39"/>
  <c r="AA12" i="39"/>
  <c r="F31" i="6"/>
  <c r="F12" i="40"/>
  <c r="AA12" i="40"/>
  <c r="J12" i="39"/>
  <c r="AC12" i="39"/>
  <c r="AC6" i="3"/>
  <c r="E6" i="3"/>
  <c r="D21" i="12"/>
  <c r="C21" i="12" s="1"/>
  <c r="D12" i="11"/>
  <c r="C12" i="11"/>
  <c r="E59" i="40"/>
  <c r="E29" i="6"/>
  <c r="L20" i="6"/>
  <c r="E58" i="40"/>
  <c r="E63" i="39"/>
  <c r="E16" i="6"/>
  <c r="AZ5" i="3"/>
  <c r="F33" i="12"/>
  <c r="C34" i="12" s="1"/>
  <c r="D33" i="12" s="1"/>
  <c r="F24" i="43"/>
  <c r="C26" i="43" s="1"/>
  <c r="D24" i="43" s="1"/>
  <c r="E60" i="40"/>
  <c r="E65" i="39"/>
  <c r="K19" i="6"/>
  <c r="K26" i="6"/>
  <c r="M26" i="6"/>
  <c r="I26" i="6"/>
  <c r="S26" i="6"/>
  <c r="S24" i="6"/>
  <c r="K22" i="6"/>
  <c r="K20" i="6"/>
  <c r="M23" i="6"/>
  <c r="I23" i="6"/>
  <c r="S23" i="6"/>
  <c r="K25" i="6"/>
  <c r="M25" i="6"/>
  <c r="I25" i="6"/>
  <c r="S25" i="6"/>
  <c r="K21" i="6"/>
  <c r="K14" i="1"/>
  <c r="E30" i="6"/>
  <c r="E31" i="6"/>
  <c r="L19" i="6"/>
  <c r="K15" i="1"/>
  <c r="E62" i="40"/>
  <c r="E67" i="39"/>
  <c r="E66" i="39"/>
  <c r="E61" i="40"/>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s="1"/>
  <c r="G53" i="33"/>
  <c r="H53" i="33" s="1"/>
  <c r="G46" i="37"/>
  <c r="H46" i="37"/>
  <c r="E67" i="40"/>
  <c r="F65" i="40"/>
  <c r="E72" i="39"/>
  <c r="F70" i="39"/>
  <c r="I53" i="34"/>
  <c r="J53" i="34"/>
  <c r="AB12" i="39"/>
  <c r="S12" i="39"/>
  <c r="S12" i="40"/>
  <c r="AC12" i="40"/>
  <c r="W12" i="40"/>
  <c r="E46" i="37"/>
  <c r="F46" i="37"/>
  <c r="E47" i="37"/>
  <c r="F47" i="37"/>
  <c r="D113" i="46"/>
  <c r="J22" i="46"/>
  <c r="W12" i="39"/>
  <c r="U12" i="40"/>
  <c r="E41" i="36"/>
  <c r="F41" i="36"/>
  <c r="I47" i="37"/>
  <c r="J47" i="37"/>
  <c r="G47" i="37"/>
  <c r="H47" i="37"/>
  <c r="L27" i="6"/>
  <c r="E38" i="35"/>
  <c r="I43" i="35"/>
  <c r="J43" i="35"/>
  <c r="I41" i="36"/>
  <c r="J41" i="36"/>
  <c r="R37" i="36"/>
  <c r="M14" i="1"/>
  <c r="K16" i="1"/>
  <c r="M20" i="6"/>
  <c r="I20" i="6"/>
  <c r="S20" i="6"/>
  <c r="S7" i="1"/>
  <c r="K27" i="6"/>
  <c r="M19" i="6"/>
  <c r="S6" i="1"/>
  <c r="M21" i="6"/>
  <c r="I21" i="6"/>
  <c r="S21" i="6"/>
  <c r="S8" i="1"/>
  <c r="M22" i="6"/>
  <c r="I22" i="6"/>
  <c r="S22" i="6"/>
  <c r="S9" i="1"/>
  <c r="E3" i="6"/>
  <c r="B14" i="66"/>
  <c r="B1" i="66"/>
  <c r="AY6" i="3"/>
  <c r="R43" i="37"/>
  <c r="R50" i="34"/>
  <c r="C50" i="34"/>
  <c r="B3" i="34"/>
  <c r="B2" i="34"/>
  <c r="E49" i="34"/>
  <c r="C39" i="35"/>
  <c r="B3" i="35"/>
  <c r="B2" i="35"/>
  <c r="W7" i="21"/>
  <c r="U7" i="21"/>
  <c r="G48" i="21"/>
  <c r="E53" i="21" s="1"/>
  <c r="F53" i="21" s="1"/>
  <c r="S7" i="21"/>
  <c r="F72" i="39"/>
  <c r="G70" i="39"/>
  <c r="F67" i="40"/>
  <c r="G65" i="40"/>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16" i="12" s="1"/>
  <c r="C21" i="4"/>
  <c r="O5" i="54"/>
  <c r="B45" i="63"/>
  <c r="E6" i="6"/>
  <c r="D10" i="11"/>
  <c r="L38" i="9"/>
  <c r="O14" i="1"/>
  <c r="M16" i="1"/>
  <c r="C13" i="43" s="1"/>
  <c r="C14" i="43" s="1"/>
  <c r="T7" i="1"/>
  <c r="C43" i="37"/>
  <c r="B3" i="37"/>
  <c r="B2" i="37"/>
  <c r="C42" i="37"/>
  <c r="C49" i="34"/>
  <c r="E54" i="34"/>
  <c r="F54" i="34"/>
  <c r="I54" i="34"/>
  <c r="J54" i="34"/>
  <c r="E53" i="34"/>
  <c r="F53" i="34"/>
  <c r="E48" i="21"/>
  <c r="G52" i="21"/>
  <c r="H52" i="21" s="1"/>
  <c r="G67" i="40"/>
  <c r="H65" i="40"/>
  <c r="G72" i="39"/>
  <c r="H70" i="39"/>
  <c r="C14" i="66"/>
  <c r="B2" i="66"/>
  <c r="E63" i="40"/>
  <c r="E68" i="39"/>
  <c r="T10" i="1"/>
  <c r="T9" i="1"/>
  <c r="T6" i="1"/>
  <c r="T11" i="1"/>
  <c r="T8" i="1"/>
  <c r="T12" i="1"/>
  <c r="P14" i="1"/>
  <c r="D22" i="12"/>
  <c r="C22" i="12" s="1"/>
  <c r="D13" i="11"/>
  <c r="C13" i="11"/>
  <c r="I27" i="6"/>
  <c r="S19" i="6"/>
  <c r="S27" i="6"/>
  <c r="H19" i="6"/>
  <c r="C22" i="4"/>
  <c r="K38" i="9"/>
  <c r="D19" i="6"/>
  <c r="D21" i="6"/>
  <c r="D26" i="6"/>
  <c r="D25" i="6"/>
  <c r="D22" i="6"/>
  <c r="D10" i="6"/>
  <c r="D11" i="6"/>
  <c r="D13" i="6"/>
  <c r="D12" i="6"/>
  <c r="H21" i="6"/>
  <c r="H20" i="6"/>
  <c r="H25" i="6"/>
  <c r="D6" i="6"/>
  <c r="D9" i="6"/>
  <c r="D23" i="6"/>
  <c r="D5" i="6"/>
  <c r="D14" i="6"/>
  <c r="D29" i="6"/>
  <c r="D28" i="6"/>
  <c r="H22" i="6"/>
  <c r="R22" i="6"/>
  <c r="R9" i="1"/>
  <c r="D20" i="6"/>
  <c r="D15" i="6"/>
  <c r="D8" i="6"/>
  <c r="H26" i="6"/>
  <c r="H23" i="6"/>
  <c r="E52" i="21"/>
  <c r="F52" i="21" s="1"/>
  <c r="I70" i="39"/>
  <c r="H72" i="39"/>
  <c r="I65" i="40"/>
  <c r="H67" i="40"/>
  <c r="T16" i="1"/>
  <c r="H27" i="6"/>
  <c r="R20" i="6"/>
  <c r="R7" i="1"/>
  <c r="D16" i="6"/>
  <c r="D30" i="6"/>
  <c r="R23" i="6"/>
  <c r="R10" i="1"/>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s="1"/>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53" i="40"/>
  <c r="F53" i="40"/>
  <c r="B56" i="40"/>
  <c r="F56" i="40"/>
  <c r="B62" i="40"/>
  <c r="F62" i="40"/>
  <c r="B58" i="40"/>
  <c r="F58" i="40"/>
  <c r="F63" i="40"/>
  <c r="B2" i="40"/>
  <c r="B3" i="40" s="1"/>
  <c r="C45" i="9"/>
  <c r="H14" i="66"/>
  <c r="B7" i="66"/>
  <c r="D7" i="66"/>
  <c r="C7" i="66"/>
  <c r="D45" i="9"/>
  <c r="E45" i="9"/>
  <c r="O40" i="9"/>
  <c r="F45" i="9"/>
  <c r="K31" i="9"/>
  <c r="K32" i="9"/>
  <c r="R7" i="54"/>
  <c r="B52" i="63"/>
  <c r="N76" i="9"/>
  <c r="C46" i="9"/>
  <c r="K33" i="9"/>
  <c r="F46" i="9"/>
  <c r="O41" i="9"/>
  <c r="I14" i="66"/>
  <c r="B8" i="66"/>
  <c r="E46" i="9"/>
  <c r="D46" i="9"/>
  <c r="K34" i="9"/>
  <c r="C8" i="66"/>
  <c r="D8" i="66"/>
  <c r="R8" i="54"/>
  <c r="B54" i="63"/>
  <c r="F45" i="44"/>
  <c r="F43" i="44"/>
  <c r="M26" i="15"/>
  <c r="N6" i="65"/>
  <c r="I3" i="65"/>
  <c r="F6" i="15"/>
  <c r="M31" i="44"/>
  <c r="I5" i="65"/>
  <c r="F40" i="44"/>
  <c r="J17" i="44"/>
  <c r="M23" i="44"/>
  <c r="N5" i="65"/>
  <c r="F35" i="69"/>
  <c r="J36" i="15"/>
  <c r="M9" i="69"/>
  <c r="M26" i="44"/>
  <c r="F11" i="44"/>
  <c r="F43" i="69"/>
  <c r="M22" i="69"/>
  <c r="M29" i="69"/>
  <c r="M29" i="15"/>
  <c r="C14" i="15"/>
  <c r="M11" i="44"/>
  <c r="F38" i="15"/>
  <c r="F35" i="15"/>
  <c r="M29" i="44"/>
  <c r="M28" i="69"/>
  <c r="J3" i="65"/>
  <c r="F38" i="69"/>
  <c r="F13" i="69"/>
  <c r="C35" i="44"/>
  <c r="C16" i="44"/>
  <c r="F40" i="69"/>
  <c r="F43" i="15"/>
  <c r="M9" i="15"/>
  <c r="F10" i="44"/>
  <c r="I6" i="65"/>
  <c r="F7" i="15"/>
  <c r="F26" i="15"/>
  <c r="M21" i="15"/>
  <c r="M23" i="15"/>
  <c r="F37" i="69"/>
  <c r="F8" i="44"/>
  <c r="F42" i="15"/>
  <c r="J4" i="65"/>
  <c r="M24" i="15"/>
  <c r="M8" i="69"/>
  <c r="F38" i="44"/>
  <c r="M23" i="69"/>
  <c r="M21" i="69"/>
  <c r="F15" i="44"/>
  <c r="M10" i="44"/>
  <c r="F9" i="69"/>
  <c r="J15" i="15"/>
  <c r="M6" i="15"/>
  <c r="M24" i="44"/>
  <c r="M27" i="69"/>
  <c r="C19" i="44"/>
  <c r="M22" i="15"/>
  <c r="I7" i="65"/>
  <c r="F46" i="44"/>
  <c r="L48" i="15"/>
  <c r="J6" i="65"/>
  <c r="F16" i="69"/>
  <c r="F13" i="15"/>
  <c r="J5" i="65"/>
  <c r="F37" i="15"/>
  <c r="I4" i="65"/>
  <c r="F26" i="69"/>
  <c r="C14" i="69"/>
  <c r="F42" i="69"/>
  <c r="N4" i="65"/>
  <c r="J7" i="65"/>
  <c r="M8" i="44"/>
  <c r="F39" i="44"/>
  <c r="F6" i="69"/>
  <c r="F28" i="44"/>
  <c r="F40" i="15"/>
  <c r="M8" i="15"/>
  <c r="F8" i="69"/>
  <c r="F8" i="15"/>
  <c r="M6" i="69"/>
  <c r="F7" i="69"/>
  <c r="M26" i="69"/>
  <c r="M27" i="15"/>
  <c r="F36" i="15"/>
  <c r="F9" i="44"/>
  <c r="L47" i="69"/>
  <c r="F18" i="44"/>
  <c r="J36" i="69"/>
  <c r="F16" i="15"/>
  <c r="F36" i="69"/>
  <c r="M28" i="15"/>
  <c r="M28" i="44"/>
  <c r="N3" i="65"/>
  <c r="J15" i="69"/>
  <c r="M25" i="44"/>
  <c r="F37" i="44"/>
  <c r="L48" i="69"/>
  <c r="L47" i="15"/>
  <c r="F9" i="15"/>
  <c r="N7" i="65"/>
  <c r="M24" i="69"/>
  <c r="M30" i="44"/>
  <c r="E11" i="52" l="1"/>
  <c r="C16" i="46"/>
  <c r="C5" i="46" s="1"/>
  <c r="B4" i="40"/>
  <c r="H74" i="46"/>
  <c r="H73" i="46"/>
  <c r="B5" i="40"/>
  <c r="T8" i="46"/>
  <c r="V8" i="46" s="1"/>
  <c r="B53" i="46"/>
  <c r="T7" i="46"/>
  <c r="V7" i="46" s="1"/>
  <c r="T5" i="46"/>
  <c r="V5" i="46" s="1"/>
  <c r="T2" i="46"/>
  <c r="V2" i="46" s="1"/>
  <c r="C37" i="46"/>
  <c r="G37" i="46" s="1"/>
  <c r="I37" i="46" s="1"/>
  <c r="C33" i="46"/>
  <c r="C36" i="46"/>
  <c r="C35" i="46"/>
  <c r="T15" i="46"/>
  <c r="V15" i="46" s="1"/>
  <c r="T11" i="46"/>
  <c r="V11" i="46" s="1"/>
  <c r="C29" i="46"/>
  <c r="T14" i="46"/>
  <c r="V14" i="46" s="1"/>
  <c r="T10" i="46"/>
  <c r="V10" i="46" s="1"/>
  <c r="T4" i="46"/>
  <c r="V4" i="46" s="1"/>
  <c r="T3" i="46"/>
  <c r="V3" i="46" s="1"/>
  <c r="T6" i="46"/>
  <c r="V6" i="46" s="1"/>
  <c r="C39" i="46"/>
  <c r="E39" i="46" s="1"/>
  <c r="C38" i="46"/>
  <c r="C34" i="46"/>
  <c r="T13" i="46"/>
  <c r="V13" i="46" s="1"/>
  <c r="T9" i="46"/>
  <c r="V9" i="46" s="1"/>
  <c r="T16" i="46"/>
  <c r="V16" i="46" s="1"/>
  <c r="T12" i="46"/>
  <c r="V12" i="46" s="1"/>
  <c r="E10" i="52"/>
  <c r="E4" i="52"/>
  <c r="E21" i="52"/>
  <c r="B16" i="52"/>
  <c r="B13" i="52"/>
  <c r="B18" i="52"/>
  <c r="R49" i="33"/>
  <c r="C49" i="33" s="1"/>
  <c r="C48" i="33"/>
  <c r="I53" i="33"/>
  <c r="J53" i="33" s="1"/>
  <c r="E53" i="33"/>
  <c r="F53" i="33" s="1"/>
  <c r="L16" i="1"/>
  <c r="N16" i="1"/>
  <c r="C29" i="43" s="1"/>
  <c r="I48" i="21"/>
  <c r="R49" i="21"/>
  <c r="P8" i="1"/>
  <c r="P16" i="1" s="1"/>
  <c r="C13" i="12" s="1"/>
  <c r="O16" i="1"/>
  <c r="C15" i="12"/>
  <c r="F109" i="39"/>
  <c r="H34" i="39"/>
  <c r="E5" i="52"/>
  <c r="E16" i="52"/>
  <c r="C4" i="4" s="1"/>
  <c r="B20" i="55" s="1"/>
  <c r="B70" i="63" s="1"/>
  <c r="B23" i="52"/>
  <c r="B5" i="52"/>
  <c r="B22" i="52"/>
  <c r="B14" i="52"/>
  <c r="B7" i="52"/>
  <c r="E18" i="52"/>
  <c r="B6" i="52"/>
  <c r="B19" i="52"/>
  <c r="B11" i="52"/>
  <c r="E8" i="52"/>
  <c r="B17" i="52"/>
  <c r="E9" i="52"/>
  <c r="E4" i="4" s="1"/>
  <c r="B21" i="55" s="1"/>
  <c r="B72" i="63" s="1"/>
  <c r="B8" i="52"/>
  <c r="B4" i="52"/>
  <c r="B9" i="52"/>
  <c r="B10" i="52"/>
  <c r="E6" i="52"/>
  <c r="E7" i="52"/>
  <c r="AA9" i="39"/>
  <c r="F83" i="39"/>
  <c r="G83" i="39" s="1"/>
  <c r="H83" i="39" s="1"/>
  <c r="I83" i="39" s="1"/>
  <c r="J83" i="39" s="1"/>
  <c r="K83" i="39" s="1"/>
  <c r="L83" i="39" s="1"/>
  <c r="M83" i="39" s="1"/>
  <c r="H13" i="39"/>
  <c r="F13" i="39"/>
  <c r="J13" i="39"/>
  <c r="C17" i="43"/>
  <c r="C18" i="43" s="1"/>
  <c r="C19" i="43" s="1"/>
  <c r="C25" i="43" s="1"/>
  <c r="C24" i="43" s="1"/>
  <c r="D19" i="12"/>
  <c r="C19" i="12" s="1"/>
  <c r="C20" i="12"/>
  <c r="J22" i="44"/>
  <c r="J20" i="15"/>
  <c r="C36" i="44"/>
  <c r="C20" i="44"/>
  <c r="C17" i="44"/>
  <c r="C29" i="44"/>
  <c r="C8" i="44"/>
  <c r="M9" i="44"/>
  <c r="J8" i="44" s="1"/>
  <c r="Q72" i="15"/>
  <c r="E20" i="46"/>
  <c r="J1" i="65"/>
  <c r="Q72" i="69"/>
  <c r="L59" i="69"/>
  <c r="L58" i="69"/>
  <c r="L58" i="15"/>
  <c r="L59" i="15"/>
  <c r="J20" i="69"/>
  <c r="F67" i="69"/>
  <c r="C34" i="69"/>
  <c r="F62" i="69"/>
  <c r="C61" i="69" s="1"/>
  <c r="C27" i="69"/>
  <c r="F50" i="69"/>
  <c r="J53" i="15"/>
  <c r="J60" i="15"/>
  <c r="Q49" i="15" s="1"/>
  <c r="L56" i="15"/>
  <c r="K53" i="15"/>
  <c r="J57" i="15"/>
  <c r="J55" i="15" s="1"/>
  <c r="J58" i="15" s="1"/>
  <c r="Q51" i="15" s="1"/>
  <c r="J59" i="15"/>
  <c r="L57" i="15"/>
  <c r="L60" i="15"/>
  <c r="F65" i="15"/>
  <c r="F64" i="15"/>
  <c r="F63" i="15"/>
  <c r="I1" i="65"/>
  <c r="M7" i="15"/>
  <c r="J6" i="15" s="1"/>
  <c r="F49" i="15"/>
  <c r="C6" i="15"/>
  <c r="J53" i="69"/>
  <c r="L60" i="69"/>
  <c r="J59" i="69"/>
  <c r="L56" i="69"/>
  <c r="J60" i="69"/>
  <c r="Q49" i="69" s="1"/>
  <c r="J57" i="69"/>
  <c r="J55" i="69" s="1"/>
  <c r="J58" i="69" s="1"/>
  <c r="Q51" i="69" s="1"/>
  <c r="L57" i="69"/>
  <c r="K53" i="69"/>
  <c r="F65" i="69"/>
  <c r="F64" i="69"/>
  <c r="F63" i="69"/>
  <c r="F70" i="69"/>
  <c r="C18" i="69"/>
  <c r="C15" i="69"/>
  <c r="M7" i="69"/>
  <c r="J6" i="69" s="1"/>
  <c r="F49" i="69"/>
  <c r="C6" i="69"/>
  <c r="F67" i="15"/>
  <c r="C34" i="15"/>
  <c r="F62" i="15"/>
  <c r="C61" i="15" s="1"/>
  <c r="C27" i="15"/>
  <c r="F70" i="15"/>
  <c r="C18" i="15"/>
  <c r="C15" i="15"/>
  <c r="C4" i="65"/>
  <c r="B39" i="1" s="1"/>
  <c r="F50" i="15"/>
  <c r="C16" i="69"/>
  <c r="E3" i="65"/>
  <c r="C18" i="44"/>
  <c r="C17" i="15"/>
  <c r="C16" i="15"/>
  <c r="C17" i="69"/>
  <c r="E2" i="65"/>
  <c r="E37" i="46" l="1"/>
  <c r="E34" i="46"/>
  <c r="G34" i="46"/>
  <c r="I34" i="46" s="1"/>
  <c r="E29" i="46"/>
  <c r="C30" i="46"/>
  <c r="E30" i="46" s="1"/>
  <c r="E36" i="46"/>
  <c r="G36" i="46"/>
  <c r="I36" i="46" s="1"/>
  <c r="G38" i="46"/>
  <c r="I38" i="46" s="1"/>
  <c r="E38" i="46"/>
  <c r="E35" i="46"/>
  <c r="G35" i="46"/>
  <c r="I35" i="46" s="1"/>
  <c r="G33" i="46"/>
  <c r="I33" i="46" s="1"/>
  <c r="E33" i="46"/>
  <c r="B3" i="33"/>
  <c r="B2" i="33" s="1"/>
  <c r="R24" i="31"/>
  <c r="C49" i="21"/>
  <c r="C48" i="21"/>
  <c r="G53" i="21"/>
  <c r="H53" i="21" s="1"/>
  <c r="I53" i="21"/>
  <c r="J53" i="21" s="1"/>
  <c r="I52" i="21"/>
  <c r="J52" i="21" s="1"/>
  <c r="C14" i="12"/>
  <c r="C17" i="12"/>
  <c r="AB34" i="39"/>
  <c r="U34" i="39"/>
  <c r="G109" i="39"/>
  <c r="F34" i="39"/>
  <c r="AC13" i="39"/>
  <c r="W13" i="39"/>
  <c r="AB13" i="39"/>
  <c r="T49" i="39" s="1"/>
  <c r="G49" i="39" s="1"/>
  <c r="U13" i="39"/>
  <c r="S13" i="39"/>
  <c r="AA13" i="39"/>
  <c r="L46" i="69"/>
  <c r="L46" i="15"/>
  <c r="B40" i="1"/>
  <c r="F17" i="11"/>
  <c r="C17" i="11" s="1"/>
  <c r="C19" i="11" s="1"/>
  <c r="C21" i="44"/>
  <c r="C19" i="15"/>
  <c r="C19" i="69"/>
  <c r="M11" i="15"/>
  <c r="J10" i="15" s="1"/>
  <c r="J5" i="15" s="1"/>
  <c r="F11" i="15"/>
  <c r="F11" i="69"/>
  <c r="M11" i="69"/>
  <c r="J10" i="69" s="1"/>
  <c r="J5" i="69" s="1"/>
  <c r="F13" i="44"/>
  <c r="C12" i="44" s="1"/>
  <c r="C7" i="44" s="1"/>
  <c r="M13" i="44"/>
  <c r="J12" i="44" s="1"/>
  <c r="J7" i="44" s="1"/>
  <c r="Q67" i="15"/>
  <c r="Q58" i="15"/>
  <c r="Q75" i="15"/>
  <c r="Q62" i="15"/>
  <c r="Q61" i="69"/>
  <c r="Q74" i="69"/>
  <c r="O17" i="46"/>
  <c r="M17" i="46"/>
  <c r="P17" i="46"/>
  <c r="N17" i="46"/>
  <c r="C48" i="15"/>
  <c r="Q67" i="69"/>
  <c r="Q58" i="69"/>
  <c r="F1" i="69"/>
  <c r="Q53" i="69"/>
  <c r="F1" i="15"/>
  <c r="Q53" i="15"/>
  <c r="C48" i="69"/>
  <c r="Q74" i="15"/>
  <c r="Q61" i="15"/>
  <c r="Q75" i="69"/>
  <c r="Q62" i="69"/>
  <c r="AE11" i="1"/>
  <c r="AE7" i="1"/>
  <c r="C26" i="46" l="1"/>
  <c r="B2" i="46" s="1"/>
  <c r="D4" i="46" s="1"/>
  <c r="C27" i="46"/>
  <c r="B4" i="46"/>
  <c r="C18" i="12"/>
  <c r="C23" i="12" s="1"/>
  <c r="R27" i="31"/>
  <c r="R26" i="31"/>
  <c r="S26" i="31" s="1"/>
  <c r="E8" i="12"/>
  <c r="R28" i="31"/>
  <c r="S28" i="31" s="1"/>
  <c r="S24" i="31"/>
  <c r="R25" i="31"/>
  <c r="C8" i="12"/>
  <c r="B3" i="21"/>
  <c r="B2" i="21" s="1"/>
  <c r="C10" i="12" s="1"/>
  <c r="R49" i="39"/>
  <c r="E49" i="39" s="1"/>
  <c r="AA34" i="39"/>
  <c r="S34" i="39"/>
  <c r="H109" i="39"/>
  <c r="I109" i="39" s="1"/>
  <c r="J109" i="39" s="1"/>
  <c r="K109" i="39" s="1"/>
  <c r="L109" i="39" s="1"/>
  <c r="M109" i="39" s="1"/>
  <c r="J34" i="39"/>
  <c r="G53" i="39"/>
  <c r="H53" i="39" s="1"/>
  <c r="C40" i="44"/>
  <c r="C34" i="44"/>
  <c r="C33" i="44" s="1"/>
  <c r="J26" i="15"/>
  <c r="J18" i="15"/>
  <c r="J24" i="15"/>
  <c r="J20" i="44"/>
  <c r="J26" i="44"/>
  <c r="J28" i="44"/>
  <c r="J31" i="44" s="1"/>
  <c r="J26" i="69"/>
  <c r="J18" i="69"/>
  <c r="J24" i="69"/>
  <c r="C20" i="69"/>
  <c r="C26" i="69" s="1"/>
  <c r="C22" i="44"/>
  <c r="C20" i="11"/>
  <c r="C21" i="11" s="1"/>
  <c r="C22" i="11" s="1"/>
  <c r="C23" i="11" s="1"/>
  <c r="B2" i="11" s="1"/>
  <c r="C52" i="69"/>
  <c r="C47" i="69" s="1"/>
  <c r="C10" i="69"/>
  <c r="C5" i="69" s="1"/>
  <c r="C10" i="15"/>
  <c r="C5" i="15" s="1"/>
  <c r="C52" i="15"/>
  <c r="C47" i="15" s="1"/>
  <c r="C20" i="15"/>
  <c r="F24" i="15"/>
  <c r="C24" i="15" s="1"/>
  <c r="F24" i="69"/>
  <c r="C24" i="69" s="1"/>
  <c r="F26" i="44"/>
  <c r="C26" i="44" s="1"/>
  <c r="F26" i="12"/>
  <c r="C27" i="12" s="1"/>
  <c r="D26" i="12" s="1"/>
  <c r="C32" i="12" s="1"/>
  <c r="D30" i="12" s="1"/>
  <c r="F21" i="43"/>
  <c r="F41" i="15"/>
  <c r="F41" i="69"/>
  <c r="B3" i="46" l="1"/>
  <c r="S25" i="31"/>
  <c r="F10" i="12" s="1"/>
  <c r="F8" i="12"/>
  <c r="E10" i="12"/>
  <c r="S27" i="31"/>
  <c r="G10" i="12" s="1"/>
  <c r="G8" i="12"/>
  <c r="AC34" i="39"/>
  <c r="V49" i="39" s="1"/>
  <c r="W34" i="39"/>
  <c r="E53" i="39"/>
  <c r="F53" i="39" s="1"/>
  <c r="E54" i="39"/>
  <c r="F54" i="39" s="1"/>
  <c r="F68" i="15"/>
  <c r="F68" i="69"/>
  <c r="C23" i="69"/>
  <c r="C29" i="69" s="1"/>
  <c r="J29" i="69"/>
  <c r="J29" i="15"/>
  <c r="C59" i="69"/>
  <c r="C65" i="69"/>
  <c r="C59" i="15"/>
  <c r="C65" i="15"/>
  <c r="C23" i="43"/>
  <c r="D21" i="43" s="1"/>
  <c r="C22" i="43"/>
  <c r="C21" i="43" s="1"/>
  <c r="C23" i="15"/>
  <c r="C32" i="15"/>
  <c r="C38" i="15"/>
  <c r="B3" i="11"/>
  <c r="B4" i="11"/>
  <c r="B5" i="11"/>
  <c r="C25" i="44"/>
  <c r="C26" i="15"/>
  <c r="C32" i="69"/>
  <c r="C38" i="69"/>
  <c r="C28" i="44"/>
  <c r="S22" i="31" l="1"/>
  <c r="I49" i="39"/>
  <c r="R50" i="39"/>
  <c r="C31" i="44"/>
  <c r="C38" i="44" s="1"/>
  <c r="C29" i="15"/>
  <c r="C13" i="15" s="1"/>
  <c r="C33" i="69"/>
  <c r="C31" i="69" s="1"/>
  <c r="C36" i="69"/>
  <c r="C13" i="69"/>
  <c r="C56" i="69"/>
  <c r="Q50" i="69"/>
  <c r="J19" i="69"/>
  <c r="J17" i="69" s="1"/>
  <c r="J14" i="69"/>
  <c r="C28" i="43"/>
  <c r="C30" i="43" s="1"/>
  <c r="C32" i="43" s="1"/>
  <c r="B2" i="43" s="1"/>
  <c r="R22" i="31" l="1"/>
  <c r="B21" i="31" s="1"/>
  <c r="B20" i="31"/>
  <c r="C49" i="39"/>
  <c r="C50" i="39"/>
  <c r="I53" i="39"/>
  <c r="J53" i="39" s="1"/>
  <c r="G54" i="39"/>
  <c r="H54" i="39" s="1"/>
  <c r="I54" i="39"/>
  <c r="J54" i="39" s="1"/>
  <c r="Q50" i="15"/>
  <c r="C33" i="15"/>
  <c r="C31" i="15" s="1"/>
  <c r="J14" i="15"/>
  <c r="J13" i="15" s="1"/>
  <c r="J23" i="15" s="1"/>
  <c r="C36" i="15"/>
  <c r="C15" i="44"/>
  <c r="C43" i="44" s="1"/>
  <c r="C56" i="15"/>
  <c r="C63" i="15" s="1"/>
  <c r="J19" i="15"/>
  <c r="J17" i="15" s="1"/>
  <c r="J21" i="44"/>
  <c r="J19" i="44" s="1"/>
  <c r="J16" i="44"/>
  <c r="J24" i="44" s="1"/>
  <c r="J22" i="69"/>
  <c r="J13" i="69"/>
  <c r="J23" i="69" s="1"/>
  <c r="C37" i="69"/>
  <c r="C30" i="69" s="1"/>
  <c r="C39" i="69" s="1"/>
  <c r="Q71" i="69"/>
  <c r="C55" i="69"/>
  <c r="C64" i="69" s="1"/>
  <c r="J35" i="69"/>
  <c r="B3" i="43"/>
  <c r="B4" i="43"/>
  <c r="B5" i="43"/>
  <c r="C60" i="69"/>
  <c r="C58" i="69" s="1"/>
  <c r="C63" i="69"/>
  <c r="C37" i="15"/>
  <c r="C55" i="15"/>
  <c r="C64" i="15" s="1"/>
  <c r="Q71" i="15"/>
  <c r="J35" i="15"/>
  <c r="B66" i="39" l="1"/>
  <c r="F66" i="39" s="1"/>
  <c r="B62" i="39"/>
  <c r="F62" i="39" s="1"/>
  <c r="B58" i="39"/>
  <c r="F58" i="39" s="1"/>
  <c r="B63" i="39"/>
  <c r="F63" i="39" s="1"/>
  <c r="B60" i="39"/>
  <c r="F60" i="39" s="1"/>
  <c r="B65" i="39"/>
  <c r="F65" i="39" s="1"/>
  <c r="B64" i="39"/>
  <c r="F64" i="39" s="1"/>
  <c r="B67" i="39"/>
  <c r="F67" i="39" s="1"/>
  <c r="B61" i="39"/>
  <c r="F61" i="39" s="1"/>
  <c r="B59" i="39"/>
  <c r="F59" i="39" s="1"/>
  <c r="C60" i="15"/>
  <c r="C58" i="15" s="1"/>
  <c r="C57" i="15" s="1"/>
  <c r="C66" i="15" s="1"/>
  <c r="C67" i="15" s="1"/>
  <c r="J15" i="44"/>
  <c r="J25" i="44" s="1"/>
  <c r="J18" i="44" s="1"/>
  <c r="J27" i="44" s="1"/>
  <c r="J22" i="15"/>
  <c r="J16" i="15" s="1"/>
  <c r="J25" i="15" s="1"/>
  <c r="C30" i="15"/>
  <c r="C39" i="15" s="1"/>
  <c r="C40" i="15" s="1"/>
  <c r="C39" i="44"/>
  <c r="C32" i="44" s="1"/>
  <c r="C42" i="44" s="1"/>
  <c r="C44" i="44" s="1"/>
  <c r="C45" i="44" s="1"/>
  <c r="B2" i="44" s="1"/>
  <c r="B3" i="44" s="1"/>
  <c r="J16" i="69"/>
  <c r="J25" i="69" s="1"/>
  <c r="C40" i="69"/>
  <c r="Q70" i="69"/>
  <c r="Q69" i="69" s="1"/>
  <c r="J39" i="69"/>
  <c r="J40" i="69" s="1"/>
  <c r="C57" i="69"/>
  <c r="C66" i="69" s="1"/>
  <c r="C67" i="69" s="1"/>
  <c r="L51" i="69"/>
  <c r="L51" i="15"/>
  <c r="F68" i="39" l="1"/>
  <c r="B2" i="39" s="1"/>
  <c r="J39" i="15"/>
  <c r="J40" i="15" s="1"/>
  <c r="Q70" i="15"/>
  <c r="Q69" i="15" s="1"/>
  <c r="B4" i="44"/>
  <c r="B5" i="44"/>
  <c r="Q68" i="69"/>
  <c r="Q68" i="15"/>
  <c r="C70" i="69"/>
  <c r="C46" i="69"/>
  <c r="Q66" i="69"/>
  <c r="Q76" i="69" s="1"/>
  <c r="Q57" i="69"/>
  <c r="Q63" i="69" s="1"/>
  <c r="B2" i="69"/>
  <c r="C43" i="69"/>
  <c r="Q48" i="69"/>
  <c r="Q54" i="69" s="1"/>
  <c r="J42" i="69"/>
  <c r="J43" i="69" s="1"/>
  <c r="C70" i="15"/>
  <c r="C46" i="15"/>
  <c r="B2" i="15"/>
  <c r="Q57" i="15"/>
  <c r="Q63" i="15" s="1"/>
  <c r="Q66" i="15"/>
  <c r="Q76" i="15" s="1"/>
  <c r="C43" i="15"/>
  <c r="Q48" i="15"/>
  <c r="Q54" i="15" s="1"/>
  <c r="J42" i="15"/>
  <c r="J43" i="15" s="1"/>
  <c r="C19" i="9"/>
  <c r="L43" i="9" l="1"/>
  <c r="B4" i="39"/>
  <c r="B5" i="39"/>
  <c r="B3" i="39"/>
  <c r="H10" i="12"/>
  <c r="B3" i="15"/>
  <c r="H8" i="12" s="1"/>
  <c r="D10" i="12"/>
  <c r="B3" i="69"/>
  <c r="D8" i="12" s="1"/>
  <c r="C20" i="9"/>
  <c r="C21" i="9"/>
  <c r="C6" i="12" l="1"/>
  <c r="C29" i="12" s="1"/>
  <c r="C24" i="12" l="1"/>
  <c r="C35" i="12" s="1"/>
  <c r="C33" i="12" s="1"/>
  <c r="C28" i="12" l="1"/>
  <c r="C26" i="12" s="1"/>
  <c r="C31" i="12" s="1"/>
  <c r="C30" i="12" s="1"/>
  <c r="C36" i="12" s="1"/>
  <c r="B2" i="12" s="1"/>
  <c r="B3" i="12" s="1"/>
  <c r="D20" i="9"/>
  <c r="D19" i="9"/>
  <c r="B5" i="12" l="1"/>
  <c r="G19" i="9"/>
  <c r="C32" i="9" s="1"/>
  <c r="L44" i="9"/>
  <c r="D22" i="9"/>
  <c r="B4" i="12"/>
  <c r="G20" i="9"/>
  <c r="D21" i="9"/>
  <c r="G22" i="9" l="1"/>
  <c r="N43" i="9"/>
  <c r="G21" i="9"/>
  <c r="O38" i="9"/>
  <c r="C34" i="9"/>
  <c r="O43" i="9"/>
  <c r="C42" i="9"/>
  <c r="C33" i="9"/>
  <c r="C35" i="9"/>
  <c r="F42" i="9" s="1"/>
  <c r="M38" i="9" l="1"/>
  <c r="K27" i="9" s="1"/>
  <c r="E42" i="9"/>
  <c r="P5" i="54" s="1"/>
  <c r="B46" i="63" s="1"/>
  <c r="D14" i="66"/>
  <c r="R5" i="54"/>
  <c r="B48" i="63" s="1"/>
  <c r="D63" i="9"/>
  <c r="C44" i="9"/>
  <c r="N68" i="9"/>
  <c r="N38" i="9"/>
  <c r="K28" i="9" s="1"/>
  <c r="D42" i="9"/>
  <c r="Q5" i="54" s="1"/>
  <c r="B47" i="63" s="1"/>
  <c r="K25" i="9"/>
  <c r="K26" i="9"/>
  <c r="G14" i="66" l="1"/>
  <c r="B6" i="66" s="1"/>
  <c r="O39" i="9"/>
  <c r="D44" i="9"/>
  <c r="F44" i="9"/>
  <c r="N69" i="9"/>
  <c r="E44" i="9"/>
  <c r="C96" i="9"/>
  <c r="C91" i="9" s="1"/>
  <c r="C103" i="9"/>
  <c r="C90" i="9"/>
  <c r="C111" i="9"/>
  <c r="C104" i="9" s="1"/>
  <c r="D71" i="9"/>
  <c r="D66" i="9" s="1"/>
  <c r="N72" i="9" s="1"/>
  <c r="D77" i="9"/>
  <c r="N75" i="9" s="1"/>
  <c r="D70" i="9"/>
  <c r="C82" i="9"/>
  <c r="C81" i="9" s="1"/>
  <c r="C85" i="9" s="1"/>
  <c r="C86" i="9" s="1"/>
  <c r="D72" i="9" s="1"/>
  <c r="E14" i="66"/>
  <c r="F14" i="66"/>
  <c r="B5" i="66"/>
  <c r="C97" i="9" l="1"/>
  <c r="C113" i="9"/>
  <c r="K29" i="9"/>
  <c r="K30" i="9" s="1"/>
  <c r="R6" i="54"/>
  <c r="B50" i="63" s="1"/>
  <c r="C5" i="66"/>
  <c r="D5" i="66"/>
  <c r="C98" i="9"/>
  <c r="E98" i="9" s="1"/>
  <c r="E99" i="9" s="1"/>
  <c r="M86" i="9"/>
  <c r="N86" i="9" s="1"/>
  <c r="M84" i="9"/>
  <c r="N84" i="9" s="1"/>
  <c r="M88" i="9"/>
  <c r="N88" i="9" s="1"/>
  <c r="M87" i="9"/>
  <c r="N87" i="9" s="1"/>
  <c r="M85" i="9"/>
  <c r="N85" i="9" s="1"/>
  <c r="M83" i="9"/>
  <c r="N83" i="9" s="1"/>
  <c r="C6" i="66"/>
  <c r="D6" i="66"/>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<sst xmlns="http://schemas.openxmlformats.org/spreadsheetml/2006/main" count="8032" uniqueCount="3290">
  <si>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</si>
  <si>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</si>
  <si>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</si>
  <si>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</si>
  <si>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</si>
  <si>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</si>
  <si>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</si>
  <si>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</si>
  <si>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</si>
  <si>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</si>
  <si>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</si>
  <si>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</si>
  <si>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</si>
  <si>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</si>
  <si>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</si>
  <si>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</si>
  <si>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</si>
  <si>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</si>
  <si>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</si>
  <si>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</si>
  <si>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</si>
  <si>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</si>
  <si>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</si>
  <si>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</si>
  <si>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</si>
  <si>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</si>
  <si>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</si>
  <si>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</si>
  <si>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</si>
  <si>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</si>
  <si>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</si>
  <si>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</si>
  <si>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</si>
  <si>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</si>
  <si>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</si>
  <si>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</si>
  <si>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</si>
  <si>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</si>
  <si>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</si>
  <si>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</si>
  <si>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</si>
  <si>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</si>
  <si>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</si>
  <si>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</si>
  <si>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</si>
  <si>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</si>
  <si>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</si>
  <si>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</si>
  <si>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</si>
  <si>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</si>
  <si>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</si>
  <si>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</si>
  <si>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</si>
  <si>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</si>
  <si>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</si>
  <si>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</si>
  <si>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</si>
  <si>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</si>
  <si>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</si>
  <si>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</si>
  <si>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</si>
  <si>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</si>
  <si>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</si>
  <si>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</si>
  <si>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</si>
  <si>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</si>
  <si>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</si>
  <si>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</si>
  <si>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</si>
  <si>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</si>
  <si>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</si>
  <si>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</si>
  <si>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</si>
  <si>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</si>
  <si>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</si>
  <si>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</si>
  <si>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</si>
  <si>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</si>
  <si>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</si>
  <si>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</si>
  <si>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</si>
  <si>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</si>
  <si>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</si>
  <si>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</si>
  <si>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</si>
  <si>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</si>
  <si>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</si>
  <si>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</si>
  <si>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</si>
  <si>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</si>
  <si>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</si>
  <si>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</si>
  <si>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</si>
  <si>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</si>
  <si>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</si>
  <si>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</si>
  <si>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</si>
  <si>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</si>
  <si>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</si>
  <si>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</si>
  <si>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</si>
  <si>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</si>
  <si>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</si>
  <si>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</si>
  <si>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</si>
  <si>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</si>
  <si>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</si>
  <si>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</si>
  <si>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</si>
  <si>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</si>
  <si>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</si>
  <si>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</si>
  <si>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</si>
  <si>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</si>
  <si>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</si>
  <si>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</si>
  <si>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</si>
  <si>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</si>
  <si>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</si>
  <si>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</si>
  <si>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</si>
  <si>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</si>
  <si>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</si>
  <si>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</si>
  <si>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</si>
  <si>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</si>
  <si>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</si>
  <si>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</si>
  <si>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</si>
  <si>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</si>
  <si>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</si>
  <si>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</si>
  <si>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</si>
  <si>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</si>
  <si>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</si>
  <si>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</si>
  <si>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</si>
  <si>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</si>
  <si>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</si>
  <si>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</si>
  <si>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</si>
  <si>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</si>
  <si>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</si>
  <si>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</si>
  <si>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</si>
  <si>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</si>
  <si>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</si>
  <si>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</si>
  <si>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</si>
  <si>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</si>
  <si>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</si>
  <si>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</si>
  <si>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</si>
  <si>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</si>
  <si>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</si>
  <si>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</si>
  <si>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</si>
  <si>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</si>
  <si>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</si>
  <si>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</si>
  <si>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</si>
  <si>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</si>
  <si>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</si>
  <si>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</si>
  <si>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</si>
  <si>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</si>
  <si>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</si>
  <si>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</si>
  <si>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</si>
  <si>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</si>
  <si>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</si>
  <si>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</si>
  <si>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</si>
  <si>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</si>
  <si>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</si>
  <si>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</si>
  <si>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</si>
  <si>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</si>
  <si>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</si>
  <si>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</si>
  <si>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</si>
  <si>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</si>
  <si>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</si>
  <si>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</si>
  <si>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</si>
  <si>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</si>
  <si>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</si>
  <si>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</si>
  <si>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</si>
  <si>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</si>
  <si>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</si>
  <si>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</si>
  <si>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</si>
  <si>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</si>
  <si>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</si>
  <si>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</si>
  <si>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</si>
  <si>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</si>
  <si>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</si>
  <si>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</si>
  <si>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</si>
  <si>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</si>
  <si>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</si>
  <si>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</si>
  <si>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</si>
  <si>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</si>
  <si>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</si>
  <si>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</si>
  <si>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</si>
  <si>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</si>
  <si>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</si>
  <si>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</si>
  <si>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</si>
  <si>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</si>
  <si>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</si>
  <si>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</si>
  <si>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</si>
  <si>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</si>
  <si>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</si>
  <si>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</si>
  <si>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</si>
  <si>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</si>
  <si>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</si>
  <si>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</si>
  <si>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</si>
  <si>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</si>
  <si>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</si>
  <si>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</si>
  <si>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</si>
  <si>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</si>
  <si>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</si>
  <si>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</si>
  <si>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</si>
  <si>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</si>
  <si>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</si>
  <si>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</si>
  <si>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</si>
  <si>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</si>
  <si>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</si>
  <si>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</si>
  <si>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</si>
  <si>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</si>
  <si>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</si>
  <si>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</si>
  <si>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</si>
  <si>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</si>
  <si>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</si>
  <si>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</si>
  <si>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</si>
  <si>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</si>
  <si>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</si>
  <si>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</si>
  <si>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</si>
  <si>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</si>
  <si>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</si>
  <si>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</si>
  <si>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</si>
  <si>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</si>
  <si>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</si>
  <si>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</si>
  <si>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</si>
  <si>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</si>
  <si>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</si>
  <si>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</si>
  <si>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</si>
  <si>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</si>
  <si>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</si>
  <si>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</si>
  <si>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</si>
  <si>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</si>
  <si>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</si>
  <si>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</si>
  <si>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</si>
  <si>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</si>
  <si>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</si>
  <si>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</si>
  <si>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</si>
  <si>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</si>
  <si>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</si>
  <si>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</si>
  <si>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</si>
  <si>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</si>
  <si>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</si>
  <si>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</si>
  <si>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</si>
  <si>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</si>
  <si>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</si>
  <si>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</si>
  <si>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</si>
  <si>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</si>
  <si>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</si>
  <si>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</si>
  <si>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</si>
  <si>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</si>
  <si>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</si>
  <si>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</si>
  <si>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</si>
  <si>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</si>
  <si>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</si>
  <si>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</si>
  <si>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</si>
  <si>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</si>
  <si>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</si>
  <si>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</si>
  <si>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</si>
  <si>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</si>
  <si>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</si>
  <si>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</si>
  <si>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</si>
  <si>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</si>
  <si>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</si>
  <si>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</si>
  <si>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</si>
  <si>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</si>
  <si>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</si>
  <si>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</si>
  <si>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</si>
  <si>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</si>
  <si>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</si>
  <si>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</si>
  <si>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</si>
  <si>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</si>
  <si>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</si>
  <si>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</si>
  <si>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</si>
  <si>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</si>
  <si>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</si>
  <si>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</si>
  <si>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</si>
  <si>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</si>
  <si>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</si>
  <si>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</si>
  <si>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</si>
  <si>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</si>
  <si>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</si>
  <si>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</si>
  <si>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</si>
  <si>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</si>
  <si>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</si>
  <si>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</si>
  <si>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</si>
  <si>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</si>
  <si>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</si>
  <si>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</si>
  <si>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</si>
  <si>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</si>
  <si>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</si>
  <si>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</si>
  <si>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</si>
  <si>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</si>
  <si>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</si>
  <si>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</si>
  <si>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</si>
  <si>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</si>
  <si>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</si>
  <si>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</si>
  <si>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</si>
  <si>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</si>
  <si>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</si>
  <si>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</si>
  <si>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</si>
  <si>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</si>
  <si>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</si>
  <si>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</si>
  <si>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</si>
  <si>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</si>
  <si>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</si>
  <si>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</si>
  <si>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</si>
  <si>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</si>
  <si>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</si>
  <si>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</si>
  <si>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</si>
  <si>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</si>
  <si>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</si>
  <si>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</si>
  <si>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</si>
  <si>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</si>
  <si>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</si>
  <si>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</si>
  <si>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</si>
  <si>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</si>
  <si>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</si>
  <si>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</si>
  <si>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</si>
  <si>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</si>
  <si>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</si>
  <si>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</si>
  <si>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</si>
  <si>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</si>
  <si>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</si>
  <si>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</si>
  <si>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</si>
  <si>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</si>
  <si>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</si>
  <si>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</si>
  <si>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</si>
  <si>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</si>
  <si>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</si>
  <si>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</si>
  <si>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</si>
  <si>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</si>
  <si>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</si>
  <si>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</si>
  <si>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</si>
  <si>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</si>
  <si>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</si>
  <si>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</si>
  <si>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</si>
  <si>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</si>
  <si>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</si>
  <si>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</si>
  <si>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</si>
  <si>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</si>
  <si>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</si>
  <si>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</si>
  <si>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</si>
  <si>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</si>
  <si>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</si>
  <si>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</si>
  <si>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</si>
  <si>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</si>
  <si>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</si>
  <si>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</si>
  <si>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</si>
  <si>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</si>
  <si>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</si>
  <si>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</si>
  <si>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</si>
  <si>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</si>
  <si>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</si>
  <si>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</si>
  <si>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</si>
  <si>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</si>
  <si>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</si>
  <si>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</si>
  <si>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</si>
  <si>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</si>
  <si>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</si>
  <si>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</si>
  <si>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</si>
  <si>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</si>
  <si>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</si>
  <si>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</si>
  <si>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</si>
  <si>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</si>
  <si>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</si>
  <si>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</si>
  <si>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</si>
  <si>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</si>
  <si>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</si>
  <si>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</si>
  <si>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</si>
  <si>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</si>
  <si>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</si>
  <si>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</si>
  <si>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</si>
  <si>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</si>
  <si>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</si>
  <si>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</si>
  <si>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</si>
  <si>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</si>
  <si>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</si>
  <si>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</si>
  <si>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</si>
  <si>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</si>
  <si>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</si>
  <si>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</si>
  <si>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</si>
  <si>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</si>
  <si>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</si>
  <si>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</si>
  <si>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</si>
  <si>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</si>
  <si>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</si>
  <si>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</si>
  <si>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</si>
  <si>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</si>
  <si>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</si>
  <si>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</si>
  <si>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</si>
  <si>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</si>
  <si>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</si>
  <si>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</si>
  <si>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</si>
  <si>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</si>
  <si>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</si>
  <si>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</si>
  <si>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</si>
  <si>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</si>
  <si>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</si>
  <si>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</si>
  <si>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</si>
  <si>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</si>
  <si>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</si>
  <si>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</si>
  <si>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</si>
  <si>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</si>
  <si>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</si>
  <si>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</si>
  <si>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</si>
  <si>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</si>
  <si>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</si>
  <si>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</si>
  <si>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</si>
  <si>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</si>
  <si>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</si>
  <si>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</si>
  <si>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</si>
  <si>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</si>
  <si>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</si>
  <si>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</si>
  <si>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</si>
  <si>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</si>
  <si>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</si>
  <si>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</si>
  <si>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</si>
  <si>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</si>
  <si>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</si>
  <si>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</si>
  <si>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</si>
  <si>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</si>
  <si>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</si>
  <si>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</si>
  <si>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</si>
  <si>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</si>
  <si>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</si>
  <si>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</si>
  <si>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</si>
  <si>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</si>
  <si>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</si>
  <si>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</si>
  <si>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</si>
  <si>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</si>
  <si>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</si>
  <si>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</si>
  <si>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</si>
  <si>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</si>
  <si>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</si>
  <si>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</si>
  <si>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</si>
  <si>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</si>
  <si>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</si>
  <si>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</si>
  <si>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</si>
  <si>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</si>
  <si>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</si>
  <si>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</si>
  <si>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</si>
  <si>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</si>
  <si>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</si>
  <si>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</si>
  <si>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</si>
  <si>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</si>
  <si>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</si>
  <si>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</si>
  <si>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</si>
  <si>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</si>
  <si>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</si>
  <si>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</si>
  <si>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</si>
  <si>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</si>
  <si>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</si>
  <si>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</si>
  <si>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</si>
  <si>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</si>
  <si>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</si>
  <si>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</si>
  <si>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</si>
  <si>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</si>
  <si>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</si>
  <si>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</si>
  <si>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</si>
  <si>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</si>
  <si>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</si>
  <si>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</si>
  <si>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</si>
  <si>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</si>
  <si>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</si>
  <si>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</si>
  <si>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</si>
  <si>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</si>
  <si>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</si>
  <si>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</si>
  <si>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</si>
  <si>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</si>
  <si>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</si>
  <si>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</si>
  <si>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</si>
  <si>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</si>
  <si>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</si>
  <si>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</si>
  <si>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</si>
  <si>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</si>
  <si>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</si>
  <si>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</si>
  <si>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</si>
  <si>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</si>
  <si>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</si>
  <si>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</si>
  <si>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</si>
  <si>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</si>
  <si>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</si>
  <si>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</si>
  <si>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</si>
  <si>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</si>
  <si>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</si>
  <si>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</si>
  <si>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</si>
  <si>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</si>
  <si>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</si>
  <si>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</si>
  <si>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</si>
  <si>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</si>
  <si>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</si>
  <si>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</si>
  <si>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</si>
  <si>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</si>
  <si>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</si>
  <si>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</si>
  <si>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</si>
  <si>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</si>
  <si>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</si>
  <si>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</si>
  <si>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</si>
  <si>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</si>
  <si>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</si>
  <si>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</si>
  <si>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</si>
  <si>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</si>
  <si>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</si>
  <si>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</si>
  <si>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</si>
  <si>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</si>
  <si>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</si>
  <si>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</si>
  <si>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</si>
  <si>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</si>
  <si>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</si>
  <si>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</si>
  <si>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</si>
  <si>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</si>
  <si>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</si>
  <si>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</si>
  <si>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</si>
  <si>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</si>
  <si>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</si>
  <si>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</si>
  <si>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</si>
  <si>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</si>
  <si>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</si>
  <si>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</si>
  <si>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</si>
  <si>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</si>
  <si>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</si>
  <si>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</si>
  <si>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</si>
  <si>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</si>
  <si>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</si>
  <si>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</si>
  <si>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</si>
  <si>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</si>
  <si>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</si>
  <si>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</si>
  <si>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</si>
  <si>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</si>
  <si>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</si>
  <si>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</si>
  <si>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</si>
  <si>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</si>
  <si>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</si>
  <si>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</si>
  <si>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</si>
  <si>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</si>
  <si>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</si>
  <si>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</si>
  <si>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</si>
  <si>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</si>
  <si>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</si>
  <si>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</si>
  <si>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</si>
  <si>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</si>
  <si>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</si>
  <si>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</si>
  <si>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</si>
  <si>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</si>
  <si>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</si>
  <si>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</si>
  <si>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</si>
  <si>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</si>
  <si>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</si>
  <si>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</si>
  <si>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</si>
  <si>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</si>
  <si>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</si>
  <si>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</si>
  <si>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</si>
  <si>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</si>
  <si>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</si>
  <si>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</si>
  <si>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</si>
  <si>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</si>
  <si>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</si>
  <si>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</si>
  <si>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</si>
  <si>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</si>
  <si>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</si>
  <si>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</si>
  <si>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</si>
  <si>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</si>
  <si>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</si>
  <si>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</si>
  <si>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</si>
  <si>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</si>
  <si>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</si>
  <si>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</si>
  <si>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</si>
  <si>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</si>
  <si>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</si>
  <si>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</si>
  <si>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</si>
  <si>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</si>
  <si>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</si>
  <si>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</si>
  <si>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</si>
  <si>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</si>
  <si>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</si>
  <si>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</si>
  <si>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</si>
  <si>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</si>
  <si>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</si>
  <si>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</si>
  <si>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</si>
  <si>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</si>
  <si>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</si>
  <si>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</si>
  <si>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</si>
  <si>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</si>
  <si>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</si>
  <si>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</si>
  <si>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</si>
  <si>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</si>
  <si>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</si>
  <si>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</si>
  <si>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</si>
  <si>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</si>
  <si>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</si>
  <si>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</si>
  <si>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</si>
  <si>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</si>
  <si>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</si>
  <si>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</si>
  <si>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</si>
  <si>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</si>
  <si>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</si>
  <si>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</si>
  <si>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</si>
  <si>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</si>
  <si>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</si>
  <si>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</si>
  <si>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</si>
  <si>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</si>
  <si>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</si>
  <si>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</si>
  <si>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</si>
  <si>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</si>
  <si>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</si>
  <si>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</si>
  <si>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</si>
  <si>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</si>
  <si>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</si>
  <si>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</si>
  <si>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</si>
  <si>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</si>
  <si>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</si>
  <si>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</si>
  <si>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</si>
  <si>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</si>
  <si>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</si>
  <si>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</si>
  <si>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</si>
  <si>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</si>
  <si>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</si>
  <si>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</si>
  <si>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</si>
  <si>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</si>
  <si>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</si>
  <si>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</si>
  <si>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</si>
  <si>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</si>
  <si>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</si>
  <si>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</si>
  <si>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</si>
  <si>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</si>
  <si>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</si>
  <si>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</si>
  <si>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</si>
  <si>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</si>
  <si>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</si>
  <si>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</si>
  <si>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</si>
  <si>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</si>
  <si>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</si>
  <si>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</si>
  <si>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</si>
  <si>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</si>
  <si>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</si>
  <si>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</si>
  <si>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</si>
  <si>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</si>
  <si>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</si>
  <si>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</si>
  <si>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</si>
  <si>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</si>
  <si>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</si>
  <si>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</si>
  <si>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</si>
  <si>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</si>
  <si>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</si>
  <si>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</si>
  <si>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</si>
  <si>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</si>
  <si>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</si>
  <si>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</si>
  <si>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</si>
  <si>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</si>
  <si>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</si>
  <si>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</si>
  <si>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</si>
  <si>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</si>
  <si>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</si>
  <si>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</si>
  <si>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</si>
  <si>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</si>
  <si>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</si>
  <si>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</si>
  <si>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</si>
  <si>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</si>
  <si>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</si>
  <si>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</si>
  <si>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</si>
  <si>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</si>
  <si>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</si>
  <si>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</si>
  <si>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</si>
  <si>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</si>
  <si>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</si>
  <si>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</si>
  <si>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</si>
  <si>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</si>
  <si>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</si>
  <si>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</si>
  <si>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</si>
  <si>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</si>
  <si>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</si>
  <si>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</si>
  <si>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</si>
  <si>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</si>
  <si>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</si>
  <si>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</si>
  <si>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</si>
  <si>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</si>
  <si>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</si>
  <si>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</si>
  <si>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</si>
  <si>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</si>
  <si>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</si>
  <si>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</si>
  <si>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</si>
  <si>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</si>
  <si>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</si>
  <si>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</si>
  <si>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</si>
  <si>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</si>
  <si>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</si>
  <si>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</si>
  <si>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</si>
  <si>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</si>
  <si>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</si>
  <si>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</si>
  <si>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</si>
  <si>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</si>
  <si>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</si>
  <si>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</si>
  <si>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</si>
  <si>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</si>
  <si>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</si>
  <si>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</si>
  <si>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</si>
  <si>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</si>
  <si>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</si>
  <si>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</si>
  <si>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</si>
  <si>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</si>
  <si>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</si>
  <si>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</si>
  <si>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</si>
  <si>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</si>
  <si>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</si>
  <si>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</si>
  <si>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</si>
  <si>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</si>
  <si>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</si>
  <si>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</si>
  <si>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</si>
  <si>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</si>
  <si>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</si>
  <si>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</si>
  <si>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</si>
  <si>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</si>
  <si>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</si>
  <si>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</si>
  <si>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</si>
  <si>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</si>
  <si>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</si>
  <si>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</si>
  <si>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</si>
  <si>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</si>
  <si>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</si>
  <si>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</si>
  <si>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</si>
  <si>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</si>
  <si>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</si>
  <si>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</si>
  <si>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</si>
  <si>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</si>
  <si>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</si>
  <si>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</si>
  <si>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</si>
  <si>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</si>
  <si>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</si>
  <si>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</si>
  <si>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</si>
  <si>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</si>
  <si>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</si>
  <si>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</si>
  <si>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</si>
  <si>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</si>
  <si>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</si>
  <si>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</si>
  <si>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</si>
  <si>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</si>
  <si>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</si>
  <si>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</si>
  <si>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</si>
  <si>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</si>
  <si>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</si>
  <si>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</si>
  <si>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</si>
  <si>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</si>
  <si>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</si>
  <si>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</si>
  <si>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</si>
  <si>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</si>
  <si>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</si>
  <si>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</si>
  <si>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</si>
  <si>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</si>
  <si>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</si>
  <si>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</si>
  <si>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</si>
  <si>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</si>
  <si>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</si>
  <si>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</si>
  <si>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</si>
  <si>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</si>
  <si>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</si>
  <si>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</si>
  <si>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</si>
  <si>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</si>
  <si>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</si>
  <si>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</si>
  <si>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</si>
  <si>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</si>
  <si>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</si>
  <si>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</si>
  <si>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</si>
  <si>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</si>
  <si>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</si>
  <si>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</si>
  <si>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</si>
  <si>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</si>
  <si>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</si>
  <si>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</si>
  <si>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</si>
  <si>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</si>
  <si>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</si>
  <si>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</si>
  <si>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</si>
  <si>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</si>
  <si>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</si>
  <si>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</si>
  <si>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</si>
  <si>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</si>
  <si>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</si>
  <si>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</si>
  <si>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</si>
  <si>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</si>
  <si>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</si>
  <si>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</si>
  <si>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</si>
  <si>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</si>
  <si>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</si>
  <si>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</si>
  <si>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</si>
  <si>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</si>
  <si>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</si>
  <si>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</si>
  <si>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</si>
  <si>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</si>
  <si>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</si>
  <si>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</si>
  <si>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</si>
  <si>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</si>
  <si>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</si>
  <si>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</si>
  <si>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</si>
  <si>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</si>
  <si>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</si>
  <si>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</si>
  <si>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</si>
  <si>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</si>
  <si>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</si>
  <si>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</si>
  <si>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</si>
  <si>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</si>
  <si>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</si>
  <si>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</si>
  <si>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</si>
  <si>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</si>
  <si>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</si>
  <si>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</si>
  <si>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</si>
  <si>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</si>
  <si>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</si>
  <si>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</si>
  <si>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</si>
  <si>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</si>
  <si>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</si>
  <si>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</si>
  <si>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</si>
  <si>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</si>
  <si>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</si>
  <si>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</si>
  <si>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</si>
  <si>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</si>
  <si>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</si>
  <si>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</si>
  <si>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</si>
  <si>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</si>
  <si>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</si>
  <si>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</si>
  <si>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</si>
  <si>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</si>
  <si>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</si>
  <si>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</si>
  <si>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</si>
  <si>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</si>
  <si>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</si>
  <si>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</si>
  <si>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</si>
  <si>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</si>
  <si>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</si>
  <si>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</si>
  <si>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</si>
  <si>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</si>
  <si>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</si>
  <si>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</si>
  <si>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</si>
  <si>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</si>
  <si>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</si>
  <si>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</si>
  <si>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</si>
  <si>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</si>
  <si>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</si>
  <si>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</si>
  <si>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</si>
  <si>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</si>
  <si>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</si>
  <si>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</si>
  <si>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</si>
  <si>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</si>
  <si>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</si>
  <si>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</si>
  <si>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</si>
  <si>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</si>
  <si>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</si>
  <si>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</si>
  <si>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</si>
  <si>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</si>
  <si>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</si>
  <si>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</si>
  <si>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</si>
  <si>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</si>
  <si>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</si>
  <si>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</si>
  <si>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</si>
  <si>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</si>
  <si>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</si>
  <si>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</si>
  <si>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</si>
  <si>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</si>
  <si>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</si>
  <si>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</si>
  <si>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</si>
  <si>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</si>
  <si>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</si>
  <si>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</si>
  <si>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</si>
  <si>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</si>
  <si>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</si>
  <si>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</si>
  <si>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</si>
  <si>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</si>
  <si>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</si>
  <si>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</si>
  <si>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</si>
  <si>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</si>
  <si>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</si>
  <si>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</si>
  <si>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</si>
  <si>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</si>
  <si>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</si>
  <si>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</si>
  <si>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</si>
  <si>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</si>
  <si>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</si>
  <si>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</si>
  <si>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</si>
  <si>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</si>
  <si>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</si>
  <si>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</si>
  <si>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</si>
  <si>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</si>
  <si>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</si>
  <si>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</si>
  <si>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</si>
  <si>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</si>
  <si>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</si>
  <si>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</si>
  <si>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</si>
  <si>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</si>
  <si>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</si>
  <si>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</si>
  <si>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</si>
  <si>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</si>
  <si>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</si>
  <si>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</si>
  <si>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</si>
  <si>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</si>
  <si>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</si>
  <si>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</si>
  <si>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</si>
  <si>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</si>
  <si>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</si>
  <si>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</si>
  <si>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</si>
  <si>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</si>
  <si>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</si>
  <si>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</si>
  <si>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</si>
  <si>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</si>
  <si>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</si>
  <si>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</si>
  <si>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</si>
  <si>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</si>
  <si>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</si>
  <si>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</si>
  <si>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</si>
  <si>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</si>
  <si>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</si>
  <si>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</si>
  <si>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</si>
  <si>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</si>
  <si>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</si>
  <si>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</si>
  <si>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</si>
  <si>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</si>
  <si>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</si>
  <si>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</si>
  <si>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</si>
  <si>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</si>
  <si>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</si>
  <si>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</si>
  <si>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</si>
  <si>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</si>
  <si>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</si>
  <si>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</si>
  <si>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</si>
  <si>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</si>
  <si>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</si>
  <si>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</si>
  <si>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</si>
  <si>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</si>
  <si>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</si>
  <si>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</si>
  <si>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</si>
  <si>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</si>
  <si>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</si>
  <si>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</si>
  <si>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</si>
  <si>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</si>
  <si>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</si>
  <si>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</si>
  <si>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</si>
  <si>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</si>
  <si>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</si>
  <si>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</si>
  <si>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</si>
  <si>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</si>
  <si>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</si>
  <si>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</si>
  <si>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</si>
  <si>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</si>
  <si>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</si>
  <si>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</si>
  <si>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</si>
  <si>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</si>
  <si>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</si>
  <si>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</si>
  <si>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</si>
  <si>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</si>
  <si>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</si>
  <si>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</si>
  <si>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</si>
  <si>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</si>
  <si>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</si>
  <si>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</si>
  <si>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</si>
  <si>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</si>
  <si>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</si>
  <si>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</si>
  <si>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</si>
  <si>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</si>
  <si>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</si>
  <si>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</si>
  <si>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</si>
  <si>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</si>
  <si>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</si>
  <si>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</si>
  <si>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</si>
  <si>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</si>
  <si>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</si>
  <si>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</si>
  <si>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</si>
  <si>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</si>
  <si>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</si>
  <si>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</si>
  <si>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</si>
  <si>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</si>
  <si>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</si>
  <si>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</si>
  <si>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</si>
  <si>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</si>
  <si>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</si>
  <si>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</si>
  <si>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</si>
  <si>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</si>
  <si>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</si>
  <si>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</si>
  <si>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</si>
  <si>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</si>
  <si>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</si>
  <si>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</si>
  <si>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</si>
  <si>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</si>
  <si>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</si>
  <si>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</si>
  <si>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</si>
  <si>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</si>
  <si>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</si>
  <si>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</si>
  <si>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</si>
  <si>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</si>
  <si>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</si>
  <si>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</si>
  <si>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</si>
  <si>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</si>
  <si>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</si>
  <si>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</si>
  <si>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</si>
  <si>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</si>
  <si>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</si>
  <si>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</si>
  <si>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</si>
  <si>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</si>
  <si>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</si>
  <si>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</si>
  <si>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</si>
  <si>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</si>
  <si>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</si>
  <si>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</si>
  <si>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</si>
  <si>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</si>
  <si>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</si>
  <si>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</si>
  <si>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</si>
  <si>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</si>
  <si>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</si>
  <si>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</si>
  <si>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</si>
  <si>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</si>
  <si>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</si>
  <si>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</si>
  <si>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</si>
  <si>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</si>
  <si>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</si>
  <si>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</si>
  <si>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</si>
  <si>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</si>
  <si>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</si>
  <si>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</si>
  <si>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</si>
  <si>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</si>
  <si>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</si>
  <si>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</si>
  <si>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</si>
  <si>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</si>
  <si>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</si>
  <si>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</si>
  <si>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</si>
  <si>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</si>
  <si>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</si>
  <si>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</si>
  <si>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</si>
  <si>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</si>
  <si>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</si>
  <si>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</si>
  <si>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</si>
  <si>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</si>
  <si>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</si>
  <si>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</si>
  <si>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</si>
  <si>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</si>
  <si>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</si>
  <si>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</si>
  <si>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</si>
  <si>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</si>
  <si>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</si>
  <si>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</si>
  <si>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</si>
  <si>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</si>
  <si>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</si>
  <si>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</si>
  <si>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</si>
  <si>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</si>
  <si>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</si>
  <si>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</si>
  <si>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</si>
  <si>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</si>
  <si>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</si>
  <si>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</si>
  <si>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</si>
  <si>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</si>
  <si>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</si>
  <si>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</si>
  <si>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</si>
  <si>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</si>
  <si>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</si>
  <si>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</si>
  <si>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</si>
  <si>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</si>
  <si>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</si>
  <si>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</si>
  <si>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</si>
  <si>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</si>
  <si>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</si>
  <si>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</si>
  <si>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</si>
  <si>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</si>
  <si>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</si>
  <si>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</si>
  <si>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</si>
  <si>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</si>
  <si>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</si>
  <si>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</si>
  <si>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</si>
  <si>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</si>
  <si>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</si>
  <si>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</si>
  <si>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</si>
  <si>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</si>
  <si>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</si>
  <si>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</si>
  <si>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</si>
  <si>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</si>
  <si>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</si>
  <si>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</si>
  <si>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</si>
  <si>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</si>
  <si>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</si>
  <si>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</si>
  <si>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</si>
  <si>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</si>
  <si>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</si>
  <si>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</si>
  <si>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</si>
  <si>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</si>
  <si>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</si>
  <si>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</si>
  <si>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</si>
  <si>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</si>
  <si>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</si>
  <si>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</si>
  <si>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</si>
  <si>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</si>
  <si>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</si>
  <si>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</si>
  <si>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</si>
  <si>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</si>
  <si>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</si>
  <si>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</si>
  <si>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</si>
  <si>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</si>
  <si>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</si>
  <si>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</si>
  <si>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</si>
  <si>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</si>
  <si>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</si>
  <si>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</si>
  <si>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</si>
  <si>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</si>
  <si>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</si>
  <si>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</si>
  <si>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</si>
  <si>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</si>
  <si>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</si>
  <si>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</si>
  <si>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</si>
  <si>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</si>
  <si>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</si>
  <si>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</si>
  <si>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</si>
  <si>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</si>
  <si>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</si>
  <si>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</si>
  <si>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</si>
  <si>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</si>
  <si>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</si>
  <si>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</si>
  <si>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</si>
  <si>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</si>
  <si>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</si>
  <si>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</si>
  <si>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</si>
  <si>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</si>
  <si>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</si>
  <si>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</si>
  <si>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</si>
  <si>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</si>
  <si>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</si>
  <si>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</si>
  <si>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</si>
  <si>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</si>
  <si>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</si>
  <si>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</si>
  <si>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</si>
  <si>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</si>
  <si>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</si>
  <si>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</si>
  <si>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</si>
  <si>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</si>
  <si>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</si>
  <si>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</si>
  <si>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</si>
  <si>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</si>
  <si>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</si>
  <si>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</si>
  <si>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</si>
  <si>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</si>
  <si>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</si>
  <si>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</si>
  <si>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</si>
  <si>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</si>
  <si>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</si>
  <si>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</si>
  <si>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</si>
  <si>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</si>
  <si>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</si>
  <si>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</si>
  <si>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</si>
  <si>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</si>
  <si>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</si>
  <si>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</si>
  <si>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</si>
  <si>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</si>
  <si>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</si>
  <si>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</si>
  <si>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</si>
  <si>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</si>
  <si>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</si>
  <si>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</si>
  <si>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</si>
  <si>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</si>
  <si>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</si>
  <si>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</si>
  <si>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</si>
  <si>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</si>
  <si>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</si>
  <si>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</si>
  <si>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</si>
  <si>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</si>
  <si>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</si>
  <si>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</si>
  <si>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</si>
  <si>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</si>
  <si>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</si>
  <si>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</si>
  <si>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</si>
  <si>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</si>
  <si>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</si>
  <si>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</si>
  <si>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</si>
  <si>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</si>
  <si>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</si>
  <si>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</si>
  <si>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</si>
  <si>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</si>
  <si>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</si>
  <si>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</si>
  <si>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</si>
  <si>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</si>
  <si>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</si>
  <si>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</si>
  <si>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</si>
  <si>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</si>
  <si>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</si>
  <si>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</si>
  <si>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</si>
  <si>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</si>
  <si>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</si>
  <si>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</si>
  <si>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</si>
  <si>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</si>
  <si>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</si>
  <si>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</si>
  <si>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</si>
  <si>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</si>
  <si>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</si>
  <si>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</si>
  <si>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</si>
  <si>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</si>
  <si>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</si>
  <si>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</si>
  <si>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</si>
  <si>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</si>
  <si>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</si>
  <si>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</si>
  <si>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</si>
  <si>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</si>
  <si>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</si>
  <si>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</si>
  <si>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</si>
  <si>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</si>
  <si>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</si>
  <si>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</si>
  <si>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</si>
  <si>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</si>
  <si>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</si>
  <si>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</si>
  <si>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</si>
  <si>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</si>
  <si>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</si>
  <si>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</si>
  <si>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</si>
  <si>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</si>
  <si>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</si>
  <si>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</si>
  <si>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</si>
  <si>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</si>
  <si>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</si>
  <si>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</si>
  <si>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</si>
  <si>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</si>
  <si>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</si>
  <si>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</si>
  <si>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</si>
  <si>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</si>
  <si>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</si>
  <si>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</si>
  <si>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</si>
  <si>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</si>
  <si>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</si>
  <si>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</si>
  <si>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</si>
  <si>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</si>
  <si>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</si>
  <si>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</si>
  <si>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</si>
  <si>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</si>
  <si>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</si>
  <si>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</si>
  <si>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</si>
  <si>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</si>
  <si>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</si>
  <si>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</si>
  <si>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</si>
  <si>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</si>
  <si>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</si>
  <si>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</si>
  <si>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</si>
  <si>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</si>
  <si>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</si>
  <si>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</si>
  <si>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</si>
  <si>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</si>
  <si>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</si>
  <si>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</si>
  <si>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</si>
  <si>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</si>
  <si>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</si>
  <si>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</si>
  <si>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</si>
  <si>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</si>
  <si>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</si>
  <si>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</si>
  <si>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</si>
  <si>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</si>
  <si>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</si>
  <si>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</si>
  <si>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</si>
  <si>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</si>
  <si>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</si>
  <si>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</si>
  <si>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</si>
  <si>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</si>
  <si>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</si>
  <si>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</si>
  <si>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</si>
  <si>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</si>
  <si>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</si>
  <si>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</si>
  <si>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</si>
  <si>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</si>
  <si>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</si>
  <si>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</si>
  <si>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</si>
  <si>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</si>
  <si>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</si>
  <si>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</si>
  <si>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</si>
  <si>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</si>
  <si>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</si>
  <si>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</si>
  <si>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</si>
  <si>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</si>
  <si>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</si>
  <si>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</si>
  <si>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</si>
  <si>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</si>
  <si>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</si>
  <si>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</si>
  <si>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</si>
  <si>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</si>
  <si>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</si>
  <si>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</si>
  <si>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</si>
  <si>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</si>
  <si>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</si>
  <si>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</si>
  <si>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</si>
  <si>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</si>
  <si>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</si>
  <si>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</si>
  <si>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</si>
  <si>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</si>
  <si>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</si>
  <si>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</si>
  <si>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</si>
  <si>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</si>
  <si>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</si>
  <si>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</si>
  <si>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</si>
  <si>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</si>
  <si>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</si>
  <si>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</si>
  <si>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</si>
  <si>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</si>
  <si>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</si>
  <si>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</si>
  <si>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</si>
  <si>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</si>
  <si>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</si>
  <si>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</si>
  <si>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</si>
  <si>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</si>
  <si>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</si>
  <si>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</si>
  <si>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</si>
  <si>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</si>
  <si>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</si>
  <si>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</si>
  <si>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</si>
  <si>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</si>
  <si>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</si>
  <si>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</si>
  <si>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</si>
  <si>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</si>
  <si>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</si>
  <si>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</si>
  <si>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</si>
  <si>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</si>
  <si>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</si>
  <si>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</si>
  <si>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</si>
  <si>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</si>
  <si>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</si>
  <si>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</si>
  <si>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</si>
  <si>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</si>
  <si>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</si>
  <si>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</si>
  <si>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</si>
  <si>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</si>
  <si>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</si>
  <si>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</si>
  <si>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</si>
  <si>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</si>
  <si>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</si>
  <si>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</si>
  <si>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</si>
  <si>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</si>
  <si>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</si>
  <si>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</si>
  <si>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</si>
  <si>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</si>
  <si>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</si>
  <si>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</si>
  <si>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</si>
  <si>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</si>
  <si>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</si>
  <si>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</si>
  <si>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</si>
  <si>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</si>
  <si>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</si>
  <si>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</si>
  <si>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</si>
  <si>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</si>
  <si>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</si>
  <si>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</si>
  <si>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</si>
  <si>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</si>
  <si>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</si>
  <si>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</si>
  <si>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</si>
  <si>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</si>
  <si>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</si>
  <si>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</si>
  <si>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</si>
  <si>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</si>
  <si>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</si>
  <si>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</si>
  <si>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</si>
  <si>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</si>
  <si>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</si>
  <si>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</si>
  <si>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</si>
  <si>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</si>
  <si>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</si>
  <si>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</si>
  <si>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</si>
  <si>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</si>
  <si>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</si>
  <si>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</si>
  <si>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</si>
  <si>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</si>
  <si>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</si>
  <si>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</si>
  <si>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</si>
  <si>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</si>
  <si>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</si>
  <si>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</si>
  <si>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</si>
  <si>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</si>
  <si>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</si>
  <si>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</si>
  <si>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</si>
  <si>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</si>
  <si>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</si>
  <si>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</si>
  <si>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</si>
  <si>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</si>
  <si>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</si>
  <si>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</si>
  <si>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</si>
  <si>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</si>
  <si>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</si>
  <si>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</si>
  <si>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</si>
  <si>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</si>
  <si>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</si>
  <si>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</si>
  <si>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</si>
  <si>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</si>
  <si>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</si>
  <si>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</si>
  <si>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</si>
  <si>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</si>
  <si>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</si>
  <si>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</si>
  <si>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</si>
  <si>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</si>
  <si>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</si>
  <si>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</si>
  <si>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</si>
  <si>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</si>
  <si>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</si>
  <si>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</si>
  <si>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</si>
  <si>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</si>
  <si>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</si>
  <si>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</si>
  <si>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</si>
  <si>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</si>
  <si>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</si>
  <si>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</si>
  <si>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</si>
  <si>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</si>
  <si>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</si>
  <si>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</si>
  <si>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</si>
  <si>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</si>
  <si>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</si>
  <si>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</si>
  <si>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</si>
  <si>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</si>
  <si>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</si>
  <si>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</si>
  <si>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</si>
  <si>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</si>
  <si>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</si>
  <si>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</si>
  <si>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</si>
  <si>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</si>
  <si>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</si>
  <si>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</si>
  <si>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</si>
  <si>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</si>
  <si>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</si>
  <si>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</si>
  <si>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</si>
  <si>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</si>
  <si>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</si>
  <si>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</si>
  <si>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</si>
  <si>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</si>
  <si>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</si>
  <si>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</si>
  <si>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</si>
  <si>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</si>
  <si>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</si>
  <si>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</si>
  <si>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</si>
  <si>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</si>
  <si>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</si>
  <si>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</si>
  <si>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</si>
  <si>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</si>
  <si>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</si>
  <si>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</si>
  <si>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</si>
  <si>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</si>
  <si>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</si>
  <si>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</si>
  <si>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</si>
  <si>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</si>
  <si>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</si>
  <si>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</si>
  <si>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</si>
  <si>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</si>
  <si>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</si>
  <si>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</si>
  <si>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</si>
  <si>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</si>
  <si>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</si>
  <si>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</si>
  <si>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</si>
  <si>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</si>
  <si>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</si>
  <si>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</si>
  <si>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</si>
  <si>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</si>
  <si>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</si>
  <si>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</si>
  <si>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</si>
  <si>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</si>
  <si>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</si>
  <si>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</si>
  <si>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</si>
  <si>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</si>
  <si>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</si>
  <si>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</si>
  <si>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</si>
  <si>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</si>
  <si>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</si>
  <si>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</si>
  <si>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</si>
  <si>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</si>
  <si>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</si>
  <si>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</si>
  <si>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</si>
  <si>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</si>
  <si>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</si>
  <si>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</si>
  <si>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</si>
  <si>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</si>
  <si>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</si>
  <si>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</si>
  <si>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</si>
  <si>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</si>
  <si>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</si>
  <si>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</si>
  <si>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</si>
  <si>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</si>
  <si>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</si>
  <si>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</si>
  <si>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</si>
  <si>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</si>
  <si>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</si>
  <si>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</si>
  <si>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</si>
  <si>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</si>
  <si>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</si>
  <si>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</si>
  <si>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</si>
  <si>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</si>
  <si>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</si>
  <si>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</si>
  <si>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</si>
  <si>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</si>
  <si>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</si>
  <si>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</si>
  <si>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</si>
  <si>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</si>
  <si>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</si>
  <si>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</si>
  <si>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</si>
  <si>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</si>
  <si>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</si>
  <si>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</si>
  <si>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</si>
  <si>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</si>
  <si>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</si>
  <si>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</si>
  <si>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</si>
  <si>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</si>
  <si>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</si>
  <si>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</si>
  <si>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</si>
  <si>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</si>
  <si>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</si>
  <si>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</si>
  <si>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</si>
  <si>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</si>
  <si>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</si>
  <si>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</si>
  <si>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</si>
  <si>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</si>
  <si>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</si>
  <si>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</si>
  <si>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</si>
  <si>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</si>
  <si>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</si>
  <si>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</si>
  <si>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</si>
  <si>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</si>
  <si>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</si>
  <si>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</si>
  <si>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</si>
  <si>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</si>
  <si>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</si>
  <si>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</si>
  <si>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</si>
  <si>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</si>
  <si>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</si>
  <si>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</si>
  <si>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</si>
  <si>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</si>
  <si>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</si>
  <si>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</si>
  <si>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</si>
  <si>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</si>
  <si>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</si>
  <si>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</si>
  <si>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</si>
  <si>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</si>
  <si>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</si>
  <si>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</si>
  <si>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</si>
  <si>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</si>
  <si>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</si>
  <si>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</si>
  <si>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</si>
  <si>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</si>
  <si>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</si>
  <si>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</si>
  <si>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</si>
  <si>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</si>
  <si>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</si>
  <si>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</si>
  <si>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</si>
  <si>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</si>
  <si>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</si>
  <si>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</si>
  <si>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</si>
  <si>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</si>
  <si>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</si>
  <si>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</si>
  <si>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</si>
  <si>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</si>
  <si>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</si>
  <si>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</si>
  <si>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</si>
  <si>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</si>
  <si>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</si>
  <si>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</si>
  <si>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</si>
  <si>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</si>
  <si>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</si>
  <si>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</si>
  <si>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</si>
  <si>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</si>
  <si>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</si>
  <si>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</si>
  <si>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</si>
  <si>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</si>
  <si>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</si>
  <si>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</si>
  <si>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</si>
  <si>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</si>
  <si>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</si>
  <si>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</si>
  <si>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</si>
  <si>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</si>
  <si>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</si>
  <si>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</si>
  <si>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</si>
  <si>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</si>
  <si>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</si>
  <si>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</si>
  <si>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</si>
  <si>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</si>
  <si>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</si>
  <si>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</si>
  <si>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</si>
  <si>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</si>
  <si>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</si>
  <si>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</si>
  <si>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</si>
  <si>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</si>
  <si>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</si>
  <si>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</si>
  <si>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</si>
  <si>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</si>
  <si>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</si>
  <si>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</si>
  <si>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</si>
  <si>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</si>
  <si>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</si>
  <si>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</si>
  <si>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</si>
  <si>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</si>
  <si>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</si>
  <si>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</si>
  <si>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</si>
  <si>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</si>
  <si>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</si>
  <si>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</si>
  <si>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</si>
  <si>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</si>
  <si>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</si>
  <si>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</si>
  <si>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</si>
  <si>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</si>
  <si>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</si>
  <si>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</si>
  <si>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</si>
  <si>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</si>
  <si>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</si>
  <si>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</si>
  <si>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</si>
  <si>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</si>
  <si>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</si>
  <si>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</si>
  <si>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</si>
  <si>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</si>
  <si>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</si>
  <si>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</si>
  <si>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</si>
  <si>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</si>
  <si>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</si>
  <si>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</si>
  <si>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</si>
  <si>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</si>
  <si>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</si>
  <si>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</si>
  <si>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</si>
  <si>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</si>
  <si>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</si>
  <si>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</si>
  <si>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</si>
  <si>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</si>
  <si>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</si>
  <si>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</si>
  <si>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</si>
  <si>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</si>
  <si>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</si>
  <si>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</si>
  <si>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</si>
  <si>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</si>
  <si>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</si>
  <si>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</si>
  <si>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</si>
  <si>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</si>
  <si>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</si>
  <si>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</si>
  <si>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</si>
  <si>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</si>
  <si>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</si>
  <si>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</si>
  <si>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</si>
  <si>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</si>
  <si>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</si>
  <si>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</si>
  <si>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</si>
  <si>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</si>
  <si>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</si>
  <si>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</si>
  <si>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</si>
  <si>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</si>
  <si>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</si>
  <si>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</si>
  <si>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</si>
  <si>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</si>
  <si>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</si>
  <si>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</si>
  <si>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</si>
  <si>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</si>
  <si>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</si>
  <si>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</si>
  <si>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</si>
  <si>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</si>
  <si>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</si>
  <si>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</si>
  <si>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</si>
  <si>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</si>
  <si>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</si>
  <si>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</si>
  <si>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</si>
  <si>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</si>
  <si>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</si>
  <si>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</si>
  <si>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</si>
  <si>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</si>
  <si>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</si>
  <si>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</si>
  <si>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</si>
  <si>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</si>
  <si>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</si>
  <si>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</si>
  <si>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</si>
  <si>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</si>
  <si>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</si>
  <si>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</si>
  <si>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</si>
  <si>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</si>
  <si>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</si>
  <si>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</si>
  <si>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</si>
  <si>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</si>
  <si>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</si>
  <si>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</si>
  <si>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</si>
  <si>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</si>
  <si>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</si>
  <si>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</si>
  <si>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</si>
  <si>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</si>
  <si>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</si>
  <si>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</si>
  <si>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</si>
  <si>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</si>
  <si>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</si>
  <si>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</si>
  <si>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</si>
  <si>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</si>
  <si>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</si>
  <si>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</si>
  <si>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</si>
  <si>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</si>
  <si>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</si>
  <si>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</si>
  <si>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</si>
  <si>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</si>
  <si>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</si>
  <si>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</si>
  <si>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</si>
  <si>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</si>
  <si>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</si>
  <si>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</si>
  <si>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</si>
  <si>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</si>
  <si>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</si>
  <si>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</si>
  <si>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</si>
  <si>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</si>
  <si>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</si>
  <si>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</si>
  <si>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</si>
  <si>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</si>
  <si>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</si>
  <si>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</si>
  <si>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</si>
  <si>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</si>
  <si>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</si>
  <si>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</si>
  <si>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</si>
  <si>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</si>
  <si>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</si>
  <si>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</si>
  <si>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</si>
  <si>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</si>
  <si>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</si>
  <si>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</si>
  <si>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</si>
  <si>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</si>
  <si>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</si>
  <si>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</si>
  <si>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</si>
  <si>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</si>
  <si>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</si>
  <si>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</si>
  <si>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</si>
  <si>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</si>
  <si>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</si>
  <si>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</si>
  <si>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</si>
  <si>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</si>
  <si>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</si>
  <si>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</si>
  <si>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</si>
  <si>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</si>
  <si>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</si>
  <si>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</si>
  <si>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</si>
  <si>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</si>
  <si>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</si>
  <si>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</si>
  <si>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</si>
  <si>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</si>
  <si>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</si>
  <si>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</si>
  <si>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</si>
  <si>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</si>
  <si>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</si>
  <si>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</si>
  <si>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</si>
  <si>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</si>
  <si>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</si>
  <si>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</si>
  <si>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</si>
  <si>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</si>
  <si>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</si>
  <si>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</si>
  <si>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</si>
  <si>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</si>
  <si>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</si>
  <si>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</si>
  <si>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</si>
  <si>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</si>
  <si>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</si>
  <si>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</si>
  <si>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</si>
  <si>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</si>
  <si>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</si>
  <si>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</si>
  <si>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</si>
  <si>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</si>
  <si>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</si>
  <si>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</si>
  <si>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</si>
  <si>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</si>
  <si>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</si>
  <si>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</si>
  <si>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</si>
  <si>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</si>
  <si>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</si>
  <si>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</si>
  <si>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</si>
  <si>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</si>
  <si>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</si>
  <si>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</si>
  <si>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</si>
  <si>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</si>
  <si>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</si>
  <si>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</si>
  <si>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</si>
  <si>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</si>
  <si>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</si>
  <si>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</si>
  <si>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</si>
  <si>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</si>
  <si>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</si>
  <si>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</si>
  <si>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</si>
  <si>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</si>
  <si>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</si>
  <si>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</si>
  <si>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</si>
  <si>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</si>
  <si>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</si>
  <si>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</si>
  <si>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</si>
  <si>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</si>
  <si>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</si>
  <si>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</si>
  <si>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</si>
  <si>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</si>
  <si>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</si>
  <si>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</si>
  <si>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</si>
  <si>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</si>
  <si>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</si>
  <si>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</si>
  <si>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</si>
  <si>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</si>
  <si>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</si>
  <si>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</si>
  <si>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</si>
  <si>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</si>
  <si>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</si>
  <si>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</si>
  <si>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</si>
  <si>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</si>
  <si>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</si>
  <si>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</si>
  <si>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</si>
  <si>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</si>
  <si>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</si>
  <si>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</si>
  <si>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</si>
  <si>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</si>
  <si>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</si>
  <si>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</si>
  <si>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</si>
  <si>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</si>
  <si>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</si>
  <si>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</si>
  <si>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</si>
  <si>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</si>
  <si>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</si>
  <si>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</si>
  <si>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</si>
  <si>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</si>
  <si>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</si>
  <si>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</si>
  <si>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</si>
  <si>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</si>
  <si>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</si>
  <si>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</si>
  <si>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</si>
  <si>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</si>
  <si>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</si>
  <si>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</si>
  <si>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</si>
  <si>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</si>
  <si>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</si>
  <si>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</si>
  <si>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</si>
  <si>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</si>
  <si>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</si>
  <si>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</si>
  <si>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</si>
  <si>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</si>
  <si>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</si>
  <si>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</si>
  <si>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</si>
  <si>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</si>
  <si>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</si>
  <si>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</si>
  <si>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</si>
  <si>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</si>
  <si>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</si>
  <si>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</si>
  <si>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</si>
  <si>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</si>
  <si>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</si>
  <si>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</si>
  <si>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</si>
  <si>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</si>
  <si>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</si>
  <si>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</si>
  <si>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</si>
  <si>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</si>
  <si>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</si>
  <si>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</si>
  <si>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</si>
  <si>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</si>
  <si>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</si>
  <si>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</si>
  <si>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</si>
  <si>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</si>
  <si>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</si>
  <si>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</si>
  <si>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</si>
  <si>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</si>
  <si>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</si>
  <si>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</si>
  <si>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</si>
  <si>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</si>
  <si>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</si>
  <si>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</si>
  <si>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</si>
  <si>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</si>
  <si>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</si>
  <si>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</si>
  <si>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</si>
  <si>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</si>
  <si>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</si>
  <si>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</si>
  <si>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</si>
  <si>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</si>
  <si>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</si>
  <si>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</si>
  <si>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</si>
  <si>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</si>
  <si>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</si>
  <si>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</si>
  <si>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</si>
  <si>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</si>
  <si>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</si>
  <si>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</si>
  <si>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</si>
  <si>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</si>
  <si>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</si>
  <si>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</si>
  <si>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</si>
  <si>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</si>
  <si>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</si>
  <si>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</si>
  <si>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</si>
  <si>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</si>
  <si>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</si>
  <si>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</si>
  <si>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</si>
  <si>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</si>
  <si>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</si>
  <si>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</si>
  <si>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</si>
  <si>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</si>
  <si>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</si>
  <si>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</si>
  <si>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</si>
  <si>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</si>
  <si>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</si>
  <si>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</si>
  <si>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</si>
  <si>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</si>
  <si>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</si>
  <si>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</si>
  <si>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</si>
  <si>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</si>
  <si>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</si>
  <si>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</si>
  <si>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</si>
  <si>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</si>
  <si>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</si>
  <si>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</si>
  <si>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</si>
  <si>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</si>
  <si>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</si>
  <si>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</si>
  <si>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</si>
  <si>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</si>
  <si>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</si>
  <si>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</si>
  <si>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</si>
  <si>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</si>
  <si>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</si>
  <si>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</si>
  <si>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</si>
  <si>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</si>
  <si>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</si>
  <si>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</si>
  <si>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</si>
  <si>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</si>
  <si>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</si>
  <si>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</si>
  <si>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</si>
  <si>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</si>
  <si>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</si>
  <si>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</si>
  <si>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</si>
  <si>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</si>
  <si>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</si>
  <si>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</si>
  <si>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</si>
  <si>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</si>
  <si>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</si>
  <si>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</si>
  <si>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</si>
  <si>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</si>
  <si>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</si>
  <si>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</si>
  <si>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</si>
  <si>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</si>
  <si>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</si>
  <si>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</si>
  <si>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</si>
  <si>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</si>
  <si>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</si>
  <si>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</si>
  <si>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</si>
  <si>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</si>
  <si>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</si>
  <si>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</si>
  <si>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</si>
  <si>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</si>
  <si>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</si>
  <si>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</si>
  <si>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</si>
  <si>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</si>
  <si>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</si>
  <si>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</si>
  <si>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</si>
  <si>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</si>
  <si>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</si>
  <si>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</si>
  <si>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</si>
  <si>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</si>
  <si>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</si>
  <si>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</si>
  <si>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</si>
  <si>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</si>
  <si>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</si>
  <si>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</si>
  <si>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</si>
  <si>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</si>
  <si>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</si>
  <si>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</si>
  <si>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</si>
  <si>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</si>
  <si>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</si>
  <si>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</si>
  <si>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</si>
  <si>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</si>
  <si>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</si>
  <si>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</si>
  <si>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</si>
  <si>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</si>
  <si>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</si>
  <si>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</si>
  <si>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</si>
  <si>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</si>
  <si>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</si>
  <si>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</si>
  <si>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</si>
  <si>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</si>
  <si>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</si>
  <si>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</si>
  <si>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</si>
  <si>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</si>
  <si>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</si>
  <si>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</si>
  <si>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</si>
  <si>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</si>
  <si>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</si>
  <si>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</si>
  <si>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</si>
  <si>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</si>
  <si>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</si>
  <si>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</si>
  <si>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</si>
  <si>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</si>
  <si>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</si>
  <si>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</si>
  <si>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</si>
  <si>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</si>
  <si>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</si>
  <si>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</si>
  <si>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</si>
  <si>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</si>
  <si>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</si>
  <si>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</si>
  <si>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</si>
  <si>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</si>
  <si>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</si>
  <si>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</si>
  <si>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</si>
  <si>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</si>
  <si>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</si>
  <si>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</si>
  <si>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</si>
  <si>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</si>
  <si>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</si>
  <si>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</si>
  <si>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</si>
  <si>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</si>
  <si>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</si>
  <si>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</si>
  <si>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</si>
  <si>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</si>
  <si>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</si>
  <si>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</si>
  <si>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</si>
  <si>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</si>
  <si>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</si>
  <si>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</si>
  <si>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</si>
  <si>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</si>
  <si>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</si>
  <si>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</si>
  <si>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</si>
  <si>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</si>
  <si>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</si>
  <si>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</si>
  <si>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</si>
  <si>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</si>
  <si>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</si>
  <si>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</si>
  <si>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</si>
  <si>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</si>
  <si>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</si>
  <si>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</si>
  <si>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</si>
  <si>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</si>
  <si>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</si>
  <si>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</si>
  <si>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</si>
  <si>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</si>
  <si>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</si>
  <si>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</si>
  <si>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</si>
  <si>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</si>
  <si>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</si>
  <si>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</si>
  <si>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</si>
  <si>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</si>
  <si>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</si>
  <si>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</si>
  <si>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</si>
  <si>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</si>
  <si>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</si>
  <si>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</si>
  <si>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</si>
  <si>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</si>
  <si>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</si>
  <si>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</si>
  <si>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</si>
  <si>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</si>
  <si>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</si>
  <si>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</si>
  <si>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</si>
  <si>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</si>
  <si>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</si>
  <si>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</si>
  <si>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</si>
  <si>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</si>
  <si>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</si>
  <si>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</si>
  <si>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</si>
  <si>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</si>
  <si>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</si>
  <si>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</si>
  <si>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</si>
  <si>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</si>
  <si>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</si>
  <si>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</si>
  <si>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</si>
  <si>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</si>
  <si>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</si>
  <si>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</si>
  <si>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</si>
  <si>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</si>
  <si>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</si>
  <si>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</si>
  <si>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</si>
  <si>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</si>
  <si>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</si>
  <si>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</si>
  <si>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</si>
  <si>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</si>
  <si>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</si>
  <si>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</si>
  <si>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</si>
  <si>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</si>
  <si>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</si>
  <si>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</si>
  <si>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</si>
  <si>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</si>
  <si>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</si>
  <si>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</si>
  <si>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</si>
  <si>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</si>
  <si>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</si>
  <si>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</si>
  <si>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</si>
  <si>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</si>
  <si>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</si>
  <si>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</si>
  <si>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</si>
  <si>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</si>
  <si>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</si>
  <si>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</si>
  <si>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</si>
  <si>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</si>
  <si>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</si>
  <si>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</si>
  <si>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</si>
  <si>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</si>
  <si>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</si>
  <si>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</si>
  <si>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</si>
  <si>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</si>
  <si>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</si>
  <si>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</si>
  <si>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</si>
  <si>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</si>
  <si>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</si>
  <si>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</si>
  <si>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</si>
  <si>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</si>
  <si>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</si>
  <si>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</si>
  <si>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</si>
  <si>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</si>
  <si>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</si>
  <si>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</si>
  <si>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</si>
  <si>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</si>
  <si>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</si>
  <si>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</si>
  <si>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</si>
  <si>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</si>
  <si>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</si>
  <si>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</si>
  <si>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</si>
  <si>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</si>
  <si>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</si>
  <si>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</si>
  <si>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</si>
  <si>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</si>
  <si>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</si>
  <si>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</si>
  <si>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</si>
  <si>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</si>
  <si>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</si>
  <si>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</si>
  <si>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</si>
  <si>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</si>
  <si>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</si>
  <si>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</si>
  <si>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</si>
  <si>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</si>
  <si>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</si>
  <si>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</si>
  <si>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</si>
  <si>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</si>
  <si>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</si>
  <si>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</si>
  <si>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</si>
  <si>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</si>
  <si>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</si>
  <si>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</si>
  <si>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</si>
  <si>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</si>
  <si>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</si>
  <si>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</si>
  <si>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</si>
  <si>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</si>
  <si>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</si>
  <si>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</si>
  <si>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</si>
  <si>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</si>
  <si>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</si>
  <si>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</si>
  <si>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</si>
  <si>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</si>
  <si>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</si>
  <si>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</si>
  <si>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</si>
  <si>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</si>
  <si>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</si>
  <si>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</si>
  <si>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</si>
  <si>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</si>
  <si>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</si>
  <si>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</si>
  <si>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</si>
  <si>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</si>
  <si>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</si>
  <si>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</si>
  <si>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</si>
  <si>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</si>
  <si>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</si>
  <si>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</si>
  <si>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</si>
  <si>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</si>
  <si>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</si>
  <si>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</si>
  <si>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</si>
  <si>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</si>
  <si>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</si>
  <si>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</si>
  <si>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</si>
  <si>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</si>
  <si>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</si>
  <si>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</si>
  <si>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</si>
  <si>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</si>
  <si>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</si>
  <si>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</si>
  <si>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</si>
  <si>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</si>
  <si>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</si>
  <si>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</si>
  <si>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</si>
  <si>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</si>
  <si>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</si>
  <si>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</si>
  <si>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</si>
  <si>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</si>
  <si>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</si>
  <si>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</si>
  <si>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</si>
  <si>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</si>
  <si>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</si>
  <si>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</si>
  <si>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</si>
  <si>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</si>
  <si>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</si>
  <si>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</si>
  <si>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</si>
  <si>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</si>
  <si>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</si>
  <si>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</si>
  <si>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</si>
  <si>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</si>
  <si>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</si>
  <si>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</si>
  <si>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</si>
  <si>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</si>
  <si>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</si>
  <si>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</si>
  <si>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</si>
  <si>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</si>
  <si>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</si>
  <si>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</si>
  <si>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</si>
  <si>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</si>
  <si>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</si>
  <si>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</si>
  <si>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</si>
  <si>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</si>
  <si>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</si>
  <si>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</si>
  <si>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</si>
  <si>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</si>
  <si>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</si>
  <si>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</si>
  <si>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</si>
  <si>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</si>
  <si>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</si>
  <si>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</si>
  <si>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</si>
  <si>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</si>
  <si>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</si>
  <si>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</si>
  <si>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</si>
  <si>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</si>
  <si>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</si>
  <si>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</si>
  <si>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</si>
  <si>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</si>
  <si>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</si>
  <si>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</si>
  <si>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</si>
  <si>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</si>
  <si>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</si>
  <si>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</si>
  <si>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</si>
  <si>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</si>
  <si>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</si>
  <si>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</si>
  <si>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</si>
  <si>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</si>
  <si>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</si>
  <si>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</si>
  <si>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</si>
  <si>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</si>
  <si>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</si>
  <si>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</si>
  <si>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</si>
  <si>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</si>
  <si>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</si>
  <si>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</si>
  <si>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</si>
  <si>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</si>
  <si>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</si>
  <si>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</si>
  <si>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</si>
  <si>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</si>
  <si>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</si>
  <si>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</si>
  <si>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</si>
  <si>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</si>
  <si>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</si>
  <si>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</si>
  <si>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</si>
  <si>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</si>
  <si>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</si>
  <si>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</si>
  <si>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</si>
  <si>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</si>
  <si>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</si>
  <si>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</si>
  <si>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</si>
  <si>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</si>
  <si>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</si>
  <si>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</si>
  <si>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</si>
  <si>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</si>
  <si>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</si>
  <si>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</si>
  <si>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</si>
  <si>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</si>
  <si>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</si>
  <si>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</si>
  <si>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</si>
  <si>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</si>
  <si>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</si>
  <si>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</si>
  <si>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</si>
  <si>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</si>
  <si>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</si>
  <si>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</si>
  <si>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</si>
  <si>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</si>
  <si>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</si>
  <si>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</si>
  <si>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</si>
  <si>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</si>
  <si>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</si>
  <si>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</si>
  <si>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</si>
  <si>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</si>
  <si>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</si>
  <si>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</si>
  <si>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</si>
  <si>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</si>
  <si>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</si>
  <si>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2017-1-0641-P01DYGJ2</t>
    <phoneticPr fontId="6" type="noConversion"/>
  </si>
  <si>
    <t>刘梅</t>
  </si>
  <si>
    <t>吴薇</t>
  </si>
  <si>
    <t>东莞市骏成实业投资有限公司</t>
    <phoneticPr fontId="6" type="noConversion"/>
  </si>
  <si>
    <t>昆仑信托有限责任公司</t>
    <phoneticPr fontId="6" type="noConversion"/>
  </si>
  <si>
    <t>东莞市骏成实业投资有限公司</t>
    <phoneticPr fontId="6" type="noConversion"/>
  </si>
  <si>
    <t>抵押</t>
  </si>
  <si>
    <t>其他：</t>
  </si>
  <si>
    <t>广东省</t>
    <phoneticPr fontId="6" type="noConversion"/>
  </si>
  <si>
    <t>东莞市东坑镇凤大村</t>
    <phoneticPr fontId="6" type="noConversion"/>
  </si>
  <si>
    <t>企业</t>
  </si>
  <si>
    <t>普通商品住房商服用地</t>
    <phoneticPr fontId="6" type="noConversion"/>
  </si>
  <si>
    <t>《国有土地使用证》[东府国用（2013）第特158号、东府国用（2014）第特108号]</t>
    <phoneticPr fontId="6" type="noConversion"/>
  </si>
  <si>
    <t>住宅、商业</t>
  </si>
  <si>
    <t>《国有建设用地使用权出让合同》[电子监管号：4419002014B00528、4419002013B00587号]及附件、《规划指标》</t>
    <phoneticPr fontId="6" type="noConversion"/>
  </si>
  <si>
    <t>住宅、商业、地下车库</t>
    <phoneticPr fontId="6" type="noConversion"/>
  </si>
  <si>
    <t>不一致</t>
  </si>
  <si>
    <t>符合</t>
  </si>
  <si>
    <t>出让</t>
  </si>
  <si>
    <t>商业</t>
  </si>
  <si>
    <t>特158号地块住宅66.5年、商业36.5年、地下车库46.5年；特108号地块住宅66.8年、商业36.7年、地下车库46.8年</t>
    <phoneticPr fontId="6" type="noConversion"/>
  </si>
  <si>
    <t>《规划指标》</t>
    <phoneticPr fontId="3" type="noConversion"/>
  </si>
  <si>
    <t>《国有土地使用证》[东府国用（2013）第特158号、东府国用（2014）第特108号]</t>
    <phoneticPr fontId="3" type="noConversion"/>
  </si>
  <si>
    <t>否</t>
  </si>
  <si>
    <t>居住项目</t>
  </si>
  <si>
    <t>低密度住宅</t>
  </si>
  <si>
    <t>场地未平整</t>
  </si>
  <si>
    <t>宗地内有需要移除的树木</t>
    <phoneticPr fontId="6" type="noConversion"/>
  </si>
  <si>
    <t>平整</t>
  </si>
  <si>
    <t>通上水</t>
  </si>
  <si>
    <t>通电</t>
  </si>
  <si>
    <t>通讯</t>
  </si>
  <si>
    <t>公寓</t>
  </si>
  <si>
    <t>地上</t>
  </si>
  <si>
    <t>普通住宅</t>
  </si>
  <si>
    <t>独立商业</t>
  </si>
  <si>
    <t>底商</t>
  </si>
  <si>
    <t>地下</t>
  </si>
  <si>
    <t>车库</t>
  </si>
  <si>
    <t>高层住宅</t>
    <phoneticPr fontId="7" type="noConversion"/>
  </si>
  <si>
    <t>底商</t>
    <phoneticPr fontId="7" type="noConversion"/>
  </si>
  <si>
    <t>——</t>
    <phoneticPr fontId="3" type="noConversion"/>
  </si>
  <si>
    <t>城市次干道—东兴中路</t>
    <phoneticPr fontId="21" type="noConversion"/>
  </si>
  <si>
    <t>多面临街</t>
  </si>
  <si>
    <t>估价对象名称</t>
    <phoneticPr fontId="3" type="noConversion"/>
  </si>
  <si>
    <t>东莞市东坑镇凤大村</t>
    <phoneticPr fontId="3" type="noConversion"/>
  </si>
  <si>
    <t>住宅</t>
    <phoneticPr fontId="26" type="noConversion"/>
  </si>
  <si>
    <t>住宅、商业</t>
    <phoneticPr fontId="26" type="noConversion"/>
  </si>
  <si>
    <r>
      <rPr>
        <sz val="11"/>
        <color indexed="8"/>
        <rFont val="宋体"/>
        <family val="3"/>
        <charset val="134"/>
      </rPr>
      <t>住宅</t>
    </r>
    <r>
      <rPr>
        <sz val="11"/>
        <color indexed="8"/>
        <rFont val="Arial"/>
        <family val="2"/>
      </rPr>
      <t>66.5</t>
    </r>
    <r>
      <rPr>
        <sz val="11"/>
        <color indexed="8"/>
        <rFont val="宋体"/>
        <family val="3"/>
        <charset val="134"/>
      </rPr>
      <t>年、商业</t>
    </r>
    <r>
      <rPr>
        <sz val="11"/>
        <color indexed="8"/>
        <rFont val="Arial"/>
        <family val="2"/>
      </rPr>
      <t>36.5</t>
    </r>
    <r>
      <rPr>
        <sz val="11"/>
        <color indexed="8"/>
        <rFont val="宋体"/>
        <family val="3"/>
        <charset val="134"/>
      </rPr>
      <t>年、地下车库</t>
    </r>
    <r>
      <rPr>
        <sz val="11"/>
        <color indexed="8"/>
        <rFont val="Arial"/>
        <family val="2"/>
      </rPr>
      <t>46.5</t>
    </r>
    <r>
      <rPr>
        <sz val="11"/>
        <color indexed="8"/>
        <rFont val="宋体"/>
        <family val="3"/>
        <charset val="134"/>
      </rPr>
      <t>年</t>
    </r>
    <phoneticPr fontId="26" type="noConversion"/>
  </si>
  <si>
    <t>较好</t>
  </si>
  <si>
    <t>六通</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</si>
  <si>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</si>
  <si>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</si>
  <si>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</si>
  <si>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</si>
  <si>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</si>
  <si>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</si>
  <si>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</si>
  <si>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</si>
  <si>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</si>
  <si>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</si>
  <si>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</si>
  <si>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</si>
  <si>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</si>
  <si>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</si>
  <si>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</si>
  <si>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三通一平</t>
  </si>
  <si>
    <t>四通一平</t>
    <phoneticPr fontId="26" type="noConversion"/>
  </si>
  <si>
    <t>七通一平</t>
    <phoneticPr fontId="26" type="noConversion"/>
  </si>
  <si>
    <t>六通一平</t>
    <phoneticPr fontId="26" type="noConversion"/>
  </si>
  <si>
    <t>五通一平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</si>
  <si>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</si>
  <si>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</si>
  <si>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</si>
  <si>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</si>
  <si>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</si>
  <si>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</si>
  <si>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商务公寓</t>
    <phoneticPr fontId="7" type="noConversion"/>
  </si>
  <si>
    <t>地上独立商业</t>
    <phoneticPr fontId="7" type="noConversion"/>
  </si>
  <si>
    <t>地下商业（下沉式广场）</t>
    <phoneticPr fontId="7" type="noConversion"/>
  </si>
  <si>
    <t>地下车库</t>
    <phoneticPr fontId="7" type="noConversion"/>
  </si>
  <si>
    <t>高层住宅</t>
  </si>
  <si>
    <t>售价</t>
  </si>
  <si>
    <t>住宅</t>
    <phoneticPr fontId="21"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</si>
  <si>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</si>
  <si>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</si>
  <si>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</si>
  <si>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</si>
  <si>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</si>
  <si>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</si>
  <si>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联排</t>
    <phoneticPr fontId="21" type="noConversion"/>
  </si>
  <si>
    <t>洋房</t>
  </si>
  <si>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</si>
  <si>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</si>
  <si>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</si>
  <si>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</si>
  <si>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</si>
  <si>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</si>
  <si>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</si>
  <si>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</si>
  <si>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</si>
  <si>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</si>
  <si>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</si>
  <si>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</si>
  <si>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</si>
  <si>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</si>
  <si>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</si>
  <si>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</si>
  <si>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</si>
  <si>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</si>
  <si>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普通装修</t>
    <phoneticPr fontId="21" type="noConversion"/>
  </si>
  <si>
    <t>七通一平</t>
    <phoneticPr fontId="21" type="noConversion"/>
  </si>
  <si>
    <t>六通一平</t>
  </si>
  <si>
    <t>六通一平</t>
    <phoneticPr fontId="21" type="noConversion"/>
  </si>
  <si>
    <t>五通一平</t>
    <phoneticPr fontId="21" type="noConversion"/>
  </si>
  <si>
    <t>四通一平</t>
    <phoneticPr fontId="21" type="noConversion"/>
  </si>
  <si>
    <t>三通一平</t>
    <phoneticPr fontId="21" type="noConversion"/>
  </si>
  <si>
    <t>LOFT</t>
    <phoneticPr fontId="21" type="noConversion"/>
  </si>
  <si>
    <t>平层</t>
  </si>
  <si>
    <t>平层</t>
    <phoneticPr fontId="21" type="noConversion"/>
  </si>
  <si>
    <t>正常</t>
  </si>
  <si>
    <t>60-70（含）</t>
  </si>
  <si>
    <t>东田翠湖湾</t>
    <phoneticPr fontId="3" type="noConversion"/>
  </si>
  <si>
    <t>翔龙天地</t>
    <phoneticPr fontId="3" type="noConversion"/>
  </si>
  <si>
    <t>海伦堡.松湖湾</t>
    <phoneticPr fontId="3" type="noConversion"/>
  </si>
  <si>
    <t>周边有东田丽园、世纪康城、丽都花园等居住社区，居住用地比例较大、居住小区规模和社区发展完善程度较好，综合评价居住社区成熟度较好。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</si>
  <si>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路等多条公交线路，区域内有城市次干道公园路，路网较密集，停车便捷程度较好，综合评价交通便捷度较好。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</si>
  <si>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路等多条公交线路，区域内有城市次干道新城大道，路网较密集，停车便捷程度较好，综合评价交通便捷度较好。</t>
    </r>
    <phoneticPr fontId="21" type="noConversion"/>
  </si>
  <si>
    <t>所在区域有银行（中国工商银行(东莞常平欧亚支行)）、医院（常平人民医院）、超市（百佳超级市场(东田丽园分店)）、学校（常平第一小学）及餐饮等设施，公共配套设施齐备情况较好。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</si>
  <si>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</si>
  <si>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</si>
  <si>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路等多条公交线路，区域内有城市次干道东兴东路，路网较密集，停车便捷程度较好，综合评价交通便捷度较好。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</si>
  <si>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</si>
  <si>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所在区有隐贤山庄旅游风景区，绿化较好，自然环境较好；所在区域有昀良艺术馆等设施，人文环境较好；综合评价自然及人文环境较好。</t>
    <phoneticPr fontId="21" type="noConversion"/>
  </si>
  <si>
    <t>所在区有岗梓公园，有水域，自然环境较好；所在区域无博物馆、艺术馆、体育馆等设施，人文环境较差；综合评价自然及人文环境一般。</t>
    <phoneticPr fontId="21" type="noConversion"/>
  </si>
  <si>
    <t>一般</t>
  </si>
  <si>
    <t>估价对象周边有皇家公馆、草塘花园、嘉盈名苑等居住社区，居住用地比例较大、居住小区规模和社区发展完善程度好，综合评价居住社区成熟度好。</t>
    <phoneticPr fontId="3" type="noConversion"/>
  </si>
  <si>
    <t>好</t>
  </si>
  <si>
    <t>皇家公馆</t>
    <phoneticPr fontId="3" type="noConversion"/>
  </si>
  <si>
    <t>商业</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</si>
  <si>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</si>
  <si>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</si>
  <si>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</si>
  <si>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</si>
  <si>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</si>
  <si>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</si>
  <si>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</si>
  <si>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</si>
  <si>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</si>
  <si>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</si>
  <si>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</si>
  <si>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</si>
  <si>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</si>
  <si>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</si>
  <si>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6" type="noConversion"/>
  </si>
  <si>
    <t>独立商业</t>
    <phoneticPr fontId="26" type="noConversion"/>
  </si>
  <si>
    <t>临街商铺</t>
    <phoneticPr fontId="26" type="noConversion"/>
  </si>
  <si>
    <t>住宅底商</t>
  </si>
  <si>
    <t>住宅底商</t>
    <phoneticPr fontId="26" type="noConversion"/>
  </si>
  <si>
    <t>钢结构</t>
    <phoneticPr fontId="26" type="noConversion"/>
  </si>
  <si>
    <t>钢混</t>
    <phoneticPr fontId="26" type="noConversion"/>
  </si>
  <si>
    <t>砖混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</si>
  <si>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</si>
  <si>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</si>
  <si>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</si>
  <si>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</si>
  <si>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</si>
  <si>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</si>
  <si>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</si>
  <si>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</si>
  <si>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</si>
  <si>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</si>
  <si>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皇家公园大道</t>
    <phoneticPr fontId="3" type="noConversion"/>
  </si>
  <si>
    <t>30-40（含）</t>
  </si>
  <si>
    <t>20-30（含）</t>
  </si>
  <si>
    <t>1层</t>
  </si>
  <si>
    <t>位于东坑镇中心城区，周边商业氛围成熟，人流量较大，商业繁华度较好。</t>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</si>
  <si>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</si>
  <si>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</si>
  <si>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所在区有鹰岭公园，绿化较好，自然环境较好；所在区域有东莞市广播大学东坑分校等设施，人文环境较好；综合评价自然及人文环境较好。</t>
    <phoneticPr fontId="26" type="noConversion"/>
  </si>
  <si>
    <t>地上独立商业1层</t>
    <phoneticPr fontId="21" type="noConversion"/>
  </si>
  <si>
    <r>
      <rPr>
        <sz val="10"/>
        <color indexed="8"/>
        <rFont val="宋体"/>
        <family val="3"/>
        <charset val="134"/>
      </rPr>
      <t>地上独立商业</t>
    </r>
    <r>
      <rPr>
        <sz val="10"/>
        <color indexed="8"/>
        <rFont val="Arial"/>
        <family val="2"/>
      </rPr>
      <t>2</t>
    </r>
    <r>
      <rPr>
        <sz val="10"/>
        <color indexed="8"/>
        <rFont val="宋体"/>
        <family val="3"/>
        <charset val="134"/>
      </rPr>
      <t>层</t>
    </r>
    <phoneticPr fontId="21" type="noConversion"/>
  </si>
  <si>
    <t>地下商业（下沉式广场）</t>
    <phoneticPr fontId="21" type="noConversion"/>
  </si>
  <si>
    <t>名称</t>
  </si>
  <si>
    <t>数值</t>
  </si>
  <si>
    <t>单位</t>
  </si>
  <si>
    <t>备注</t>
  </si>
  <si>
    <t>总用地面积</t>
  </si>
  <si>
    <t>㎡</t>
  </si>
  <si>
    <t>总建筑面积</t>
  </si>
  <si>
    <t>公厕</t>
  </si>
  <si>
    <t>10KV开关站</t>
  </si>
  <si>
    <t>社区健康服务站</t>
  </si>
  <si>
    <t>文化室</t>
  </si>
  <si>
    <t>菜市场</t>
  </si>
  <si>
    <t>邮政所</t>
  </si>
  <si>
    <t>垃圾收集站</t>
  </si>
  <si>
    <t>户</t>
  </si>
  <si>
    <t>人</t>
  </si>
  <si>
    <t>东莞东坑中学项目地块技术指标表</t>
    <phoneticPr fontId="3" type="noConversion"/>
  </si>
  <si>
    <t>计容建筑面积</t>
    <phoneticPr fontId="3" type="noConversion"/>
  </si>
  <si>
    <t>其
中</t>
    <phoneticPr fontId="3" type="noConversion"/>
  </si>
  <si>
    <t>1住宅</t>
    <phoneticPr fontId="3" type="noConversion"/>
  </si>
  <si>
    <t>32层，3栋6单元</t>
    <phoneticPr fontId="3" type="noConversion"/>
  </si>
  <si>
    <t>2商务公寓</t>
    <phoneticPr fontId="233" type="noConversion"/>
  </si>
  <si>
    <t>8+1层，首层商铺；单层面积800</t>
    <phoneticPr fontId="233" type="noConversion"/>
  </si>
  <si>
    <t>3商业面积</t>
    <phoneticPr fontId="233" type="noConversion"/>
  </si>
  <si>
    <t>其中</t>
    <phoneticPr fontId="233" type="noConversion"/>
  </si>
  <si>
    <t>一层街区商业</t>
    <phoneticPr fontId="3" type="noConversion"/>
  </si>
  <si>
    <t>二层街区商业</t>
    <phoneticPr fontId="3" type="noConversion"/>
  </si>
  <si>
    <t>一层住宅底商</t>
    <phoneticPr fontId="3" type="noConversion"/>
  </si>
  <si>
    <t>地下商业</t>
    <phoneticPr fontId="233" type="noConversion"/>
  </si>
  <si>
    <t>m2</t>
    <phoneticPr fontId="233" type="noConversion"/>
  </si>
  <si>
    <t>下沉广场附近</t>
    <phoneticPr fontId="233" type="noConversion"/>
  </si>
  <si>
    <t>4公共配套</t>
    <phoneticPr fontId="233" type="noConversion"/>
  </si>
  <si>
    <t>幼儿园</t>
    <phoneticPr fontId="233" type="noConversion"/>
  </si>
  <si>
    <t>用地面积3600m2</t>
    <phoneticPr fontId="233" type="noConversion"/>
  </si>
  <si>
    <t>建设用地规划批准书</t>
    <phoneticPr fontId="3" type="noConversion"/>
  </si>
  <si>
    <t>配套按照东莞市城市规划管理条例配建</t>
    <phoneticPr fontId="3" type="noConversion"/>
  </si>
  <si>
    <t>120~200平米/千人，配套按照东莞市城市规划管理条例配建</t>
    <phoneticPr fontId="3" type="noConversion"/>
  </si>
  <si>
    <t>不计容建筑面积</t>
    <phoneticPr fontId="233" type="noConversion"/>
  </si>
  <si>
    <t>地下室建筑面积</t>
    <phoneticPr fontId="233" type="noConversion"/>
  </si>
  <si>
    <t>按38m2/辆</t>
    <phoneticPr fontId="233" type="noConversion"/>
  </si>
  <si>
    <t>机动车泊位</t>
    <phoneticPr fontId="233" type="noConversion"/>
  </si>
  <si>
    <t>辆</t>
    <phoneticPr fontId="233" type="noConversion"/>
  </si>
  <si>
    <t>按0.8辆/100m2</t>
    <phoneticPr fontId="233" type="noConversion"/>
  </si>
  <si>
    <t>人防建筑面积</t>
    <phoneticPr fontId="233" type="noConversion"/>
  </si>
  <si>
    <t>给合作方地库</t>
    <phoneticPr fontId="233" type="noConversion"/>
  </si>
  <si>
    <t>我方地库</t>
    <phoneticPr fontId="233" type="noConversion"/>
  </si>
  <si>
    <t>容积率</t>
    <phoneticPr fontId="3" type="noConversion"/>
  </si>
  <si>
    <t>首层建筑占地面积</t>
    <phoneticPr fontId="233" type="noConversion"/>
  </si>
  <si>
    <t>建筑密度</t>
    <phoneticPr fontId="3" type="noConversion"/>
  </si>
  <si>
    <t>不大于40%</t>
    <phoneticPr fontId="3" type="noConversion"/>
  </si>
  <si>
    <t>总户数</t>
    <phoneticPr fontId="3" type="noConversion"/>
  </si>
  <si>
    <t>居住人数</t>
    <phoneticPr fontId="3" type="noConversion"/>
  </si>
  <si>
    <t>3.5人/户</t>
    <phoneticPr fontId="233" type="noConversion"/>
  </si>
  <si>
    <t>建筑高度</t>
    <phoneticPr fontId="3" type="noConversion"/>
  </si>
  <si>
    <t>m</t>
    <phoneticPr fontId="3" type="noConversion"/>
  </si>
  <si>
    <t>绿化率</t>
    <phoneticPr fontId="3" type="noConversion"/>
  </si>
  <si>
    <r>
      <t>控规要求不小于2</t>
    </r>
    <r>
      <rPr>
        <sz val="10.5"/>
        <rFont val="宋体"/>
        <family val="3"/>
        <charset val="134"/>
      </rPr>
      <t>5%</t>
    </r>
    <phoneticPr fontId="3" type="noConversion"/>
  </si>
  <si>
    <r>
      <t>m</t>
    </r>
    <r>
      <rPr>
        <sz val="11"/>
        <color theme="1"/>
        <rFont val="宋体"/>
        <family val="3"/>
        <charset val="134"/>
        <scheme val="minor"/>
      </rPr>
      <t>2</t>
    </r>
    <phoneticPr fontId="233" type="noConversion"/>
  </si>
  <si>
    <t>非人防建筑面积</t>
    <phoneticPr fontId="23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</si>
  <si>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</si>
  <si>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</si>
  <si>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层及以上</t>
    </r>
    <phoneticPr fontId="21"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</si>
  <si>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1" type="noConversion"/>
  </si>
  <si>
    <t>2层</t>
  </si>
  <si>
    <t>地下1层</t>
  </si>
  <si>
    <t>不动产收益法-车库</t>
  </si>
  <si>
    <t>自定义</t>
  </si>
  <si>
    <t>商务公寓</t>
  </si>
  <si>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</si>
  <si>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</si>
  <si>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</si>
  <si>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押一</t>
  </si>
  <si>
    <t>地上独立商业</t>
  </si>
  <si>
    <t>地下商业（下沉式广场）</t>
  </si>
  <si>
    <t>东莞地价增长率情况一览表</t>
  </si>
  <si>
    <t>年度</t>
  </si>
  <si>
    <t>季度</t>
  </si>
  <si>
    <t>商服</t>
  </si>
  <si>
    <t>-</t>
  </si>
  <si>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</si>
  <si>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双面临街</t>
  </si>
  <si>
    <t>城市主干道</t>
  </si>
  <si>
    <t>城市支路</t>
  </si>
  <si>
    <t>主</t>
    <phoneticPr fontId="21" type="noConversion"/>
  </si>
  <si>
    <t>支</t>
    <phoneticPr fontId="21" type="noConversion"/>
  </si>
  <si>
    <t>支</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</si>
  <si>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</si>
  <si>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t>较规则</t>
  </si>
  <si>
    <t>项目全部</t>
  </si>
  <si>
    <t>土地</t>
  </si>
  <si>
    <t>比较法-住宅、综合</t>
  </si>
  <si>
    <t>剩余法-待开发</t>
  </si>
  <si>
    <t>一层住宅地商</t>
    <phoneticPr fontId="21" type="noConversion"/>
  </si>
  <si>
    <r>
      <t>0</t>
    </r>
    <r>
      <rPr>
        <sz val="11"/>
        <color theme="1"/>
        <rFont val="宋体"/>
        <family val="3"/>
        <charset val="134"/>
      </rPr>
      <t>（含）</t>
    </r>
    <r>
      <rPr>
        <sz val="11"/>
        <color theme="1"/>
        <rFont val="Arial"/>
        <family val="2"/>
      </rPr>
      <t>-2000</t>
    </r>
    <phoneticPr fontId="26" type="noConversion"/>
  </si>
  <si>
    <r>
      <t>2000</t>
    </r>
    <r>
      <rPr>
        <sz val="11"/>
        <color theme="1"/>
        <rFont val="宋体"/>
        <family val="3"/>
        <charset val="134"/>
      </rPr>
      <t>（含）</t>
    </r>
    <r>
      <rPr>
        <sz val="11"/>
        <color theme="1"/>
        <rFont val="Arial"/>
        <family val="2"/>
      </rPr>
      <t>-4000</t>
    </r>
    <phoneticPr fontId="26" type="noConversion"/>
  </si>
  <si>
    <r>
      <t>4000</t>
    </r>
    <r>
      <rPr>
        <sz val="11"/>
        <color theme="1"/>
        <rFont val="宋体"/>
        <family val="3"/>
        <charset val="134"/>
      </rPr>
      <t>（含）</t>
    </r>
    <r>
      <rPr>
        <sz val="11"/>
        <color theme="1"/>
        <rFont val="Arial"/>
        <family val="2"/>
      </rPr>
      <t>-6000</t>
    </r>
    <phoneticPr fontId="26" type="noConversion"/>
  </si>
  <si>
    <r>
      <t>6000</t>
    </r>
    <r>
      <rPr>
        <sz val="11"/>
        <color theme="1"/>
        <rFont val="宋体"/>
        <family val="3"/>
        <charset val="134"/>
      </rPr>
      <t>（含）</t>
    </r>
    <r>
      <rPr>
        <sz val="11"/>
        <color theme="1"/>
        <rFont val="Arial"/>
        <family val="2"/>
      </rPr>
      <t>-8000</t>
    </r>
    <phoneticPr fontId="26" type="noConversion"/>
  </si>
  <si>
    <r>
      <t>8000</t>
    </r>
    <r>
      <rPr>
        <sz val="11"/>
        <color theme="1"/>
        <rFont val="宋体"/>
        <family val="3"/>
        <charset val="134"/>
      </rPr>
      <t>（含）以上</t>
    </r>
    <phoneticPr fontId="26" type="noConversion"/>
  </si>
  <si>
    <t>商业类型</t>
    <phoneticPr fontId="21" type="noConversion"/>
  </si>
  <si>
    <t>独立商业</t>
    <phoneticPr fontId="21" type="noConversion"/>
  </si>
  <si>
    <t>底商</t>
    <phoneticPr fontId="21" type="noConversion"/>
  </si>
  <si>
    <t>下沉式广场</t>
  </si>
  <si>
    <t>下沉式广场</t>
    <phoneticPr fontId="21" type="noConversion"/>
  </si>
  <si>
    <t>楼面地价</t>
  </si>
  <si>
    <t>城市次干道</t>
  </si>
  <si>
    <t>常平镇上坑村</t>
    <phoneticPr fontId="3" type="noConversion"/>
  </si>
  <si>
    <t>周边有帝豪碧湖花园、新天美地花园、天鹅湖花园等居住社区，居住用地比例较大、居住小区规模和社区发展完善程度较好，综合评价居住社区成熟度较好。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</si>
  <si>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807</t>
    </r>
    <r>
      <rPr>
        <sz val="11"/>
        <rFont val="宋体"/>
        <family val="3"/>
        <charset val="134"/>
      </rPr>
      <t>路、</t>
    </r>
    <r>
      <rPr>
        <sz val="11"/>
        <rFont val="Arial"/>
        <family val="2"/>
      </rPr>
      <t>811</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</si>
  <si>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t>零星有其他用地，对本宗地无不利影响，区域土地利用方向较好。</t>
    <phoneticPr fontId="26" type="noConversion"/>
  </si>
  <si>
    <t>所在区域有银行（东莞市农村商业银行(常平松柏塘分理处)）、医院常平医院分院）、超市（真真百货）、学校（常青学校）及餐饮等设施，公共配套设施齐备情况较好。</t>
    <phoneticPr fontId="21" type="noConversion"/>
  </si>
  <si>
    <t>所在区有石排公园，有水域，绿化较好，自然环境较好；所在区域有体育馆等设施，无博物馆、艺术馆等设施，人文环境一般；综合评价自然及人文环境较好。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</si>
  <si>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</si>
  <si>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城市次干道—环城路</t>
    <phoneticPr fontId="26" type="noConversion"/>
  </si>
  <si>
    <t>企石镇铁炉坑村</t>
    <phoneticPr fontId="3" type="noConversion"/>
  </si>
  <si>
    <t>周边有嘉宏锦城、等居住社区，居住用地比例一般、居住小区规模和社区发展完善程度一般，综合评价居住社区成熟度一般。</t>
    <phoneticPr fontId="21" type="noConversion"/>
  </si>
  <si>
    <t>周边商业氛围成熟度一般，人流量一般，商业繁华度一般。</t>
    <phoneticPr fontId="26" type="noConversion"/>
  </si>
  <si>
    <r>
      <rPr>
        <sz val="11"/>
        <rFont val="宋体"/>
        <family val="3"/>
        <charset val="134"/>
      </rPr>
      <t>周边有</t>
    </r>
    <r>
      <rPr>
        <sz val="11"/>
        <rFont val="Arial"/>
        <family val="2"/>
      </rPr>
      <t>809</t>
    </r>
    <r>
      <rPr>
        <sz val="11"/>
        <rFont val="宋体"/>
        <family val="3"/>
        <charset val="134"/>
      </rPr>
      <t>路、</t>
    </r>
    <r>
      <rPr>
        <sz val="11"/>
        <rFont val="Arial"/>
        <family val="2"/>
      </rPr>
      <t>817</t>
    </r>
    <r>
      <rPr>
        <sz val="11"/>
        <rFont val="宋体"/>
        <family val="3"/>
        <charset val="134"/>
      </rPr>
      <t>路、</t>
    </r>
    <r>
      <rPr>
        <sz val="11"/>
        <rFont val="Arial"/>
        <family val="2"/>
      </rPr>
      <t>822</t>
    </r>
    <r>
      <rPr>
        <sz val="11"/>
        <rFont val="宋体"/>
        <family val="3"/>
        <charset val="134"/>
      </rPr>
      <t>路等多条公交线路，路网较密集，停车便捷程度较好，综合评价交通便捷度较好。</t>
    </r>
    <phoneticPr fontId="21" type="noConversion"/>
  </si>
  <si>
    <t>所在区有春城公园，绿化较好，自然环境较好；所在区域无博物馆、艺术馆等设施，人文环境一般；综合评价自然及人文环境一般。</t>
    <phoneticPr fontId="21" type="noConversion"/>
  </si>
  <si>
    <t>所在区域有银行（中国农业银行(企石支行营业室)）、医院（兴民中医门诊部）、超市（乐福生活超市(企石店)）、学校（企石中学）及餐饮等设施，公共配套设施齐备情况较好。</t>
    <phoneticPr fontId="21" type="noConversion"/>
  </si>
  <si>
    <t>石排镇水贝村</t>
    <phoneticPr fontId="3" type="noConversion"/>
  </si>
  <si>
    <t>周边有东苑花园、锦绣江南、利丰中央公园等居住社区，居住用地比例较大、居住小区规模和社区发展完善程度较好，综合评价居住社区成熟度较好。</t>
    <phoneticPr fontId="21" type="noConversion"/>
  </si>
  <si>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</si>
  <si>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t>所在区域有银行（东莞市农村商业银行(长安街)）、医院（水贝新石卫生站）、超市（万盛百货）、学校（石排中心小学）及餐饮等设施，公共配套设施齐备情况较好。</t>
    <phoneticPr fontId="21" type="noConversion"/>
  </si>
  <si>
    <t>零星有其他用地，对本宗地无不利影响，区域土地利用方向较好。</t>
    <phoneticPr fontId="21" type="noConversion"/>
  </si>
  <si>
    <t>周边商业氛围成熟，人流量较大，商业繁华度较好。</t>
    <phoneticPr fontId="26" type="noConversion"/>
  </si>
  <si>
    <t>城市支路—公园南路</t>
    <phoneticPr fontId="26" type="noConversion"/>
  </si>
  <si>
    <t>海伦堡.松湖湾</t>
    <phoneticPr fontId="3" type="noConversion"/>
  </si>
  <si>
    <t>估价对象位于东坑镇中心城区，周边商业氛围成熟，人流量较大，商业繁华度较好。</t>
    <phoneticPr fontId="3" type="noConversion"/>
  </si>
  <si>
    <t>估价对象周边有811路、829路、东坑1路等多条公交线路，区域内有城市次干道东兴中路，路网较密集，停车便捷程度较好，综合评价交通便捷度较好。</t>
    <phoneticPr fontId="3" type="noConversion"/>
  </si>
  <si>
    <t>估价对象所在区域有银行（东莞市农村商业银行(东坑新市镇分理处)）、医院（东莞市东坑医院）、超市（美惠佳连锁超市）、学校（东莞市东坑镇群英小学）及餐饮等设施，公共配套设施齐备情况较好。</t>
    <phoneticPr fontId="3" type="noConversion"/>
  </si>
  <si>
    <t>估价对象所在区域基础设施水平达“六通”。</t>
    <phoneticPr fontId="3" type="noConversion"/>
  </si>
  <si>
    <t>估价对象所在区有鹰岭公园，绿化较好，自然环境较好；所在区域有东莞市广播大学东坑分校等设施，人文环境较好；综合评价自然及人文环境较好。</t>
    <phoneticPr fontId="3" type="noConversion"/>
  </si>
  <si>
    <t>周边有东田丽园、世纪康城、丽都花园等居住社区，居住用地比例较大、居住小区规模和社区发展完善程度较好，综合评价居住社区成熟度较好。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</si>
  <si>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</si>
  <si>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t>所在区域有银行（中国工商银行(东莞常平欧亚支行)）、医院（常平人民医院）、超市（百佳超级市场(东田丽园分店)）、学校（常平第一小学）及餐饮等设施，公共配套设施齐备情况较好。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</si>
  <si>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</si>
  <si>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</si>
  <si>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</si>
  <si>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</si>
  <si>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</si>
  <si>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所在区有岗梓公园，有水域，自然环境较好；所在区域无博物馆、艺术馆、体育馆等设施，人文环境较差；综合评价自然及人文环境一般。</t>
    <phoneticPr fontId="21" type="noConversion"/>
  </si>
  <si>
    <t>城市主干道—东兴中路</t>
    <phoneticPr fontId="26" type="noConversion"/>
  </si>
  <si>
    <t>位于东坑镇中心城区，周边商业氛围成熟，人流量较大，商业繁华度较好。</t>
    <phoneticPr fontId="26"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</si>
  <si>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</si>
  <si>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</si>
  <si>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t>所在区有鹰岭公园，绿化较好，自然环境较好；所在区域有东莞市广播大学东坑分校等设施，人文环境较好；综合评价自然及人文环境较好。</t>
    <phoneticPr fontId="26" type="noConversion"/>
  </si>
  <si>
    <t>其他省市系数</t>
  </si>
  <si>
    <t>城市快速路—东部快速干线</t>
    <phoneticPr fontId="26" type="noConversion"/>
  </si>
  <si>
    <t>城市快速路</t>
  </si>
  <si>
    <t>1927090101052号</t>
    <phoneticPr fontId="280" type="noConversion"/>
  </si>
  <si>
    <t>土地面积</t>
    <phoneticPr fontId="280" type="noConversion"/>
  </si>
  <si>
    <t>比例</t>
    <phoneticPr fontId="280" type="noConversion"/>
  </si>
  <si>
    <t>总面积</t>
    <phoneticPr fontId="280" type="noConversion"/>
  </si>
  <si>
    <t>总价值</t>
    <phoneticPr fontId="280" type="noConversion"/>
  </si>
  <si>
    <t>价值</t>
    <phoneticPr fontId="280" type="noConversion"/>
  </si>
  <si>
    <t>土地的</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</si>
</sst>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0.5"/>
      <name val="宋体"/>
      <family val="3"/>
      <charset val="134"/>
    </font>
    <font>
      <sz val="10.5"/>
      <color indexed="8"/>
      <name val="宋体"/>
      <family val="3"/>
      <charset val="134"/>
    </font>
    <font>
      <sz val="10.5"/>
      <name val="宋体"/>
      <family val="3"/>
      <charset val="134"/>
      <scheme val="minor"/>
    </font>
    <font>
      <sz val="10.5"/>
      <color rgb="FFFF0000"/>
      <name val="宋体"/>
      <family val="3"/>
      <charset val="134"/>
      <scheme val="minor"/>
    </font>
    <font>
      <sz val="9"/>
      <color theme="1"/>
      <name val="宋体"/>
      <family val="3"/>
      <charset val="134"/>
      <scheme val="minor"/>
    </font>
    <font>
      <sz val="9"/>
      <name val="宋体"/>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thin">
        <color rgb="FFDFE8ED"/>
      </right>
      <top style="medium">
        <color rgb="FFDFE8ED"/>
      </top>
      <bottom style="thin">
        <color rgb="FFDFE8ED"/>
      </bottom>
      <diagonal/>
    </border>
    <border>
      <left/>
      <right style="thin">
        <color rgb="FFDFE8ED"/>
      </right>
      <top style="thin">
        <color rgb="FFDFE8ED"/>
      </top>
      <bottom style="thin">
        <color rgb="FFDFE8ED"/>
      </bottom>
      <diagonal/>
    </border>
    <border>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164" fillId="0" borderId="2" xfId="7" applyFont="1" applyFill="1" applyBorder="1" applyAlignment="1">
      <alignment horizontal="left" vertical="center"/>
    </xf>
    <xf numFmtId="0" fontId="164" fillId="0" borderId="2" xfId="7" applyFont="1" applyBorder="1" applyAlignment="1">
      <alignment horizontal="center" vertical="center"/>
    </xf>
    <xf numFmtId="0" fontId="164" fillId="0" borderId="12" xfId="7" applyFont="1" applyBorder="1" applyAlignment="1">
      <alignment horizontal="center" vertical="center"/>
    </xf>
    <xf numFmtId="0" fontId="275" fillId="0" borderId="2" xfId="7" applyFont="1" applyFill="1" applyBorder="1" applyAlignment="1">
      <alignment horizontal="left" vertical="center"/>
    </xf>
    <xf numFmtId="0" fontId="197" fillId="0" borderId="2" xfId="7" applyFont="1" applyBorder="1" applyAlignment="1">
      <alignment horizontal="center" vertical="center"/>
    </xf>
    <xf numFmtId="0" fontId="197" fillId="0" borderId="12" xfId="7" applyFont="1" applyBorder="1" applyAlignment="1">
      <alignment horizontal="center" vertical="center"/>
    </xf>
    <xf numFmtId="179" fontId="275" fillId="0" borderId="2" xfId="7" applyNumberFormat="1" applyFont="1" applyFill="1" applyBorder="1" applyAlignment="1">
      <alignment horizontal="left" vertical="center"/>
    </xf>
    <xf numFmtId="0" fontId="275" fillId="0" borderId="12" xfId="7" applyFont="1" applyBorder="1" applyAlignment="1">
      <alignment horizontal="left" vertical="center"/>
    </xf>
    <xf numFmtId="10" fontId="275" fillId="0" borderId="12" xfId="7" applyNumberFormat="1" applyFont="1" applyBorder="1" applyAlignment="1">
      <alignment horizontal="left" vertical="center"/>
    </xf>
    <xf numFmtId="0" fontId="276" fillId="0" borderId="2" xfId="7" applyNumberFormat="1" applyFont="1" applyBorder="1" applyAlignment="1">
      <alignment horizontal="left" vertical="center"/>
    </xf>
    <xf numFmtId="0" fontId="276" fillId="0" borderId="2" xfId="7" applyNumberFormat="1" applyFont="1" applyFill="1" applyBorder="1" applyAlignment="1">
      <alignment horizontal="left" vertical="center"/>
    </xf>
    <xf numFmtId="0" fontId="275" fillId="0" borderId="2" xfId="7" applyFont="1" applyBorder="1" applyAlignment="1">
      <alignment horizontal="left" vertical="center"/>
    </xf>
    <xf numFmtId="0" fontId="145" fillId="0" borderId="2" xfId="7" applyBorder="1" applyAlignment="1">
      <alignment horizontal="left" vertical="center"/>
    </xf>
    <xf numFmtId="0" fontId="275" fillId="0" borderId="2" xfId="7" applyFont="1" applyBorder="1" applyAlignment="1">
      <alignment horizontal="center" vertical="center" wrapText="1"/>
    </xf>
    <xf numFmtId="0" fontId="145" fillId="0" borderId="2" xfId="7" applyFont="1" applyBorder="1" applyAlignment="1">
      <alignment horizontal="center" vertical="center"/>
    </xf>
    <xf numFmtId="0" fontId="275" fillId="0" borderId="12" xfId="7" applyFont="1" applyBorder="1" applyAlignment="1">
      <alignment horizontal="center" vertical="center" wrapText="1"/>
    </xf>
    <xf numFmtId="0" fontId="275" fillId="0" borderId="12" xfId="7" applyFont="1" applyBorder="1" applyAlignment="1">
      <alignment horizontal="left" vertical="center" wrapText="1"/>
    </xf>
    <xf numFmtId="0" fontId="275" fillId="0" borderId="2" xfId="7" applyFont="1" applyBorder="1" applyAlignment="1">
      <alignment horizontal="left" vertical="center" wrapText="1"/>
    </xf>
    <xf numFmtId="184" fontId="275" fillId="0" borderId="2" xfId="7" applyNumberFormat="1" applyFont="1" applyBorder="1" applyAlignment="1">
      <alignment horizontal="left" vertical="center" wrapText="1"/>
    </xf>
    <xf numFmtId="184" fontId="145" fillId="0" borderId="2" xfId="7" applyNumberFormat="1" applyBorder="1" applyAlignment="1">
      <alignment horizontal="left" vertical="center"/>
    </xf>
    <xf numFmtId="0" fontId="277" fillId="0" borderId="2" xfId="7" applyFont="1" applyBorder="1" applyAlignment="1">
      <alignment horizontal="left"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145" fillId="0" borderId="0" xfId="7" applyAlignment="1">
      <alignment horizontal="left" vertical="center"/>
    </xf>
    <xf numFmtId="10" fontId="275" fillId="0" borderId="44" xfId="7" applyNumberFormat="1" applyFont="1" applyFill="1" applyBorder="1" applyAlignment="1">
      <alignment horizontal="left" vertical="center"/>
    </xf>
    <xf numFmtId="0" fontId="278" fillId="0" borderId="44" xfId="7" applyFont="1" applyBorder="1" applyAlignment="1">
      <alignment horizontal="center" vertical="center"/>
    </xf>
    <xf numFmtId="0" fontId="275" fillId="0" borderId="51" xfId="7" applyFont="1" applyBorder="1" applyAlignment="1">
      <alignment horizontal="left" vertical="center"/>
    </xf>
    <xf numFmtId="177" fontId="275" fillId="0" borderId="2" xfId="7" applyNumberFormat="1" applyFont="1" applyFill="1" applyBorder="1" applyAlignment="1">
      <alignment horizontal="left" vertical="center"/>
    </xf>
    <xf numFmtId="186" fontId="275" fillId="0" borderId="2" xfId="7" applyNumberFormat="1" applyFont="1" applyFill="1" applyBorder="1" applyAlignment="1">
      <alignment horizontal="left" vertical="center"/>
    </xf>
    <xf numFmtId="0" fontId="277" fillId="0" borderId="12" xfId="7" applyFont="1" applyBorder="1" applyAlignment="1">
      <alignment horizontal="left" vertical="center"/>
    </xf>
    <xf numFmtId="10" fontId="275" fillId="0" borderId="2" xfId="7" applyNumberFormat="1" applyFont="1" applyFill="1" applyBorder="1" applyAlignment="1">
      <alignment horizontal="left" vertical="center"/>
    </xf>
    <xf numFmtId="0" fontId="145" fillId="0" borderId="2" xfId="7" applyBorder="1" applyAlignment="1">
      <alignment vertical="center"/>
    </xf>
    <xf numFmtId="0" fontId="145" fillId="0" borderId="2" xfId="7" applyFont="1" applyBorder="1" applyAlignment="1">
      <alignment vertical="center"/>
    </xf>
    <xf numFmtId="0" fontId="145" fillId="0" borderId="2" xfId="7" applyFill="1" applyBorder="1" applyAlignment="1">
      <alignment horizontal="left" vertical="center"/>
    </xf>
    <xf numFmtId="179" fontId="145" fillId="0" borderId="2" xfId="7" applyNumberFormat="1" applyFill="1" applyBorder="1" applyAlignment="1">
      <alignment horizontal="left" vertical="center"/>
    </xf>
    <xf numFmtId="0" fontId="145" fillId="0" borderId="0" xfId="7" applyFont="1" applyAlignment="1">
      <alignment vertical="center"/>
    </xf>
    <xf numFmtId="0" fontId="145" fillId="0" borderId="0" xfId="7" applyAlignment="1">
      <alignment vertical="center"/>
    </xf>
    <xf numFmtId="179" fontId="145" fillId="0" borderId="0" xfId="7" applyNumberFormat="1" applyAlignment="1">
      <alignment vertical="center"/>
    </xf>
    <xf numFmtId="177" fontId="275" fillId="6" borderId="0" xfId="7" applyNumberFormat="1" applyFont="1" applyFill="1" applyBorder="1" applyAlignment="1">
      <alignment horizontal="left" vertical="center"/>
    </xf>
    <xf numFmtId="0" fontId="275" fillId="0" borderId="0" xfId="7" applyFont="1" applyBorder="1" applyAlignment="1">
      <alignment horizontal="left" vertical="center"/>
    </xf>
    <xf numFmtId="0" fontId="275" fillId="0" borderId="0" xfId="7" applyFont="1" applyBorder="1" applyAlignment="1">
      <alignment horizontal="left" vertical="center" wrapText="1"/>
    </xf>
    <xf numFmtId="0" fontId="275" fillId="0" borderId="0" xfId="7" applyFont="1" applyBorder="1" applyAlignment="1">
      <alignment horizontal="center" vertical="center" wrapText="1"/>
    </xf>
    <xf numFmtId="187" fontId="275" fillId="0" borderId="0" xfId="7" applyNumberFormat="1" applyFont="1" applyBorder="1" applyAlignment="1">
      <alignment horizontal="center" vertical="center" wrapText="1"/>
    </xf>
    <xf numFmtId="187" fontId="275" fillId="0" borderId="8" xfId="7" applyNumberFormat="1" applyFont="1" applyBorder="1" applyAlignment="1">
      <alignment horizontal="left" vertical="center" wrapText="1"/>
    </xf>
    <xf numFmtId="0" fontId="277" fillId="0" borderId="0" xfId="7" applyFont="1" applyBorder="1" applyAlignment="1">
      <alignment horizontal="left" vertical="center"/>
    </xf>
    <xf numFmtId="179" fontId="277" fillId="0" borderId="0" xfId="7" applyNumberFormat="1" applyFont="1" applyBorder="1" applyAlignment="1">
      <alignment horizontal="left" vertical="center"/>
    </xf>
    <xf numFmtId="0" fontId="145" fillId="0" borderId="0" xfId="7" applyFill="1" applyAlignment="1">
      <alignment vertical="center"/>
    </xf>
    <xf numFmtId="0" fontId="145" fillId="0" borderId="0" xfId="7" applyAlignment="1">
      <alignment horizontal="center"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76" fillId="16" borderId="11" xfId="0" applyNumberFormat="1" applyFont="1" applyFill="1" applyBorder="1" applyAlignment="1" applyProtection="1">
      <alignment horizontal="center" vertical="center" wrapText="1"/>
      <protection locked="0"/>
    </xf>
    <xf numFmtId="0" fontId="76" fillId="16" borderId="2" xfId="0" applyNumberFormat="1" applyFont="1" applyFill="1" applyBorder="1" applyAlignment="1" applyProtection="1">
      <alignment horizontal="center" vertical="center" wrapText="1"/>
      <protection locked="0"/>
    </xf>
    <xf numFmtId="0" fontId="76" fillId="16" borderId="22" xfId="0" applyNumberFormat="1" applyFont="1" applyFill="1" applyBorder="1" applyAlignment="1" applyProtection="1">
      <alignment horizontal="center" vertical="center" wrapText="1"/>
      <protection locked="0"/>
    </xf>
    <xf numFmtId="0" fontId="86" fillId="16" borderId="10" xfId="0" applyNumberFormat="1" applyFont="1" applyFill="1" applyBorder="1" applyAlignment="1" applyProtection="1">
      <alignment horizontal="center" vertical="center" wrapText="1"/>
      <protection locked="0"/>
    </xf>
    <xf numFmtId="0" fontId="117" fillId="16" borderId="2" xfId="0"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0" fontId="279" fillId="13" borderId="152"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0"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275" fillId="0" borderId="5" xfId="7" applyFont="1" applyBorder="1" applyAlignment="1">
      <alignment horizontal="center" vertical="center"/>
    </xf>
    <xf numFmtId="0" fontId="275" fillId="0" borderId="8" xfId="7" applyFont="1" applyBorder="1" applyAlignment="1">
      <alignment horizontal="center" vertical="center"/>
    </xf>
    <xf numFmtId="0" fontId="275" fillId="0" borderId="16" xfId="7" applyFont="1" applyBorder="1" applyAlignment="1">
      <alignment horizontal="center" vertical="center"/>
    </xf>
    <xf numFmtId="0" fontId="164" fillId="0" borderId="11" xfId="7" applyFont="1" applyBorder="1" applyAlignment="1">
      <alignment horizontal="center" vertical="center"/>
    </xf>
    <xf numFmtId="0" fontId="145" fillId="0" borderId="2" xfId="7" applyBorder="1" applyAlignment="1">
      <alignment vertical="center"/>
    </xf>
    <xf numFmtId="0" fontId="197" fillId="0" borderId="11" xfId="7" applyFont="1" applyBorder="1" applyAlignment="1">
      <alignment horizontal="center" vertical="center"/>
    </xf>
    <xf numFmtId="0" fontId="197" fillId="0" borderId="2" xfId="7" applyFont="1" applyBorder="1" applyAlignment="1">
      <alignment horizontal="center" vertical="center" wrapText="1"/>
    </xf>
    <xf numFmtId="0" fontId="197" fillId="0" borderId="2" xfId="7" applyFont="1" applyBorder="1" applyAlignment="1">
      <alignment horizontal="left" vertical="center"/>
    </xf>
    <xf numFmtId="0" fontId="276" fillId="0" borderId="2" xfId="7" applyFont="1" applyBorder="1" applyAlignment="1">
      <alignment horizontal="left" vertical="center"/>
    </xf>
    <xf numFmtId="0" fontId="276" fillId="0" borderId="10" xfId="7" applyNumberFormat="1" applyFont="1" applyBorder="1" applyAlignment="1">
      <alignment horizontal="center" vertical="center"/>
    </xf>
    <xf numFmtId="0" fontId="276" fillId="0" borderId="3" xfId="7" applyNumberFormat="1" applyFont="1" applyBorder="1" applyAlignment="1">
      <alignment horizontal="center" vertical="center"/>
    </xf>
    <xf numFmtId="0" fontId="276" fillId="0" borderId="21" xfId="7" applyNumberFormat="1" applyFont="1" applyBorder="1" applyAlignment="1">
      <alignment horizontal="center" vertical="center"/>
    </xf>
    <xf numFmtId="0" fontId="276" fillId="0" borderId="2" xfId="7" applyNumberFormat="1" applyFont="1" applyBorder="1" applyAlignment="1">
      <alignment horizontal="left" vertical="center"/>
    </xf>
    <xf numFmtId="0" fontId="276" fillId="0" borderId="2" xfId="7" applyNumberFormat="1" applyFont="1" applyBorder="1" applyAlignment="1">
      <alignment horizontal="center" vertical="center"/>
    </xf>
    <xf numFmtId="0" fontId="145" fillId="0" borderId="2" xfId="7" applyFont="1" applyBorder="1" applyAlignment="1">
      <alignment horizontal="center" vertical="center"/>
    </xf>
    <xf numFmtId="0" fontId="197" fillId="0" borderId="60" xfId="7" applyFont="1" applyBorder="1" applyAlignment="1">
      <alignment horizontal="center" vertical="center"/>
    </xf>
    <xf numFmtId="0" fontId="197" fillId="0" borderId="56" xfId="7" applyFont="1" applyBorder="1" applyAlignment="1">
      <alignment horizontal="center" vertical="center"/>
    </xf>
    <xf numFmtId="0" fontId="197" fillId="0" borderId="47" xfId="7" applyFont="1" applyBorder="1" applyAlignment="1">
      <alignment horizontal="center" vertical="center"/>
    </xf>
    <xf numFmtId="0" fontId="145" fillId="0" borderId="64" xfId="7" applyFont="1" applyBorder="1" applyAlignment="1">
      <alignment horizontal="center" vertical="center"/>
    </xf>
    <xf numFmtId="0" fontId="145" fillId="0" borderId="8" xfId="7" applyBorder="1" applyAlignment="1">
      <alignment horizontal="center" vertical="center"/>
    </xf>
    <xf numFmtId="0" fontId="145" fillId="0" borderId="9" xfId="7"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9</xdr:col>
      <xdr:colOff>285751</xdr:colOff>
      <xdr:row>37</xdr:row>
      <xdr:rowOff>24667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2076450"/>
          <a:ext cx="5772150" cy="4310917"/>
        </a:xfrm>
        <a:prstGeom prst="rect">
          <a:avLst/>
        </a:prstGeom>
      </xdr:spPr>
    </xdr:pic>
    <xdr:clientData/>
  </xdr:twoCellAnchor>
  <xdr:twoCellAnchor editAs="oneCell">
    <xdr:from>
      <xdr:col>1</xdr:col>
      <xdr:colOff>0</xdr:colOff>
      <xdr:row>40</xdr:row>
      <xdr:rowOff>0</xdr:rowOff>
    </xdr:from>
    <xdr:to>
      <xdr:col>9</xdr:col>
      <xdr:colOff>177306</xdr:colOff>
      <xdr:row>65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6877050"/>
          <a:ext cx="5663706" cy="4391025"/>
        </a:xfrm>
        <a:prstGeom prst="rect">
          <a:avLst/>
        </a:prstGeom>
      </xdr:spPr>
    </xdr:pic>
    <xdr:clientData/>
  </xdr:twoCellAnchor>
  <xdr:twoCellAnchor editAs="oneCell">
    <xdr:from>
      <xdr:col>1</xdr:col>
      <xdr:colOff>0</xdr:colOff>
      <xdr:row>67</xdr:row>
      <xdr:rowOff>0</xdr:rowOff>
    </xdr:from>
    <xdr:to>
      <xdr:col>10</xdr:col>
      <xdr:colOff>434311</xdr:colOff>
      <xdr:row>97</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11506200"/>
          <a:ext cx="6606511" cy="5143500"/>
        </a:xfrm>
        <a:prstGeom prst="rect">
          <a:avLst/>
        </a:prstGeom>
      </xdr:spPr>
    </xdr:pic>
    <xdr:clientData/>
  </xdr:twoCellAnchor>
  <xdr:twoCellAnchor editAs="oneCell">
    <xdr:from>
      <xdr:col>10</xdr:col>
      <xdr:colOff>0</xdr:colOff>
      <xdr:row>13</xdr:row>
      <xdr:rowOff>0</xdr:rowOff>
    </xdr:from>
    <xdr:to>
      <xdr:col>20</xdr:col>
      <xdr:colOff>561975</xdr:colOff>
      <xdr:row>48</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2247900"/>
          <a:ext cx="7419975" cy="615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419100</xdr:colOff>
      <xdr:row>23</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19700" cy="3943350"/>
        </a:xfrm>
        <a:prstGeom prst="rect">
          <a:avLst/>
        </a:prstGeom>
      </xdr:spPr>
    </xdr:pic>
    <xdr:clientData/>
  </xdr:twoCellAnchor>
  <xdr:twoCellAnchor editAs="oneCell">
    <xdr:from>
      <xdr:col>0</xdr:col>
      <xdr:colOff>0</xdr:colOff>
      <xdr:row>26</xdr:row>
      <xdr:rowOff>0</xdr:rowOff>
    </xdr:from>
    <xdr:to>
      <xdr:col>9</xdr:col>
      <xdr:colOff>139882</xdr:colOff>
      <xdr:row>50</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6312082" cy="4162425"/>
        </a:xfrm>
        <a:prstGeom prst="rect">
          <a:avLst/>
        </a:prstGeom>
      </xdr:spPr>
    </xdr:pic>
    <xdr:clientData/>
  </xdr:twoCellAnchor>
  <xdr:twoCellAnchor editAs="oneCell">
    <xdr:from>
      <xdr:col>0</xdr:col>
      <xdr:colOff>0</xdr:colOff>
      <xdr:row>51</xdr:row>
      <xdr:rowOff>0</xdr:rowOff>
    </xdr:from>
    <xdr:to>
      <xdr:col>8</xdr:col>
      <xdr:colOff>167774</xdr:colOff>
      <xdr:row>73</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743950"/>
          <a:ext cx="5654174" cy="3781425"/>
        </a:xfrm>
        <a:prstGeom prst="rect">
          <a:avLst/>
        </a:prstGeom>
      </xdr:spPr>
    </xdr:pic>
    <xdr:clientData/>
  </xdr:twoCellAnchor>
  <xdr:twoCellAnchor editAs="oneCell">
    <xdr:from>
      <xdr:col>10</xdr:col>
      <xdr:colOff>0</xdr:colOff>
      <xdr:row>25</xdr:row>
      <xdr:rowOff>171449</xdr:rowOff>
    </xdr:from>
    <xdr:to>
      <xdr:col>17</xdr:col>
      <xdr:colOff>592733</xdr:colOff>
      <xdr:row>45</xdr:row>
      <xdr:rowOff>142874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4457699"/>
          <a:ext cx="5393333" cy="3400425"/>
        </a:xfrm>
        <a:prstGeom prst="rect">
          <a:avLst/>
        </a:prstGeom>
      </xdr:spPr>
    </xdr:pic>
    <xdr:clientData/>
  </xdr:twoCellAnchor>
  <xdr:twoCellAnchor editAs="oneCell">
    <xdr:from>
      <xdr:col>10</xdr:col>
      <xdr:colOff>0</xdr:colOff>
      <xdr:row>48</xdr:row>
      <xdr:rowOff>0</xdr:rowOff>
    </xdr:from>
    <xdr:to>
      <xdr:col>18</xdr:col>
      <xdr:colOff>104775</xdr:colOff>
      <xdr:row>70</xdr:row>
      <xdr:rowOff>152400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229600"/>
          <a:ext cx="5591175"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广东省东莞市东坑镇凤大村出让国有建设用地使用权抵押价格预评估</v>
      </c>
      <c r="AX2" s="2931"/>
      <c r="AZ2" s="2931"/>
      <c r="BA2" s="2932"/>
      <c r="BC2" s="2932"/>
    </row>
    <row r="3" spans="1:55" s="2933" customFormat="1">
      <c r="A3" s="2912" t="s">
        <v>2676</v>
      </c>
      <c r="B3" s="2915" t="str">
        <f>'预评函-封皮'!B40</f>
        <v>东莞市骏成实业投资有限公司</v>
      </c>
    </row>
    <row r="4" spans="1:55" s="2914" customFormat="1">
      <c r="A4" s="2912" t="s">
        <v>2677</v>
      </c>
      <c r="B4" s="2913" t="str">
        <f>'预评函-封皮'!B46</f>
        <v>刘梅、吴薇</v>
      </c>
      <c r="N4" s="2914" t="str">
        <f>'预评函-1'!A28</f>
        <v/>
      </c>
    </row>
    <row r="5" spans="1:55" s="2927" customFormat="1" ht="15" thickBot="1">
      <c r="A5" s="2934" t="s">
        <v>2678</v>
      </c>
      <c r="B5" s="2935" t="str">
        <f>'预评函-封皮'!B49</f>
        <v>康正预评字2017-1-0641-P01DYGJ2号</v>
      </c>
    </row>
    <row r="6" spans="1:55" s="2936" customFormat="1" ht="15" thickTop="1">
      <c r="A6" s="2928" t="s">
        <v>2720</v>
      </c>
      <c r="B6" s="2929" t="str">
        <f>'预评函-1'!A4</f>
        <v>受贵公司委托，我公司对广东省东莞市东坑镇凤大村出让国有建设用地使用权抵押价格进行了预评估。</v>
      </c>
      <c r="AM6" s="2937"/>
    </row>
    <row r="7" spans="1:55" s="2911" customFormat="1">
      <c r="A7" s="2912" t="s">
        <v>2672</v>
      </c>
      <c r="B7" s="2913" t="str">
        <f>'预评函-1'!A6</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2017年6月29日（评估专业人员勘察现场之日）</v>
      </c>
    </row>
    <row r="11" spans="1:55" s="2911" customFormat="1">
      <c r="A11" s="2912" t="s">
        <v>2680</v>
      </c>
      <c r="B11" s="2913" t="str">
        <f>'预评函-1'!A14</f>
        <v>根据《国有土地使用证》[东府国用（2013）第特158号、东府国用（2014）第特108号]，本次评估估价对象证载（地类）用途为普通商品住房商服用地。</v>
      </c>
    </row>
    <row r="12" spans="1:55" s="2911" customFormat="1">
      <c r="A12" s="2912" t="s">
        <v>2681</v>
      </c>
      <c r="B12" s="2913" t="str">
        <f>'预评函-1'!A15</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row>
    <row r="13" spans="1:55" s="2911" customFormat="1">
      <c r="A13" s="2912" t="s">
        <v>2682</v>
      </c>
      <c r="B13" s="2913" t="str">
        <f>'预评函-1'!A17</f>
        <v>根据委托估价方介绍及评估专业人员现场勘查，本次评估估价对象实际土地开发程度为红线外市政基础设施达“七通”（即通上水、通电、通讯、、、、）、宗地红线内场地未平整，宗地内有需要移除的树木。</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根据《国有土地使用证》[东府国用（2013）第特158号、东府国用（2014）第特108号]，估价对象（分摊）出让国有建设用地使用权面积为47552.7平方米。根据《规划指标》，估价对象规划建筑面积为134410.88平方米。</v>
      </c>
    </row>
    <row r="16" spans="1:55" s="2911" customFormat="1">
      <c r="A16" s="2912" t="s">
        <v>2684</v>
      </c>
      <c r="B16" s="2913" t="str">
        <f>'预评函-1'!A22</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17" spans="1:48" s="2911" customFormat="1">
      <c r="A17" s="2912" t="s">
        <v>2685</v>
      </c>
      <c r="B17" s="2913" t="str">
        <f>'预评函-1'!A23</f>
        <v>本次评估设定估价对象剩余土地使用年限为特158号地块住宅66.5年、商业36.5年、地下车库46.5年；特108号地块住宅66.8年、商业36.7年、地下车库46.8年。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估价期日：2017年6月29日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普通商品住房商服用地</v>
      </c>
      <c r="AV32" s="2917"/>
    </row>
    <row r="33" spans="1:2">
      <c r="A33" s="2912" t="s">
        <v>2728</v>
      </c>
      <c r="B33" s="2913">
        <f>'预评函-2'!F5</f>
        <v>258</v>
      </c>
    </row>
    <row r="34" spans="1:2">
      <c r="A34" s="2912" t="s">
        <v>2729</v>
      </c>
      <c r="B34" s="2913" t="str">
        <f>'预评函-2'!G5</f>
        <v>住宅、商业、地下车库</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红线外七通、宗地红线内场地未平整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特158号地块住宅66.5年、商业36.5年、地下车库46.5年；特108号地块住宅66.8年、商业36.7年、地下车库46.8年</v>
      </c>
    </row>
    <row r="42" spans="1:2">
      <c r="A42" s="2912" t="s">
        <v>2754</v>
      </c>
      <c r="B42" s="2913" t="str">
        <f>'预评函-2'!N3</f>
        <v>（分摊）出让国有建设用地使用权面积/㎡</v>
      </c>
    </row>
    <row r="43" spans="1:2">
      <c r="A43" s="2912" t="s">
        <v>2736</v>
      </c>
      <c r="B43" s="2913">
        <f>'预评函-2'!N5</f>
        <v>47552.7</v>
      </c>
    </row>
    <row r="44" spans="1:2">
      <c r="A44" s="2912" t="s">
        <v>2755</v>
      </c>
      <c r="B44" s="2913" t="str">
        <f>'预评函-2'!O3</f>
        <v>规划建筑面积/㎡</v>
      </c>
    </row>
    <row r="45" spans="1:2">
      <c r="A45" s="2912" t="s">
        <v>2737</v>
      </c>
      <c r="B45" s="2913">
        <f>'预评函-2'!O5</f>
        <v>134410.88</v>
      </c>
    </row>
    <row r="46" spans="1:2">
      <c r="A46" s="2912" t="s">
        <v>2738</v>
      </c>
      <c r="B46" s="2913">
        <f ca="1">'预评函-2'!P5</f>
        <v>24301</v>
      </c>
    </row>
    <row r="47" spans="1:2">
      <c r="A47" s="2912" t="s">
        <v>2739</v>
      </c>
      <c r="B47" s="2913">
        <f ca="1">'预评函-2'!Q5</f>
        <v>8597</v>
      </c>
    </row>
    <row r="48" spans="1:2">
      <c r="A48" s="2912" t="s">
        <v>2740</v>
      </c>
      <c r="B48" s="2913">
        <f ca="1">'预评函-2'!R5</f>
        <v>115557</v>
      </c>
    </row>
    <row r="49" spans="1:2">
      <c r="A49" s="2912" t="s">
        <v>2756</v>
      </c>
      <c r="B49" s="2913" t="str">
        <f>'预评函-2'!A6</f>
        <v>抵押价格</v>
      </c>
    </row>
    <row r="50" spans="1:2">
      <c r="A50" s="2912" t="s">
        <v>2741</v>
      </c>
      <c r="B50" s="2913">
        <f ca="1">'预评函-2'!R6</f>
        <v>115557</v>
      </c>
    </row>
    <row r="51" spans="1:2">
      <c r="A51" s="2912" t="s">
        <v>2757</v>
      </c>
      <c r="B51" s="2913" t="str">
        <f>'预评函-2'!A7</f>
        <v>——</v>
      </c>
    </row>
    <row r="52" spans="1:2">
      <c r="A52" s="2912" t="s">
        <v>2742</v>
      </c>
      <c r="B52" s="2913" t="str">
        <f>'预评函-2'!R7</f>
        <v>——</v>
      </c>
    </row>
    <row r="53" spans="1:2">
      <c r="A53" s="2912" t="s">
        <v>2758</v>
      </c>
      <c r="B53" s="2913" t="str">
        <f>'预评函-2'!A8</f>
        <v>——</v>
      </c>
    </row>
    <row r="54" spans="1:2" s="2927" customFormat="1" ht="15" thickBot="1">
      <c r="A54" s="2934" t="s">
        <v>2743</v>
      </c>
      <c r="B54" s="2935" t="str">
        <f>'预评函-2'!R8</f>
        <v>——</v>
      </c>
    </row>
    <row r="55" spans="1:2" ht="15" thickTop="1">
      <c r="A55" s="2923" t="s">
        <v>2693</v>
      </c>
      <c r="B55" s="2924" t="str">
        <f>'预评函-3'!A2</f>
        <v>1.权利限制：根据估价对象《国有土地使用权》原件、，截至估价期日，估价对象抵押权未见登记。未设定租赁等其他他项权利。</v>
      </c>
    </row>
    <row r="56" spans="1:2">
      <c r="A56" s="2912" t="s">
        <v>2694</v>
      </c>
      <c r="B56" s="2913" t="str">
        <f>'预评函-3'!A3</f>
        <v>2.基础设施条件：估价对象实际开发程度为红线外七通、宗地红线内场地未平整；本次评估设定开发程度为红线外七通、宗地红线内场地平整。</v>
      </c>
    </row>
    <row r="57" spans="1:2">
      <c r="A57" s="2912" t="s">
        <v>2695</v>
      </c>
      <c r="B57" s="2913" t="str">
        <f>'预评函-3'!A4</f>
        <v>3.估价规划限制条件：详见《规划指标》。</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（1）根据估价对象《国有土地使用权》原件、，截至估价期日，估价对象抵押权未见登记。</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刘梅</v>
      </c>
    </row>
    <row r="70" spans="1:2">
      <c r="A70" s="2912" t="s">
        <v>2705</v>
      </c>
      <c r="B70" s="2919">
        <f ca="1">'预评函-3'!B20</f>
        <v>2008110059</v>
      </c>
    </row>
    <row r="71" spans="1:2">
      <c r="A71" s="2912" t="s">
        <v>2706</v>
      </c>
      <c r="B71" s="2913" t="str">
        <f>'预评函-3'!A21</f>
        <v>吴薇</v>
      </c>
    </row>
    <row r="72" spans="1:2" s="2927" customFormat="1" ht="15" thickBot="1">
      <c r="A72" s="2934" t="s">
        <v>2706</v>
      </c>
      <c r="B72" s="2940">
        <f ca="1">'预评函-3'!B21</f>
        <v>2002110125</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44" sqref="F44"/>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80" t="str">
        <f>IF(B10="北京市","北京市",C10)&amp;F10&amp;B16&amp;"国有建设用地使用权"&amp;B9&amp;"预评估"</f>
        <v>广东省东莞市东坑镇凤大村出让国有建设用地使用权抵押价格预评估</v>
      </c>
      <c r="C1" s="3281"/>
      <c r="D1" s="3281"/>
      <c r="E1" s="3281"/>
      <c r="F1" s="3281"/>
      <c r="G1" s="3281"/>
      <c r="H1" s="3281"/>
      <c r="I1" s="3282"/>
      <c r="J1" s="1695"/>
      <c r="K1" s="2485" t="str">
        <f>IF(B10="北京市","北京市",C10)&amp;F10&amp;B16&amp;"国有建设用地使用权"&amp;B9</f>
        <v>广东省东莞市东坑镇凤大村出让国有建设用地使用权抵押价格</v>
      </c>
      <c r="L1" s="1724"/>
      <c r="M1" s="1724"/>
      <c r="N1" s="1695"/>
      <c r="O1" s="1696"/>
      <c r="P1" s="1695"/>
      <c r="Q1" s="1695"/>
      <c r="R1" s="1695"/>
      <c r="S1" s="1695"/>
      <c r="T1" s="1695"/>
      <c r="U1" s="1695"/>
    </row>
    <row r="2" spans="1:21">
      <c r="A2" s="1661" t="s">
        <v>1948</v>
      </c>
      <c r="B2" s="1843" t="s">
        <v>2951</v>
      </c>
      <c r="D2" s="1695"/>
      <c r="E2" s="1695"/>
      <c r="F2" s="1695"/>
      <c r="G2" s="1695"/>
      <c r="H2" s="1661"/>
      <c r="I2" s="1696"/>
      <c r="J2" s="1695"/>
      <c r="K2" s="2485" t="str">
        <f>IF(B10="北京市","北京市",C10)&amp;F10&amp;B16&amp;"国有建设用地使用权"</f>
        <v>广东省东莞市东坑镇凤大村出让国有建设用地使用权</v>
      </c>
      <c r="L2" s="1724"/>
      <c r="M2" s="1724"/>
      <c r="N2" s="1695"/>
      <c r="O2" s="1696"/>
      <c r="P2" s="1695"/>
      <c r="Q2" s="1695"/>
      <c r="R2" s="1695"/>
      <c r="S2" s="1695"/>
      <c r="T2" s="1695"/>
      <c r="U2" s="1695"/>
    </row>
    <row r="3" spans="1:21">
      <c r="A3" s="1662" t="s">
        <v>1949</v>
      </c>
      <c r="B3" s="1663">
        <v>42915</v>
      </c>
      <c r="C3" s="1664" t="s">
        <v>2005</v>
      </c>
      <c r="D3" s="1663">
        <v>42915</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2952</v>
      </c>
      <c r="C4" s="1847">
        <f ca="1">SUMIF(土地估价师,B4,估价师及机构信息!E3:E24)</f>
        <v>2008110059</v>
      </c>
      <c r="D4" s="1844" t="s">
        <v>2953</v>
      </c>
      <c r="E4" s="1847">
        <f ca="1">SUMIF(土地估价师,D4,估价师及机构信息!E3:E24)</f>
        <v>2002110125</v>
      </c>
      <c r="F4" s="1844" t="s">
        <v>955</v>
      </c>
      <c r="G4" s="1847">
        <f>SUMIF(土地估价师,F4,估价师及机构信息!E3:E24)</f>
        <v>0</v>
      </c>
      <c r="H4" s="1844" t="s">
        <v>955</v>
      </c>
      <c r="I4" s="1847">
        <f>SUMIF(土地估价师,H4,估价师及机构信息!E3:E24)</f>
        <v>0</v>
      </c>
      <c r="J4" s="1695"/>
      <c r="K4" s="2485" t="str">
        <f>IF(AND(F4="——",H4="——"),B4&amp;"、"&amp;D4,IF(AND(F4&lt;&gt;"——",H4="——"),B4&amp;"、"&amp;D4&amp;"、"&amp;F4,B4&amp;"、"&amp;D4&amp;"、"&amp;F4&amp;"、"&amp;H4))</f>
        <v>刘梅、吴薇</v>
      </c>
      <c r="L4" s="1724"/>
      <c r="M4" s="1724"/>
      <c r="N4" s="1695"/>
      <c r="O4" s="1696"/>
      <c r="P4" s="1695"/>
      <c r="Q4" s="1695"/>
      <c r="R4" s="1695"/>
      <c r="S4" s="1695"/>
      <c r="T4" s="1695"/>
      <c r="U4" s="1695"/>
    </row>
    <row r="5" spans="1:21" ht="15" thickTop="1">
      <c r="A5" s="1666" t="s">
        <v>1951</v>
      </c>
      <c r="B5" s="1790" t="s">
        <v>2956</v>
      </c>
      <c r="C5" s="1667"/>
      <c r="D5" s="1668"/>
      <c r="E5" s="1695"/>
      <c r="F5" s="1695"/>
      <c r="G5" s="1695"/>
      <c r="H5" s="1661"/>
      <c r="I5" s="1696"/>
      <c r="J5" s="1695"/>
      <c r="K5" s="1775"/>
      <c r="L5" s="1724"/>
      <c r="M5" s="1724"/>
      <c r="N5" s="1695"/>
      <c r="O5" s="1696"/>
      <c r="P5" s="1695"/>
      <c r="Q5" s="1695"/>
      <c r="R5" s="1695"/>
      <c r="S5" s="1695"/>
      <c r="T5" s="1695"/>
      <c r="U5" s="1695"/>
    </row>
    <row r="6" spans="1:21" ht="26.25">
      <c r="A6" s="1664" t="s">
        <v>2721</v>
      </c>
      <c r="B6" s="1790" t="s">
        <v>2955</v>
      </c>
      <c r="C6" s="1762"/>
      <c r="D6" s="1669"/>
      <c r="E6" s="1695"/>
      <c r="F6" s="1695"/>
      <c r="G6" s="1695"/>
      <c r="H6" s="1661"/>
      <c r="I6" s="1696"/>
      <c r="J6" s="1695"/>
      <c r="K6" s="3089" t="str">
        <f>IF(COUNTIF(B6,"*上海银行*"),"上海银行","")</f>
        <v/>
      </c>
      <c r="L6" s="1724"/>
      <c r="M6" s="1724"/>
      <c r="N6" s="1695"/>
      <c r="O6" s="1696"/>
      <c r="P6" s="1695"/>
      <c r="Q6" s="1695"/>
      <c r="R6" s="1695"/>
      <c r="S6" s="1695"/>
      <c r="T6" s="1695"/>
      <c r="U6" s="1695"/>
    </row>
    <row r="7" spans="1:21">
      <c r="A7" s="1670" t="s">
        <v>2722</v>
      </c>
      <c r="B7" s="1790" t="s">
        <v>2954</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2957</v>
      </c>
      <c r="C8" s="1672"/>
      <c r="D8" s="3286"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287"/>
      <c r="E9" s="1675" t="s">
        <v>955</v>
      </c>
      <c r="F9" s="1748"/>
      <c r="G9" s="1743"/>
      <c r="H9" s="1743"/>
      <c r="I9" s="1744"/>
      <c r="J9" s="1695"/>
      <c r="K9" s="1775"/>
      <c r="L9" s="1724"/>
      <c r="M9" s="1724"/>
      <c r="N9" s="1695"/>
      <c r="O9" s="1696"/>
      <c r="P9" s="1695"/>
      <c r="Q9" s="1695"/>
      <c r="R9" s="1695"/>
      <c r="S9" s="1695"/>
      <c r="T9" s="1695"/>
      <c r="U9" s="1695"/>
    </row>
    <row r="10" spans="1:21" ht="15" thickTop="1">
      <c r="A10" s="1745" t="s">
        <v>2009</v>
      </c>
      <c r="B10" s="1720" t="s">
        <v>2958</v>
      </c>
      <c r="C10" s="1677" t="s">
        <v>2959</v>
      </c>
      <c r="D10" s="1668"/>
      <c r="E10" s="1678" t="s">
        <v>1956</v>
      </c>
      <c r="F10" s="1679" t="s">
        <v>2960</v>
      </c>
      <c r="G10" s="1746"/>
      <c r="H10" s="1747"/>
      <c r="I10" s="1668"/>
      <c r="J10" s="1695"/>
      <c r="K10" s="1775"/>
      <c r="L10" s="1724"/>
      <c r="M10" s="1724"/>
      <c r="N10" s="1695"/>
      <c r="O10" s="1696"/>
      <c r="P10" s="1695"/>
      <c r="Q10" s="1695"/>
      <c r="R10" s="1695"/>
      <c r="S10" s="1695"/>
      <c r="T10" s="1695"/>
      <c r="U10" s="1695"/>
    </row>
    <row r="11" spans="1:21" ht="42.75">
      <c r="A11" s="1698" t="s">
        <v>2010</v>
      </c>
      <c r="B11" s="1699" t="s">
        <v>2961</v>
      </c>
      <c r="C11" s="1680" t="s">
        <v>2954</v>
      </c>
      <c r="D11" s="1763"/>
      <c r="E11" s="1661"/>
      <c r="F11" s="1661"/>
      <c r="G11" s="1661"/>
      <c r="H11" s="1661"/>
      <c r="I11" s="1661"/>
      <c r="J11" s="1695"/>
      <c r="K11" s="1775"/>
      <c r="L11" s="1724"/>
      <c r="M11" s="1724"/>
      <c r="N11" s="1695"/>
      <c r="O11" s="1696"/>
      <c r="P11" s="1695"/>
      <c r="Q11" s="1695"/>
      <c r="R11" s="1695"/>
      <c r="S11" s="1695"/>
      <c r="T11" s="1695"/>
      <c r="U11" s="1695"/>
    </row>
    <row r="12" spans="1:21">
      <c r="A12" s="1786" t="s">
        <v>2068</v>
      </c>
      <c r="B12" s="3283" t="s">
        <v>2962</v>
      </c>
      <c r="C12" s="3284"/>
      <c r="D12" s="3285"/>
      <c r="E12" s="1700" t="s">
        <v>2071</v>
      </c>
      <c r="F12" s="3301" t="s">
        <v>2963</v>
      </c>
      <c r="G12" s="3302"/>
      <c r="H12" s="3302"/>
      <c r="I12" s="3303"/>
      <c r="J12" s="1695"/>
      <c r="K12" s="1775"/>
      <c r="L12" s="1724"/>
      <c r="M12" s="1724"/>
      <c r="N12" s="1695"/>
      <c r="O12" s="1696"/>
      <c r="P12" s="1695"/>
      <c r="Q12" s="1695"/>
      <c r="R12" s="1695"/>
      <c r="S12" s="1695"/>
      <c r="T12" s="1695"/>
      <c r="U12" s="1695"/>
    </row>
    <row r="13" spans="1:21">
      <c r="A13" s="1688" t="s">
        <v>2069</v>
      </c>
      <c r="B13" s="3283" t="s">
        <v>2966</v>
      </c>
      <c r="C13" s="3284"/>
      <c r="D13" s="3285"/>
      <c r="E13" s="1700" t="s">
        <v>2071</v>
      </c>
      <c r="F13" s="3301" t="s">
        <v>2965</v>
      </c>
      <c r="G13" s="3302"/>
      <c r="H13" s="3302"/>
      <c r="I13" s="3303"/>
      <c r="J13" s="1695"/>
      <c r="K13" s="1775"/>
      <c r="L13" s="1724"/>
      <c r="M13" s="1724"/>
      <c r="N13" s="1695"/>
      <c r="O13" s="1696"/>
      <c r="P13" s="1695"/>
      <c r="Q13" s="1695"/>
      <c r="R13" s="1695"/>
      <c r="S13" s="1695"/>
      <c r="T13" s="1695"/>
      <c r="U13" s="1695"/>
    </row>
    <row r="14" spans="1:21">
      <c r="A14" s="1662" t="s">
        <v>2072</v>
      </c>
      <c r="B14" s="1700"/>
      <c r="C14" s="1846" t="s">
        <v>2967</v>
      </c>
      <c r="D14" s="1734" t="str">
        <f>IF(C14="不一致","是否符合证载地类范围","")</f>
        <v>是否符合证载地类范围</v>
      </c>
      <c r="E14" s="1700"/>
      <c r="F14" s="1791" t="s">
        <v>2968</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42.75">
      <c r="A16" s="1681" t="s">
        <v>1957</v>
      </c>
      <c r="B16" s="1682" t="s">
        <v>2969</v>
      </c>
      <c r="C16" s="1700" t="s">
        <v>1958</v>
      </c>
      <c r="D16" s="2677" t="s">
        <v>1959</v>
      </c>
      <c r="E16" s="1723" t="s">
        <v>2970</v>
      </c>
      <c r="F16" s="1723"/>
      <c r="G16" s="1723" t="s">
        <v>35</v>
      </c>
      <c r="H16" s="1723"/>
      <c r="I16" s="1687" t="s">
        <v>1964</v>
      </c>
      <c r="J16" s="1695"/>
      <c r="K16" s="2486" t="str">
        <f>IF(D17="","",D16&amp;TEXT(D17,"yyyy年m月d日;;"))</f>
        <v>住宅2083年12月30日</v>
      </c>
      <c r="L16" s="1700" t="str">
        <f>IF(OR(K16="",M16=""),"","、")</f>
        <v>、</v>
      </c>
      <c r="M16" s="2486" t="str">
        <f>IF(E17="","",E16&amp;TEXT(E17,"yyyy年m月d日;;"))</f>
        <v>商业2053年12月30日</v>
      </c>
      <c r="N16" s="1700" t="str">
        <f>IF(OR(M16="",O16=""),"","、")</f>
        <v/>
      </c>
      <c r="O16" s="2486" t="str">
        <f>IF(F17="","",F16&amp;TEXT(F17,"yyyy年m月d日;;"))</f>
        <v/>
      </c>
      <c r="P16" s="1700" t="str">
        <f>IF(OR(O16="",Q16=""),"","、")</f>
        <v/>
      </c>
      <c r="Q16" s="2486" t="str">
        <f>IF(G17="","",G16&amp;TEXT(G17,"yyyy年m月d日;;"))</f>
        <v>地下车库2063年12月30日</v>
      </c>
      <c r="R16" s="1700" t="str">
        <f>IF(OR(Q16="",S16=""),"","、")</f>
        <v/>
      </c>
      <c r="S16" s="2486" t="str">
        <f>IF(H17="","",H16&amp;TEXT(H17,"yyyy年m月d日;;"))</f>
        <v/>
      </c>
      <c r="T16" s="1700" t="str">
        <f>IF(OR(S16="",U16=""),"","、")</f>
        <v/>
      </c>
      <c r="U16" s="2486" t="str">
        <f>IF(I17="","",I16&amp;TEXT(I17,"yyyy年m月d日;;"))</f>
        <v/>
      </c>
    </row>
    <row r="17" spans="1:21">
      <c r="A17" s="1764"/>
      <c r="B17" s="1683"/>
      <c r="C17" s="1684" t="s">
        <v>1965</v>
      </c>
      <c r="D17" s="1701">
        <v>67205</v>
      </c>
      <c r="E17" s="1701">
        <v>56248</v>
      </c>
      <c r="F17" s="1701"/>
      <c r="G17" s="1701">
        <v>59900</v>
      </c>
      <c r="H17" s="1701"/>
      <c r="I17" s="1701"/>
      <c r="J17" s="1695"/>
      <c r="K17" s="2485" t="str">
        <f>CONCATENATE(K16,L16,M16,N16,O16,P16,Q16,R16,S16,T16,,U16)</f>
        <v>住宅2083年12月30日、商业2053年12月30日地下车库2063年12月30日</v>
      </c>
      <c r="L17" s="1724"/>
      <c r="M17" s="1724"/>
      <c r="N17" s="1695"/>
      <c r="O17" s="1696"/>
      <c r="P17" s="1695"/>
      <c r="Q17" s="1695"/>
      <c r="R17" s="1695"/>
      <c r="S17" s="1695"/>
      <c r="T17" s="1695"/>
      <c r="U17" s="1695"/>
    </row>
    <row r="18" spans="1:21">
      <c r="A18" s="1764"/>
      <c r="B18" s="1683"/>
      <c r="C18" s="1684" t="s">
        <v>1966</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66.540000000000006</v>
      </c>
      <c r="E19" s="1686">
        <f>IF(B16="出让",IF(E17="","",ROUNDDOWN(MIN((E17-$D$3)/365,E18),2)),E18)</f>
        <v>36.520000000000003</v>
      </c>
      <c r="F19" s="1686" t="str">
        <f>IF(B16="出让",IF(F17="","",ROUNDDOWN(MIN((F17-$D$3)/365,F18),2)),F18)</f>
        <v/>
      </c>
      <c r="G19" s="1686">
        <f>IF(B16="出让",IF(G17="","",ROUNDDOWN(MIN((G17-$D$3)/365,G18),2)),G18)</f>
        <v>46.53</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2070</v>
      </c>
      <c r="D20" s="3298" t="s">
        <v>2971</v>
      </c>
      <c r="E20" s="3299"/>
      <c r="F20" s="3299"/>
      <c r="G20" s="3299"/>
      <c r="H20" s="3299"/>
      <c r="I20" s="3300"/>
      <c r="J20" s="1695"/>
      <c r="K20" s="1775"/>
      <c r="L20" s="1724"/>
      <c r="M20" s="1724"/>
      <c r="N20" s="1695"/>
      <c r="O20" s="1696"/>
      <c r="P20" s="1695"/>
      <c r="Q20" s="1695"/>
      <c r="R20" s="1695"/>
      <c r="S20" s="1695"/>
      <c r="T20" s="1695"/>
      <c r="U20" s="1695"/>
    </row>
    <row r="21" spans="1:21">
      <c r="A21" s="1764" t="s">
        <v>1968</v>
      </c>
      <c r="B21" s="1765" t="s">
        <v>1969</v>
      </c>
      <c r="C21" s="1760">
        <f>'数据-汇总表'!E3</f>
        <v>134410.88</v>
      </c>
      <c r="D21" s="1761" t="s">
        <v>1970</v>
      </c>
      <c r="E21" s="3288" t="s">
        <v>2972</v>
      </c>
      <c r="F21" s="3289"/>
      <c r="G21" s="3289"/>
      <c r="H21" s="3289"/>
      <c r="I21" s="3290"/>
      <c r="J21" s="1695"/>
      <c r="K21" s="1775"/>
      <c r="L21" s="1724"/>
      <c r="M21" s="1724"/>
      <c r="N21" s="1695"/>
      <c r="O21" s="1696"/>
      <c r="P21" s="1695"/>
      <c r="Q21" s="1695"/>
      <c r="R21" s="1695"/>
      <c r="S21" s="1695"/>
      <c r="T21" s="1695"/>
      <c r="U21" s="1695"/>
    </row>
    <row r="22" spans="1:21">
      <c r="A22" s="2668" t="s">
        <v>955</v>
      </c>
      <c r="B22" s="1662" t="s">
        <v>1971</v>
      </c>
      <c r="C22" s="1687">
        <f>'数据-汇总表'!D3</f>
        <v>47552.7</v>
      </c>
      <c r="D22" s="1688" t="s">
        <v>1970</v>
      </c>
      <c r="E22" s="3288" t="s">
        <v>2973</v>
      </c>
      <c r="F22" s="3289"/>
      <c r="G22" s="3289"/>
      <c r="H22" s="3289"/>
      <c r="I22" s="3290"/>
      <c r="J22" s="1695"/>
      <c r="K22" s="1775"/>
      <c r="L22" s="1724"/>
      <c r="M22" s="1724"/>
      <c r="N22" s="1695"/>
      <c r="O22" s="1696"/>
      <c r="P22" s="1695"/>
      <c r="Q22" s="1695"/>
      <c r="R22" s="1695"/>
      <c r="S22" s="1695"/>
      <c r="T22" s="1695"/>
      <c r="U22" s="1695"/>
    </row>
    <row r="23" spans="1:21" ht="43.5" thickBot="1">
      <c r="A23" s="1766" t="s">
        <v>1972</v>
      </c>
      <c r="B23" s="1702" t="s">
        <v>1973</v>
      </c>
      <c r="C23" s="1703" t="s">
        <v>2974</v>
      </c>
      <c r="D23" s="1704" t="s">
        <v>1974</v>
      </c>
      <c r="E23" s="1705" t="s">
        <v>955</v>
      </c>
      <c r="F23" s="1706" t="str">
        <f>IF(AND(C23="是",E23="否"),"是否提供他项权证或相关说明","")</f>
        <v/>
      </c>
      <c r="G23" s="1707" t="s">
        <v>955</v>
      </c>
      <c r="H23" s="1695"/>
      <c r="I23" s="1708"/>
      <c r="J23" s="1695"/>
      <c r="K23" s="1775"/>
      <c r="L23" s="1724"/>
      <c r="M23" s="1724"/>
      <c r="N23" s="1695"/>
      <c r="O23" s="1696"/>
      <c r="P23" s="1695"/>
      <c r="Q23" s="1695"/>
      <c r="R23" s="1695"/>
      <c r="S23" s="1695"/>
      <c r="T23" s="1695"/>
      <c r="U23" s="1695"/>
    </row>
    <row r="24" spans="1:21">
      <c r="A24" s="1751" t="s">
        <v>1975</v>
      </c>
      <c r="B24" s="3291" t="s">
        <v>1976</v>
      </c>
      <c r="C24" s="3292"/>
      <c r="D24" s="3293" t="s">
        <v>1977</v>
      </c>
      <c r="E24" s="3294"/>
      <c r="F24" s="1709" t="s">
        <v>1978</v>
      </c>
      <c r="G24" s="1695"/>
      <c r="H24" s="1695"/>
      <c r="I24" s="1708"/>
      <c r="J24" s="1695"/>
      <c r="K24" s="3279" t="s">
        <v>1979</v>
      </c>
      <c r="L24" s="2487"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4"/>
      <c r="N24" s="1695"/>
      <c r="O24" s="1696"/>
      <c r="P24" s="1695"/>
      <c r="Q24" s="1695"/>
      <c r="R24" s="1695"/>
      <c r="S24" s="1695"/>
      <c r="T24" s="1695"/>
      <c r="U24" s="1695"/>
    </row>
    <row r="25" spans="1:21" ht="28.5">
      <c r="A25" s="1752"/>
      <c r="B25" s="1749" t="s">
        <v>1981</v>
      </c>
      <c r="C25" s="1710" t="s">
        <v>1980</v>
      </c>
      <c r="D25" s="1711"/>
      <c r="E25" s="1712" t="s">
        <v>955</v>
      </c>
      <c r="F25" s="1713"/>
      <c r="G25" s="1695"/>
      <c r="H25" s="1695"/>
      <c r="I25" s="1708"/>
      <c r="J25" s="1695"/>
      <c r="K25" s="3279"/>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c r="C26" s="1710"/>
      <c r="D26" s="1661"/>
      <c r="E26" s="1661"/>
      <c r="F26" s="1689"/>
      <c r="G26" s="1695"/>
      <c r="H26" s="1695"/>
      <c r="I26" s="1708"/>
      <c r="J26" s="1695"/>
      <c r="K26" s="3279"/>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82"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3"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3"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4" t="s">
        <v>1986</v>
      </c>
      <c r="E30" s="1719"/>
      <c r="F30" s="1690"/>
      <c r="G30" s="1743"/>
      <c r="H30" s="1743"/>
      <c r="I30" s="1744"/>
      <c r="J30" s="1695"/>
      <c r="K30" s="1775"/>
      <c r="L30" s="1724"/>
      <c r="M30" s="1724"/>
      <c r="N30" s="1695"/>
      <c r="O30" s="1696"/>
      <c r="P30" s="1695"/>
      <c r="Q30" s="1695"/>
      <c r="R30" s="1695"/>
      <c r="S30" s="1695"/>
      <c r="T30" s="1695"/>
      <c r="U30" s="1695"/>
    </row>
    <row r="31" spans="1:21" ht="15" thickTop="1">
      <c r="A31" s="3306" t="s">
        <v>2011</v>
      </c>
      <c r="B31" s="1765" t="s">
        <v>2012</v>
      </c>
      <c r="C31" s="3304" t="s">
        <v>2975</v>
      </c>
      <c r="D31" s="3305"/>
      <c r="E31" s="1695"/>
      <c r="F31" s="1695"/>
      <c r="G31" s="1695"/>
      <c r="H31" s="1695"/>
      <c r="I31" s="1708"/>
      <c r="J31" s="1695"/>
      <c r="K31" s="2488"/>
      <c r="L31" s="1695"/>
      <c r="M31" s="1695"/>
      <c r="N31" s="1695"/>
      <c r="O31" s="1695"/>
      <c r="P31" s="1695"/>
      <c r="Q31" s="1695"/>
      <c r="R31" s="1695"/>
      <c r="S31" s="1695"/>
      <c r="T31" s="1695"/>
      <c r="U31" s="1695"/>
    </row>
    <row r="32" spans="1:21">
      <c r="A32" s="3306"/>
      <c r="B32" s="1662" t="s">
        <v>2013</v>
      </c>
      <c r="C32" s="1720" t="s">
        <v>2976</v>
      </c>
      <c r="D32" s="1721"/>
      <c r="E32" s="1695"/>
      <c r="F32" s="1695"/>
      <c r="G32" s="1695"/>
      <c r="H32" s="1695"/>
      <c r="I32" s="1708"/>
      <c r="J32" s="1695"/>
      <c r="K32" s="2488"/>
      <c r="L32" s="1695"/>
      <c r="M32" s="1695"/>
      <c r="N32" s="1695"/>
      <c r="O32" s="1695"/>
      <c r="P32" s="1695"/>
      <c r="Q32" s="1695"/>
      <c r="R32" s="1695"/>
      <c r="S32" s="1695"/>
      <c r="T32" s="1695"/>
      <c r="U32" s="1695"/>
    </row>
    <row r="33" spans="1:21">
      <c r="A33" s="3306"/>
      <c r="B33" s="1662" t="s">
        <v>2014</v>
      </c>
      <c r="C33" s="1722" t="s">
        <v>2974</v>
      </c>
      <c r="D33" s="1839"/>
      <c r="E33" s="1695"/>
      <c r="F33" s="1695"/>
      <c r="G33" s="1695"/>
      <c r="H33" s="1695"/>
      <c r="I33" s="1708"/>
      <c r="J33" s="1695"/>
      <c r="K33" s="2488"/>
      <c r="L33" s="1695"/>
      <c r="M33" s="1695"/>
      <c r="N33" s="1695"/>
      <c r="O33" s="1695"/>
      <c r="P33" s="1695"/>
      <c r="Q33" s="1695"/>
      <c r="R33" s="1695"/>
      <c r="S33" s="1695"/>
      <c r="T33" s="1695"/>
      <c r="U33" s="1695"/>
    </row>
    <row r="34" spans="1:21">
      <c r="A34" s="3307"/>
      <c r="B34" s="1662" t="s">
        <v>2015</v>
      </c>
      <c r="C34" s="3308"/>
      <c r="D34" s="3309"/>
      <c r="E34" s="1695"/>
      <c r="F34" s="1695"/>
      <c r="G34" s="1695"/>
      <c r="H34" s="1695"/>
      <c r="I34" s="1708"/>
      <c r="J34" s="1695"/>
      <c r="K34" s="2488"/>
      <c r="L34" s="1695"/>
      <c r="M34" s="1695"/>
      <c r="N34" s="1695"/>
      <c r="O34" s="1695"/>
      <c r="P34" s="1695"/>
      <c r="Q34" s="1695"/>
      <c r="R34" s="1695"/>
      <c r="S34" s="1695"/>
      <c r="T34" s="1695"/>
      <c r="U34" s="1695"/>
    </row>
    <row r="35" spans="1:21">
      <c r="A35" s="3310" t="s">
        <v>850</v>
      </c>
      <c r="B35" s="1723" t="s">
        <v>2977</v>
      </c>
      <c r="C35" s="1777" t="str">
        <f>IF(B35="场地平整","——","具体情况：")</f>
        <v>具体情况：</v>
      </c>
      <c r="D35" s="3312" t="s">
        <v>2978</v>
      </c>
      <c r="E35" s="3313"/>
      <c r="F35" s="3313"/>
      <c r="G35" s="3313"/>
      <c r="H35" s="3313"/>
      <c r="I35" s="3314"/>
      <c r="J35" s="1695"/>
      <c r="K35" s="1776"/>
      <c r="L35" s="1724"/>
      <c r="M35" s="1724"/>
      <c r="N35" s="1695"/>
      <c r="O35" s="1696"/>
      <c r="P35" s="1695"/>
      <c r="Q35" s="1695"/>
      <c r="R35" s="1695"/>
      <c r="S35" s="1695"/>
      <c r="T35" s="1695"/>
      <c r="U35" s="1695"/>
    </row>
    <row r="36" spans="1:21" ht="28.5">
      <c r="A36" s="3306"/>
      <c r="B36" s="3315" t="s">
        <v>2064</v>
      </c>
      <c r="C36" s="3316"/>
      <c r="D36" s="1793" t="s">
        <v>2979</v>
      </c>
      <c r="E36" s="3317"/>
      <c r="F36" s="3317"/>
      <c r="G36" s="1688" t="str">
        <f>IF(B35="场地未平整","估价结果处理","")</f>
        <v>估价结果处理</v>
      </c>
      <c r="H36" s="3318"/>
      <c r="I36" s="3318"/>
      <c r="J36" s="1695"/>
      <c r="K36" s="1776"/>
      <c r="L36" s="1724"/>
      <c r="M36" s="1724"/>
      <c r="N36" s="1695"/>
      <c r="O36" s="1696"/>
      <c r="P36" s="1695"/>
      <c r="Q36" s="1695"/>
      <c r="R36" s="1695"/>
      <c r="S36" s="1695"/>
      <c r="T36" s="1695"/>
      <c r="U36" s="1695"/>
    </row>
    <row r="37" spans="1:21" ht="28.5">
      <c r="A37" s="3306"/>
      <c r="B37" s="3295"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306"/>
      <c r="B38" s="3296"/>
      <c r="C38" s="1670" t="s">
        <v>853</v>
      </c>
      <c r="D38" s="1792">
        <f>ROUNDDOWN(MIN(('数据-取费表'!$B$2-D37)/365,D34),1)</f>
        <v>117.5</v>
      </c>
      <c r="E38" s="1728" t="s">
        <v>854</v>
      </c>
      <c r="F38" s="1695"/>
      <c r="G38" s="1695"/>
      <c r="H38" s="1695"/>
      <c r="I38" s="1708"/>
      <c r="J38" s="1695"/>
      <c r="K38" s="1776"/>
      <c r="L38" s="1695"/>
      <c r="M38" s="1695"/>
      <c r="N38" s="1695"/>
      <c r="O38" s="1695"/>
      <c r="P38" s="1695"/>
      <c r="Q38" s="1695"/>
      <c r="R38" s="1695"/>
      <c r="S38" s="1695"/>
      <c r="T38" s="1695"/>
      <c r="U38" s="1695"/>
    </row>
    <row r="39" spans="1:21">
      <c r="A39" s="3307"/>
      <c r="B39" s="3297"/>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t="s">
        <v>2980</v>
      </c>
      <c r="C40" s="1691" t="s">
        <v>2981</v>
      </c>
      <c r="D40" s="1691" t="s">
        <v>2982</v>
      </c>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78" t="s">
        <v>1995</v>
      </c>
      <c r="T40" s="1732" t="str">
        <f>NUMBERSTRING(7-K40,1)&amp;"通"</f>
        <v>七通</v>
      </c>
      <c r="U40" s="1695"/>
    </row>
    <row r="41" spans="1:21">
      <c r="A41" s="1664"/>
      <c r="B41" s="3311" t="s">
        <v>1725</v>
      </c>
      <c r="C41" s="3311"/>
      <c r="D41" s="3311"/>
      <c r="E41" s="3311"/>
      <c r="F41" s="1733" t="str">
        <f>C10</f>
        <v>广东省</v>
      </c>
      <c r="G41" s="1695"/>
      <c r="H41" s="1695"/>
      <c r="I41" s="1708"/>
      <c r="J41" s="1695"/>
      <c r="K41" s="1700"/>
      <c r="L41" s="1697" t="str">
        <f>B40</f>
        <v>通上水</v>
      </c>
      <c r="M41" s="1734" t="str">
        <f>B40&amp;"、"&amp;C40</f>
        <v>通上水、通电</v>
      </c>
      <c r="N41" s="1735" t="str">
        <f>B40&amp;"、"&amp;C40&amp;"、"&amp;D40</f>
        <v>通上水、通电、通讯</v>
      </c>
      <c r="O41" s="1735" t="str">
        <f>B40&amp;"、"&amp;C40&amp;"、"&amp;D40&amp;"、"&amp;E40</f>
        <v>通上水、通电、通讯、</v>
      </c>
      <c r="P41" s="1735" t="str">
        <f>B40&amp;"、"&amp;C40&amp;"、"&amp;D40&amp;"、"&amp;E40&amp;"、"&amp;F40</f>
        <v>通上水、通电、通讯、、</v>
      </c>
      <c r="Q41" s="1735" t="str">
        <f>B40&amp;"、"&amp;C40&amp;"、"&amp;D40&amp;"、"&amp;E40&amp;"、"&amp;F40&amp;"、"&amp;G40</f>
        <v>通上水、通电、通讯、、、</v>
      </c>
      <c r="R41" s="1735" t="str">
        <f>B40&amp;"、"&amp;C40&amp;"、"&amp;D40&amp;"、"&amp;E40&amp;"、"&amp;F40&amp;"、"&amp;G40&amp;"、"&amp;H40</f>
        <v>通上水、通电、通讯、、、、</v>
      </c>
      <c r="S41" s="3278"/>
      <c r="T41" s="1734" t="str">
        <f>IF(T40="一通",L41,IF(T40="二通",M41,IF(T40="三通",N41,IF(T40="四通",O41,IF(T40="五通",P41,IF(T40="六通",Q41,R41))))))</f>
        <v>通上水、通电、通讯、、、、</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3" t="s">
        <v>2026</v>
      </c>
      <c r="K48" s="1767" t="s">
        <v>2027</v>
      </c>
      <c r="L48" s="1767" t="s">
        <v>2028</v>
      </c>
      <c r="M48" s="1767" t="s">
        <v>2029</v>
      </c>
      <c r="N48" s="1687" t="s">
        <v>2030</v>
      </c>
      <c r="O48" s="1687" t="s">
        <v>2031</v>
      </c>
      <c r="P48" s="1687" t="s">
        <v>2032</v>
      </c>
      <c r="Q48" s="1700" t="s">
        <v>2033</v>
      </c>
      <c r="R48" s="1700" t="s">
        <v>2034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2342</v>
      </c>
      <c r="BA2" s="2366" t="s">
        <v>2341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30148.2+17404.5</f>
        <v>47552.7</v>
      </c>
      <c r="B3" s="22">
        <f>IF(C3="否",G5-AT5,G5)</f>
        <v>134410.88</v>
      </c>
      <c r="C3" s="23" t="s">
        <v>2974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154560.88</v>
      </c>
      <c r="H5" s="27">
        <f t="shared" ref="H5:AT5" si="0">SUM(H13:H641)</f>
        <v>129210.88</v>
      </c>
      <c r="I5" s="27">
        <f t="shared" si="0"/>
        <v>79200</v>
      </c>
      <c r="J5" s="27">
        <f t="shared" si="0"/>
        <v>0</v>
      </c>
      <c r="K5" s="27">
        <f t="shared" si="0"/>
        <v>5677.36</v>
      </c>
      <c r="L5" s="27">
        <f t="shared" si="0"/>
        <v>0</v>
      </c>
      <c r="M5" s="27">
        <f t="shared" si="0"/>
        <v>4800</v>
      </c>
      <c r="N5" s="27">
        <f t="shared" si="0"/>
        <v>0</v>
      </c>
      <c r="O5" s="27">
        <f t="shared" si="0"/>
        <v>19700</v>
      </c>
      <c r="P5" s="27">
        <f t="shared" si="0"/>
        <v>0</v>
      </c>
      <c r="Q5" s="27">
        <f t="shared" si="0"/>
        <v>14833.519999999997</v>
      </c>
      <c r="R5" s="27">
        <f t="shared" si="0"/>
        <v>0</v>
      </c>
      <c r="S5" s="27">
        <f t="shared" si="0"/>
        <v>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5200</v>
      </c>
      <c r="AD5" s="27">
        <f t="shared" si="0"/>
        <v>5200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20150</v>
      </c>
      <c r="AU5" s="988"/>
      <c r="AV5" s="26" t="s">
        <v>168</v>
      </c>
      <c r="AW5" s="989"/>
      <c r="AX5" s="989"/>
      <c r="AY5" s="28" t="s">
        <v>3</v>
      </c>
      <c r="AZ5" s="29">
        <f t="shared" ref="AZ5:BT5" si="1">SUM(AZ13:AZ641)</f>
        <v>134410.88</v>
      </c>
      <c r="BA5" s="29">
        <f t="shared" si="1"/>
        <v>129210.88</v>
      </c>
      <c r="BB5" s="29">
        <f t="shared" si="1"/>
        <v>79200</v>
      </c>
      <c r="BC5" s="29">
        <f t="shared" si="1"/>
        <v>5677.36</v>
      </c>
      <c r="BD5" s="29">
        <f t="shared" si="1"/>
        <v>4800</v>
      </c>
      <c r="BE5" s="29">
        <f t="shared" si="1"/>
        <v>19700</v>
      </c>
      <c r="BF5" s="29">
        <f t="shared" si="1"/>
        <v>14833.519999999997</v>
      </c>
      <c r="BG5" s="29">
        <f t="shared" si="1"/>
        <v>5000</v>
      </c>
      <c r="BH5" s="29">
        <f t="shared" si="1"/>
        <v>0</v>
      </c>
      <c r="BI5" s="29">
        <f t="shared" si="1"/>
        <v>0</v>
      </c>
      <c r="BJ5" s="29">
        <f t="shared" si="1"/>
        <v>0</v>
      </c>
      <c r="BK5" s="29">
        <f t="shared" si="1"/>
        <v>0</v>
      </c>
      <c r="BL5" s="29">
        <f t="shared" si="1"/>
        <v>5200</v>
      </c>
      <c r="BM5" s="29">
        <f t="shared" si="1"/>
        <v>5200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47552.700000000004</v>
      </c>
      <c r="F6" s="27" t="s">
        <v>1</v>
      </c>
      <c r="G6" s="27" t="s">
        <v>2</v>
      </c>
      <c r="H6" s="33">
        <f>SUMIF(I$12:AB$12,"总值",I6:AB6)</f>
        <v>45713.01</v>
      </c>
      <c r="I6" s="27">
        <f t="shared" ref="I6:AB6" si="2">ROUND($A$3*I5/$B$3,2)</f>
        <v>28019.86</v>
      </c>
      <c r="J6" s="27">
        <f t="shared" si="2"/>
        <v>0</v>
      </c>
      <c r="K6" s="27">
        <f t="shared" si="2"/>
        <v>2008.57</v>
      </c>
      <c r="L6" s="27">
        <f t="shared" si="2"/>
        <v>0</v>
      </c>
      <c r="M6" s="27">
        <f t="shared" si="2"/>
        <v>1698.17</v>
      </c>
      <c r="N6" s="27">
        <f t="shared" si="2"/>
        <v>0</v>
      </c>
      <c r="O6" s="27">
        <f t="shared" si="2"/>
        <v>6969.59</v>
      </c>
      <c r="P6" s="27">
        <f t="shared" si="2"/>
        <v>0</v>
      </c>
      <c r="Q6" s="27">
        <f t="shared" si="2"/>
        <v>5247.89</v>
      </c>
      <c r="R6" s="27">
        <f t="shared" si="2"/>
        <v>0</v>
      </c>
      <c r="S6" s="27">
        <f t="shared" si="2"/>
        <v>1768.93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1839.69</v>
      </c>
      <c r="AD6" s="27">
        <f t="shared" ref="AD6:AS6" si="3">ROUND($A$3*AD5/$B$3,2)</f>
        <v>1839.69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47552.7</v>
      </c>
      <c r="AZ6" s="27" t="s">
        <v>3</v>
      </c>
      <c r="BA6" s="27">
        <f>ROUND($AY$6*BA5/$AZ$5,2)</f>
        <v>45713.01</v>
      </c>
      <c r="BB6" s="27">
        <f>ROUND($AY$6*BB5/$AZ$5,2)</f>
        <v>28019.86</v>
      </c>
      <c r="BC6" s="27">
        <f t="shared" ref="BC6:BH6" si="4">ROUND($AY$6*BC5/$AZ$5,2)</f>
        <v>2008.57</v>
      </c>
      <c r="BD6" s="27">
        <f t="shared" si="4"/>
        <v>1698.17</v>
      </c>
      <c r="BE6" s="27">
        <f t="shared" si="4"/>
        <v>6969.59</v>
      </c>
      <c r="BF6" s="27">
        <f t="shared" si="4"/>
        <v>5247.89</v>
      </c>
      <c r="BG6" s="27">
        <f t="shared" si="4"/>
        <v>1768.93</v>
      </c>
      <c r="BH6" s="27">
        <f t="shared" si="4"/>
        <v>0</v>
      </c>
      <c r="BI6" s="27">
        <f t="shared" ref="BI6:BT6" si="5">ROUND($AY$6*BI5/$AZ$5,2)</f>
        <v>0</v>
      </c>
      <c r="BJ6" s="27">
        <f t="shared" si="5"/>
        <v>0</v>
      </c>
      <c r="BK6" s="27">
        <f t="shared" si="5"/>
        <v>0</v>
      </c>
      <c r="BL6" s="27">
        <f t="shared" si="5"/>
        <v>1839.69</v>
      </c>
      <c r="BM6" s="27">
        <f t="shared" si="5"/>
        <v>1839.69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3" t="s">
        <v>2984</v>
      </c>
      <c r="J9" s="51"/>
      <c r="K9" s="3053" t="s">
        <v>2984</v>
      </c>
      <c r="L9" s="51"/>
      <c r="M9" s="3053" t="s">
        <v>2984</v>
      </c>
      <c r="N9" s="51"/>
      <c r="O9" s="59" t="s">
        <v>2984</v>
      </c>
      <c r="P9" s="51"/>
      <c r="Q9" s="59" t="s">
        <v>2988</v>
      </c>
      <c r="R9" s="51"/>
      <c r="S9" s="59" t="s">
        <v>2988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3" t="s">
        <v>926</v>
      </c>
      <c r="J10" s="51"/>
      <c r="K10" s="3055" t="s">
        <v>2970</v>
      </c>
      <c r="L10" s="51"/>
      <c r="M10" s="3055" t="s">
        <v>2970</v>
      </c>
      <c r="N10" s="51"/>
      <c r="O10" s="66" t="s">
        <v>2970</v>
      </c>
      <c r="P10" s="51"/>
      <c r="Q10" s="66" t="s">
        <v>2989</v>
      </c>
      <c r="R10" s="51"/>
      <c r="S10" s="66" t="s">
        <v>2970</v>
      </c>
      <c r="T10" s="51"/>
      <c r="U10" s="66"/>
      <c r="V10" s="51"/>
      <c r="W10" s="66"/>
      <c r="X10" s="51"/>
      <c r="Y10" s="66"/>
      <c r="Z10" s="51"/>
      <c r="AA10" s="66"/>
      <c r="AB10" s="51"/>
      <c r="AC10" s="55"/>
      <c r="AD10" s="2319" t="s">
        <v>2328</v>
      </c>
      <c r="AE10" s="2341"/>
      <c r="AF10" s="2319" t="s">
        <v>2328</v>
      </c>
      <c r="AG10" s="2341"/>
      <c r="AH10" s="2319" t="s">
        <v>2329</v>
      </c>
      <c r="AI10" s="2341"/>
      <c r="AJ10" s="26" t="s">
        <v>2340</v>
      </c>
      <c r="AK10" s="2338"/>
      <c r="AL10" s="2319" t="s">
        <v>2330</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4" t="s">
        <v>2985</v>
      </c>
      <c r="J11" s="71"/>
      <c r="K11" s="3054" t="s">
        <v>2983</v>
      </c>
      <c r="L11" s="71"/>
      <c r="M11" s="70" t="s">
        <v>2987</v>
      </c>
      <c r="N11" s="71"/>
      <c r="O11" s="70" t="s">
        <v>2986</v>
      </c>
      <c r="P11" s="71"/>
      <c r="Q11" s="70" t="s">
        <v>2989</v>
      </c>
      <c r="R11" s="71"/>
      <c r="S11" s="70" t="s">
        <v>2986</v>
      </c>
      <c r="T11" s="71"/>
      <c r="U11" s="70"/>
      <c r="V11" s="71"/>
      <c r="W11" s="70"/>
      <c r="X11" s="71"/>
      <c r="Y11" s="70"/>
      <c r="Z11" s="71"/>
      <c r="AA11" s="70"/>
      <c r="AB11" s="71"/>
      <c r="AC11" s="55"/>
      <c r="AD11" s="2339" t="s">
        <v>2339</v>
      </c>
      <c r="AE11" s="1002"/>
      <c r="AF11" s="2339" t="s">
        <v>2339</v>
      </c>
      <c r="AG11" s="1002"/>
      <c r="AH11" s="2339" t="s">
        <v>2338</v>
      </c>
      <c r="AI11" s="2340"/>
      <c r="AJ11" s="2339" t="s">
        <v>2338</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公寓</v>
      </c>
      <c r="BD12" s="79" t="str">
        <f>M11</f>
        <v>底商</v>
      </c>
      <c r="BE12" s="50" t="str">
        <f>O11</f>
        <v>独立商业</v>
      </c>
      <c r="BF12" s="50" t="str">
        <f>Q11</f>
        <v>车库</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8"/>
      <c r="B13" s="3048"/>
      <c r="C13" s="3048"/>
      <c r="D13" s="3049" t="s">
        <v>1682</v>
      </c>
      <c r="E13" s="27">
        <f t="shared" ref="E13:E20" si="6">IF($C$3="是",ROUND($A$3*G13/$B$3,2),ROUND($A$3*(G13-AT13)/$B$3,2))</f>
        <v>47552.7</v>
      </c>
      <c r="F13" s="81"/>
      <c r="G13" s="82">
        <f t="shared" ref="G13:G20" si="7">H13+AC13+AT13</f>
        <v>154560.88</v>
      </c>
      <c r="H13" s="33">
        <f t="shared" ref="H13:H20" si="8">SUMIF(I$12:AB$12,"总值",I13:AB13)</f>
        <v>129210.88</v>
      </c>
      <c r="I13" s="3052">
        <v>79200</v>
      </c>
      <c r="J13" s="3052"/>
      <c r="K13" s="3052">
        <f>6477.36-800</f>
        <v>5677.36</v>
      </c>
      <c r="L13" s="3052"/>
      <c r="M13" s="3052">
        <f>800+4000</f>
        <v>4800</v>
      </c>
      <c r="N13" s="83"/>
      <c r="O13" s="83">
        <f>13000+6700</f>
        <v>19700</v>
      </c>
      <c r="P13" s="83"/>
      <c r="Q13" s="83">
        <f>34983.52-AT13</f>
        <v>14833.519999999997</v>
      </c>
      <c r="R13" s="83"/>
      <c r="S13" s="83">
        <f>4500+500</f>
        <v>5000</v>
      </c>
      <c r="T13" s="83"/>
      <c r="U13" s="83"/>
      <c r="V13" s="83"/>
      <c r="W13" s="83"/>
      <c r="X13" s="83"/>
      <c r="Y13" s="83"/>
      <c r="Z13" s="83"/>
      <c r="AA13" s="83"/>
      <c r="AB13" s="83"/>
      <c r="AC13" s="27">
        <f t="shared" ref="AC13:AC20" si="9">SUMIF(AD$12:AS$12,"总值",AD13:AS13)</f>
        <v>5200</v>
      </c>
      <c r="AD13" s="3056">
        <v>5200</v>
      </c>
      <c r="AE13" s="3056"/>
      <c r="AF13" s="3056"/>
      <c r="AG13" s="3056"/>
      <c r="AH13" s="3056"/>
      <c r="AI13" s="3056"/>
      <c r="AJ13" s="3056"/>
      <c r="AK13" s="3056"/>
      <c r="AL13" s="3056"/>
      <c r="AM13" s="3056"/>
      <c r="AN13" s="3056"/>
      <c r="AO13" s="3056"/>
      <c r="AP13" s="3056"/>
      <c r="AQ13" s="3056"/>
      <c r="AR13" s="3056"/>
      <c r="AS13" s="3056"/>
      <c r="AT13" s="3057">
        <v>20150</v>
      </c>
      <c r="AU13" s="3058"/>
      <c r="AV13" s="17">
        <f t="shared" ref="AV13:AX20" si="10">A13</f>
        <v>0</v>
      </c>
      <c r="AW13" s="17">
        <f t="shared" si="10"/>
        <v>0</v>
      </c>
      <c r="AX13" s="17">
        <f t="shared" si="10"/>
        <v>0</v>
      </c>
      <c r="AY13" s="996">
        <f t="shared" ref="AY13:AY20" si="11">ROUND($AY$6*AZ13/$AZ$5,2)</f>
        <v>47552.7</v>
      </c>
      <c r="AZ13" s="27">
        <f t="shared" ref="AZ13:AZ20" si="12">BA13+BL13</f>
        <v>134410.88</v>
      </c>
      <c r="BA13" s="27">
        <f t="shared" ref="BA13:BA20" si="13">SUM(BB13:BK13)</f>
        <v>129210.88</v>
      </c>
      <c r="BB13" s="27">
        <f t="shared" ref="BB13:BB20" si="14">IF($D13="是",I13-J13,0)</f>
        <v>79200</v>
      </c>
      <c r="BC13" s="27">
        <f t="shared" ref="BC13:BC20" si="15">IF($D13="是",K13-L13,0)</f>
        <v>5677.36</v>
      </c>
      <c r="BD13" s="27">
        <f t="shared" ref="BD13:BD20" si="16">IF($D13="是",M13-N13,0)</f>
        <v>4800</v>
      </c>
      <c r="BE13" s="27">
        <f t="shared" ref="BE13:BE20" si="17">IF($D13="是",O13-P13,0)</f>
        <v>19700</v>
      </c>
      <c r="BF13" s="27">
        <f t="shared" ref="BF13:BF20" si="18">IF($D13="是",Q13-R13,0)</f>
        <v>14833.519999999997</v>
      </c>
      <c r="BG13" s="27">
        <f t="shared" ref="BG13:BG20" si="19">IF($D13="是",S13-T13,0)</f>
        <v>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5200</v>
      </c>
      <c r="BM13" s="27">
        <f t="shared" ref="BM13:BM20" si="25">IF($D13="是",AD13-AE13,0)</f>
        <v>5200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8" sqref="D28:G2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0" t="s">
        <v>203</v>
      </c>
      <c r="B2" s="3330"/>
      <c r="C2" s="3330"/>
      <c r="D2" s="1976" t="s">
        <v>204</v>
      </c>
      <c r="E2" s="106" t="s">
        <v>205</v>
      </c>
      <c r="F2" s="1985"/>
      <c r="G2" s="1198"/>
      <c r="H2" s="1199"/>
      <c r="I2" s="1200" t="s">
        <v>860</v>
      </c>
      <c r="J2" s="1985"/>
      <c r="K2" s="1985"/>
      <c r="L2" s="1985"/>
    </row>
    <row r="3" spans="1:16" ht="15.75" thickBot="1">
      <c r="A3" s="3331" t="s">
        <v>206</v>
      </c>
      <c r="B3" s="3331"/>
      <c r="C3" s="3331"/>
      <c r="D3" s="107">
        <f>'数据-基础表'!AY6</f>
        <v>47552.7</v>
      </c>
      <c r="E3" s="107">
        <f>'数据-基础表'!AZ5</f>
        <v>134410.88</v>
      </c>
      <c r="F3" s="1985"/>
      <c r="G3" s="280" t="s">
        <v>861</v>
      </c>
      <c r="H3" s="275" t="s">
        <v>862</v>
      </c>
      <c r="I3" s="1977">
        <f>ROUND('数据-基础表'!B3/'数据-基础表'!A3,2)</f>
        <v>2.83</v>
      </c>
      <c r="J3" s="1985"/>
      <c r="K3" s="1985"/>
      <c r="L3" s="1985"/>
    </row>
    <row r="4" spans="1:16" ht="15">
      <c r="A4" s="3332"/>
      <c r="B4" s="3333"/>
      <c r="C4" s="3334"/>
      <c r="D4" s="108" t="s">
        <v>204</v>
      </c>
      <c r="E4" s="109" t="s">
        <v>205</v>
      </c>
      <c r="F4" s="1985"/>
      <c r="G4" s="1201"/>
      <c r="H4" s="275" t="s">
        <v>863</v>
      </c>
      <c r="I4" s="1977">
        <f>ROUND(SUMIF('数据-基础表'!I9:AS9,"地上",'数据-基础表'!I5:AS5)/'数据-基础表'!A3,2)</f>
        <v>2.41</v>
      </c>
      <c r="J4" s="1985"/>
      <c r="K4" s="1985"/>
      <c r="L4" s="1985"/>
    </row>
    <row r="5" spans="1:16">
      <c r="A5" s="110" t="s">
        <v>207</v>
      </c>
      <c r="B5" s="3335" t="s">
        <v>230</v>
      </c>
      <c r="C5" s="3335"/>
      <c r="D5" s="111">
        <f>ROUND($D$3*E5/$E$3,2)</f>
        <v>28019.86</v>
      </c>
      <c r="E5" s="112">
        <f>SUMIF('数据-基础表'!$11:$11,"住宅",'数据-基础表'!$5:$5)</f>
        <v>79200</v>
      </c>
      <c r="F5" s="1985"/>
      <c r="G5" s="280" t="s">
        <v>864</v>
      </c>
      <c r="H5" s="275" t="s">
        <v>862</v>
      </c>
      <c r="I5" s="1977">
        <f>ROUND(E31/D31,2)</f>
        <v>2.83</v>
      </c>
      <c r="J5" s="1985"/>
      <c r="K5" s="1985"/>
      <c r="L5" s="1985"/>
    </row>
    <row r="6" spans="1:16" ht="15" thickBot="1">
      <c r="A6" s="113"/>
      <c r="B6" s="3335" t="s">
        <v>208</v>
      </c>
      <c r="C6" s="3335"/>
      <c r="D6" s="111">
        <f>ROUND($D$3*E6/$E$3,2)</f>
        <v>19532.84</v>
      </c>
      <c r="E6" s="112">
        <f>E3-E5</f>
        <v>55210.880000000005</v>
      </c>
      <c r="F6" s="1985"/>
      <c r="G6" s="1201"/>
      <c r="H6" s="275" t="s">
        <v>863</v>
      </c>
      <c r="I6" s="1977">
        <f>ROUND(F31/D31,2)</f>
        <v>2.41</v>
      </c>
      <c r="J6" s="1985"/>
      <c r="K6" s="1985"/>
      <c r="L6" s="1985"/>
    </row>
    <row r="7" spans="1:16" ht="15">
      <c r="A7" s="3327"/>
      <c r="B7" s="3328"/>
      <c r="C7" s="3329"/>
      <c r="D7" s="108" t="s">
        <v>204</v>
      </c>
      <c r="E7" s="114" t="s">
        <v>231</v>
      </c>
      <c r="F7" s="1985"/>
      <c r="G7" s="1156" t="s">
        <v>1649</v>
      </c>
      <c r="H7" s="1157"/>
      <c r="I7" s="1848"/>
      <c r="J7" s="1985"/>
      <c r="K7" s="1985"/>
      <c r="L7" s="1985"/>
    </row>
    <row r="8" spans="1:16">
      <c r="A8" s="110" t="s">
        <v>209</v>
      </c>
      <c r="B8" s="115" t="s">
        <v>210</v>
      </c>
      <c r="C8" s="111" t="s">
        <v>211</v>
      </c>
      <c r="D8" s="111">
        <f t="shared" ref="D8:D15" si="0">ROUND($D$3*E8/$E$3,2)</f>
        <v>38696.19</v>
      </c>
      <c r="E8" s="116">
        <f>SUMIF('数据-基础表'!BB10:BK10,"地上",'数据-基础表'!BB5:BK5)</f>
        <v>109377.36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1768.93</v>
      </c>
      <c r="E10" s="116">
        <f>SUMPRODUCT(('数据-基础表'!BB10:BK10="地下")*('数据-基础表'!BB11:BK11="商业")*('数据-基础表'!BB5:BK5))</f>
        <v>5000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5247.89</v>
      </c>
      <c r="E13" s="116">
        <f>SUMPRODUCT(('数据-基础表'!BB10:BK10="地下")*('数据-基础表'!BB11:BK11="车库")*('数据-基础表'!BB5:BK5))</f>
        <v>14833.519999999997</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45713.01</v>
      </c>
      <c r="E16" s="120">
        <f>SUM(E8:E15)</f>
        <v>129210.88</v>
      </c>
      <c r="F16" s="1985"/>
      <c r="G16" s="1987"/>
      <c r="H16" s="968" t="s">
        <v>219</v>
      </c>
      <c r="I16" s="969"/>
      <c r="J16" s="1985"/>
      <c r="K16" s="3321" t="s">
        <v>2578</v>
      </c>
      <c r="L16" s="3322"/>
      <c r="M16" s="3322"/>
      <c r="N16" s="3322"/>
      <c r="O16" s="3322"/>
      <c r="P16" s="3323"/>
    </row>
    <row r="17" spans="1:19" ht="15">
      <c r="A17" s="121" t="s">
        <v>216</v>
      </c>
      <c r="B17" s="122" t="s">
        <v>217</v>
      </c>
      <c r="C17" s="2303" t="s">
        <v>2324</v>
      </c>
      <c r="D17" s="108" t="s">
        <v>204</v>
      </c>
      <c r="E17" s="124" t="s">
        <v>205</v>
      </c>
      <c r="F17" s="125"/>
      <c r="G17" s="1366"/>
      <c r="H17" s="970" t="s">
        <v>218</v>
      </c>
      <c r="I17" s="971" t="s">
        <v>2323</v>
      </c>
      <c r="J17" s="1985"/>
      <c r="K17" s="3324" t="s">
        <v>2579</v>
      </c>
      <c r="L17" s="3325"/>
      <c r="M17" s="3326"/>
      <c r="N17" s="3324" t="s">
        <v>2580</v>
      </c>
      <c r="O17" s="3325"/>
      <c r="P17" s="3326"/>
      <c r="R17" s="2304" t="s">
        <v>2322</v>
      </c>
      <c r="S17" s="144"/>
    </row>
    <row r="18" spans="1:19" ht="15">
      <c r="A18" s="117"/>
      <c r="B18" s="128"/>
      <c r="C18" s="129"/>
      <c r="D18" s="2673"/>
      <c r="E18" s="130" t="s">
        <v>220</v>
      </c>
      <c r="F18" s="131" t="s">
        <v>221</v>
      </c>
      <c r="G18" s="1367" t="s">
        <v>222</v>
      </c>
      <c r="H18" s="972" t="s">
        <v>223</v>
      </c>
      <c r="I18" s="973" t="s">
        <v>224</v>
      </c>
      <c r="J18" s="1985"/>
      <c r="K18" s="2635" t="s">
        <v>2581</v>
      </c>
      <c r="L18" s="2636" t="s">
        <v>2582</v>
      </c>
      <c r="M18" s="2637" t="s">
        <v>2583</v>
      </c>
      <c r="N18" s="2635" t="s">
        <v>2581</v>
      </c>
      <c r="O18" s="2636" t="s">
        <v>2582</v>
      </c>
      <c r="P18" s="2637" t="s">
        <v>2583</v>
      </c>
      <c r="R18" s="2305" t="s">
        <v>2320</v>
      </c>
      <c r="S18" s="2305" t="s">
        <v>2321</v>
      </c>
    </row>
    <row r="19" spans="1:19">
      <c r="A19" s="133"/>
      <c r="B19" s="115" t="s">
        <v>225</v>
      </c>
      <c r="C19" s="3059" t="s">
        <v>2990</v>
      </c>
      <c r="D19" s="111">
        <f t="shared" ref="D19:D26" si="1">ROUND($D$3*E19/$E$3,2)</f>
        <v>28019.86</v>
      </c>
      <c r="E19" s="134">
        <f t="shared" ref="E19:E26" si="2">SUM(F19:G19)</f>
        <v>79200</v>
      </c>
      <c r="F19" s="135">
        <f>'数据-基础表'!I13</f>
        <v>79200</v>
      </c>
      <c r="G19" s="1368"/>
      <c r="H19" s="974">
        <f>ROUND($D$3*I19/$E$3,2)</f>
        <v>1839.69</v>
      </c>
      <c r="I19" s="116">
        <f>IF($I$17="自定义",P19,M19)</f>
        <v>5200</v>
      </c>
      <c r="J19" s="1985"/>
      <c r="K19" s="2638">
        <f t="shared" ref="K19:K26" si="3">ROUND(E$28*E19/E$27,2)</f>
        <v>0</v>
      </c>
      <c r="L19" s="275">
        <f t="shared" ref="L19:L26" si="4">ROUND(IF(COUNTIF(C19,"*住宅*")&gt;0,E$29*E19/E$32,0),2)</f>
        <v>5200</v>
      </c>
      <c r="M19" s="2639">
        <f>K19+L19</f>
        <v>5200</v>
      </c>
      <c r="N19" s="2640"/>
      <c r="O19" s="2641"/>
      <c r="P19" s="2642">
        <f>N19+O19</f>
        <v>0</v>
      </c>
      <c r="R19" s="275">
        <f t="shared" ref="R19:S26" si="5">D19+H19</f>
        <v>29859.55</v>
      </c>
      <c r="S19" s="2306">
        <f t="shared" si="5"/>
        <v>84400</v>
      </c>
    </row>
    <row r="20" spans="1:19">
      <c r="A20" s="138"/>
      <c r="B20" s="115" t="s">
        <v>226</v>
      </c>
      <c r="C20" s="3059" t="s">
        <v>3028</v>
      </c>
      <c r="D20" s="111">
        <f t="shared" si="1"/>
        <v>2008.57</v>
      </c>
      <c r="E20" s="134">
        <f t="shared" si="2"/>
        <v>5677.36</v>
      </c>
      <c r="F20" s="135">
        <f>'数据-基础表'!K13</f>
        <v>5677.36</v>
      </c>
      <c r="G20" s="1368"/>
      <c r="H20" s="974">
        <f t="shared" ref="H20:H26" si="6">ROUND($D$3*I20/$E$3,2)</f>
        <v>0</v>
      </c>
      <c r="I20" s="116">
        <f t="shared" ref="I20:I26" si="7">IF($I$17="自定义",P20,M20)</f>
        <v>0</v>
      </c>
      <c r="J20" s="1985"/>
      <c r="K20" s="2638">
        <f t="shared" si="3"/>
        <v>0</v>
      </c>
      <c r="L20" s="275">
        <f t="shared" si="4"/>
        <v>0</v>
      </c>
      <c r="M20" s="2639">
        <f t="shared" ref="M20:M26" si="8">K20+L20</f>
        <v>0</v>
      </c>
      <c r="N20" s="2640"/>
      <c r="O20" s="2641"/>
      <c r="P20" s="2642">
        <f t="shared" ref="P20:P26" si="9">N20+O20</f>
        <v>0</v>
      </c>
      <c r="R20" s="275">
        <f t="shared" si="5"/>
        <v>2008.57</v>
      </c>
      <c r="S20" s="2306">
        <f t="shared" si="5"/>
        <v>5677.36</v>
      </c>
    </row>
    <row r="21" spans="1:19">
      <c r="A21" s="138"/>
      <c r="B21" s="115" t="s">
        <v>226</v>
      </c>
      <c r="C21" s="3059" t="s">
        <v>2991</v>
      </c>
      <c r="D21" s="111">
        <f t="shared" si="1"/>
        <v>1698.17</v>
      </c>
      <c r="E21" s="134">
        <f t="shared" si="2"/>
        <v>4800</v>
      </c>
      <c r="F21" s="135">
        <f>'数据-基础表'!M13</f>
        <v>4800</v>
      </c>
      <c r="G21" s="1368"/>
      <c r="H21" s="974">
        <f t="shared" si="6"/>
        <v>0</v>
      </c>
      <c r="I21" s="116">
        <f t="shared" si="7"/>
        <v>0</v>
      </c>
      <c r="J21" s="1985"/>
      <c r="K21" s="2638">
        <f t="shared" si="3"/>
        <v>0</v>
      </c>
      <c r="L21" s="275">
        <f t="shared" si="4"/>
        <v>0</v>
      </c>
      <c r="M21" s="2639">
        <f t="shared" si="8"/>
        <v>0</v>
      </c>
      <c r="N21" s="2640"/>
      <c r="O21" s="2641"/>
      <c r="P21" s="2642">
        <f t="shared" si="9"/>
        <v>0</v>
      </c>
      <c r="R21" s="275">
        <f t="shared" si="5"/>
        <v>1698.17</v>
      </c>
      <c r="S21" s="2306">
        <f t="shared" si="5"/>
        <v>4800</v>
      </c>
    </row>
    <row r="22" spans="1:19">
      <c r="A22" s="138"/>
      <c r="B22" s="115" t="s">
        <v>226</v>
      </c>
      <c r="C22" s="3138" t="s">
        <v>3029</v>
      </c>
      <c r="D22" s="111">
        <f t="shared" si="1"/>
        <v>6969.59</v>
      </c>
      <c r="E22" s="134">
        <f t="shared" si="2"/>
        <v>19700</v>
      </c>
      <c r="F22" s="140">
        <f>'数据-基础表'!O13</f>
        <v>19700</v>
      </c>
      <c r="G22" s="1369"/>
      <c r="H22" s="974">
        <f t="shared" si="6"/>
        <v>0</v>
      </c>
      <c r="I22" s="116">
        <f t="shared" si="7"/>
        <v>0</v>
      </c>
      <c r="J22" s="1985"/>
      <c r="K22" s="2638">
        <f t="shared" si="3"/>
        <v>0</v>
      </c>
      <c r="L22" s="275">
        <f t="shared" si="4"/>
        <v>0</v>
      </c>
      <c r="M22" s="2639">
        <f t="shared" si="8"/>
        <v>0</v>
      </c>
      <c r="N22" s="2640"/>
      <c r="O22" s="2641"/>
      <c r="P22" s="2642">
        <f t="shared" si="9"/>
        <v>0</v>
      </c>
      <c r="R22" s="275">
        <f t="shared" si="5"/>
        <v>6969.59</v>
      </c>
      <c r="S22" s="2306">
        <f t="shared" si="5"/>
        <v>19700</v>
      </c>
    </row>
    <row r="23" spans="1:19">
      <c r="A23" s="138"/>
      <c r="B23" s="115" t="s">
        <v>226</v>
      </c>
      <c r="C23" s="3138" t="s">
        <v>3030</v>
      </c>
      <c r="D23" s="111">
        <f>ROUND($D$3*E23/$E$3,2)</f>
        <v>1768.93</v>
      </c>
      <c r="E23" s="134">
        <f>SUM(F23:G23)</f>
        <v>5000</v>
      </c>
      <c r="F23" s="140"/>
      <c r="G23" s="1369">
        <f>'数据-基础表'!S13</f>
        <v>5000</v>
      </c>
      <c r="H23" s="974">
        <f>ROUND($D$3*I23/$E$3,2)</f>
        <v>0</v>
      </c>
      <c r="I23" s="116">
        <f t="shared" si="7"/>
        <v>0</v>
      </c>
      <c r="J23" s="1985"/>
      <c r="K23" s="2638">
        <f t="shared" si="3"/>
        <v>0</v>
      </c>
      <c r="L23" s="275">
        <f t="shared" si="4"/>
        <v>0</v>
      </c>
      <c r="M23" s="2639">
        <f t="shared" si="8"/>
        <v>0</v>
      </c>
      <c r="N23" s="2640"/>
      <c r="O23" s="2641"/>
      <c r="P23" s="2642">
        <f t="shared" si="9"/>
        <v>0</v>
      </c>
      <c r="R23" s="275">
        <f t="shared" si="5"/>
        <v>1768.93</v>
      </c>
      <c r="S23" s="2306">
        <f t="shared" si="5"/>
        <v>5000</v>
      </c>
    </row>
    <row r="24" spans="1:19">
      <c r="A24" s="138"/>
      <c r="B24" s="115" t="s">
        <v>226</v>
      </c>
      <c r="C24" s="3138" t="s">
        <v>3031</v>
      </c>
      <c r="D24" s="111">
        <f>ROUND($D$3*E24/$E$3,2)</f>
        <v>5247.89</v>
      </c>
      <c r="E24" s="134">
        <f>SUM(F24:G24)</f>
        <v>14833.519999999997</v>
      </c>
      <c r="F24" s="140"/>
      <c r="G24" s="1369">
        <f>'数据-基础表'!Q13</f>
        <v>14833.519999999997</v>
      </c>
      <c r="H24" s="974">
        <f>ROUND($D$3*I24/$E$3,2)</f>
        <v>0</v>
      </c>
      <c r="I24" s="116">
        <f t="shared" si="7"/>
        <v>0</v>
      </c>
      <c r="J24" s="1985"/>
      <c r="K24" s="2638">
        <f t="shared" si="3"/>
        <v>0</v>
      </c>
      <c r="L24" s="275">
        <f t="shared" si="4"/>
        <v>0</v>
      </c>
      <c r="M24" s="2639">
        <f t="shared" si="8"/>
        <v>0</v>
      </c>
      <c r="N24" s="2640"/>
      <c r="O24" s="2641"/>
      <c r="P24" s="2642">
        <f t="shared" si="9"/>
        <v>0</v>
      </c>
      <c r="R24" s="275">
        <f t="shared" si="5"/>
        <v>5247.89</v>
      </c>
      <c r="S24" s="2306">
        <f t="shared" si="5"/>
        <v>14833.519999999997</v>
      </c>
    </row>
    <row r="25" spans="1:19">
      <c r="A25" s="138"/>
      <c r="B25" s="115" t="s">
        <v>226</v>
      </c>
      <c r="C25" s="139"/>
      <c r="D25" s="111">
        <f t="shared" si="1"/>
        <v>0</v>
      </c>
      <c r="E25" s="134">
        <f t="shared" si="2"/>
        <v>0</v>
      </c>
      <c r="F25" s="140"/>
      <c r="G25" s="1369"/>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69"/>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15.75" thickBot="1">
      <c r="A27" s="138"/>
      <c r="B27" s="111"/>
      <c r="C27" s="127" t="s">
        <v>215</v>
      </c>
      <c r="D27" s="134">
        <f>SUM(D19:D26)</f>
        <v>45713.01</v>
      </c>
      <c r="E27" s="143">
        <f>IF(SUM(E19:E26)='数据-基础表'!BA5,SUM(E19:E26),IF(F27="地上面积有误","面积有误","地下面积有误"))</f>
        <v>129210.88</v>
      </c>
      <c r="F27" s="134">
        <f>IF(SUM(F19:F26)=E8,SUM(F19:F26),"地上面积有误")</f>
        <v>109377.36</v>
      </c>
      <c r="G27" s="112">
        <f>SUM(G19:G26)</f>
        <v>19833.519999999997</v>
      </c>
      <c r="H27" s="975">
        <f>SUM(H19:H26)</f>
        <v>1839.69</v>
      </c>
      <c r="I27" s="976">
        <f>SUM(I19:I26)</f>
        <v>5200</v>
      </c>
      <c r="J27" s="1985"/>
      <c r="K27" s="2647">
        <f>SUM(K19:K26)</f>
        <v>0</v>
      </c>
      <c r="L27" s="2648">
        <f>SUM(L19:L26)</f>
        <v>5200</v>
      </c>
      <c r="M27" s="2649">
        <f>SUM(M19:M26)</f>
        <v>5200</v>
      </c>
      <c r="N27" s="2647">
        <f t="shared" ref="N27:O27" si="10">SUM(N19:N26)</f>
        <v>0</v>
      </c>
      <c r="O27" s="2648">
        <f t="shared" si="10"/>
        <v>0</v>
      </c>
      <c r="P27" s="2650">
        <f>SUM(P19:P26)</f>
        <v>0</v>
      </c>
      <c r="R27" s="2310">
        <f>IF(SUM(R19:R26)=$D$3,SUM(R19:R26),SUM(R19:R26)&amp;"误差"&amp;ROUND(SUM(R19:R26)-$D$3,2))</f>
        <v>47552.700000000004</v>
      </c>
      <c r="S27" s="275">
        <f>IF(SUM(S19:S26)=$E$3,SUM(S19:S26),SUM(S19:S26)&amp;"误差"&amp;ROUND(SUM(S19:S26)-E3,2))</f>
        <v>134410.88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2331</v>
      </c>
      <c r="D29" s="111">
        <f>ROUND($D$3*E29/$E$3,2)</f>
        <v>1839.69</v>
      </c>
      <c r="E29" s="134">
        <f>SUM(F29:G29)</f>
        <v>5200</v>
      </c>
      <c r="F29" s="144">
        <f>'数据-基础表'!BM5+'数据-基础表'!BO5</f>
        <v>5200</v>
      </c>
      <c r="G29" s="146">
        <f>'数据-基础表'!BN5+'数据-基础表'!BP5</f>
        <v>0</v>
      </c>
      <c r="H29" s="1985"/>
      <c r="I29" s="1985"/>
      <c r="J29" s="1985"/>
      <c r="K29" s="1985"/>
      <c r="L29" s="1985"/>
    </row>
    <row r="30" spans="1:19">
      <c r="A30" s="138"/>
      <c r="B30" s="111"/>
      <c r="C30" s="147" t="s">
        <v>215</v>
      </c>
      <c r="D30" s="134">
        <f>SUM(D28:D29)</f>
        <v>1839.69</v>
      </c>
      <c r="E30" s="134">
        <f>SUM(E28:E29)</f>
        <v>5200</v>
      </c>
      <c r="F30" s="134">
        <f>SUM(F28:F29)</f>
        <v>5200</v>
      </c>
      <c r="G30" s="112">
        <f>SUM(G28:G29)</f>
        <v>0</v>
      </c>
      <c r="H30" s="1985"/>
      <c r="I30" s="1985"/>
      <c r="J30" s="1985"/>
      <c r="K30" s="1985"/>
      <c r="L30" s="1985"/>
    </row>
    <row r="31" spans="1:19" ht="32.25" customHeight="1" thickBot="1">
      <c r="A31" s="1370"/>
      <c r="B31" s="1371" t="s">
        <v>229</v>
      </c>
      <c r="C31" s="2335" t="s">
        <v>2333</v>
      </c>
      <c r="D31" s="1372">
        <f>D27+D30</f>
        <v>47552.700000000004</v>
      </c>
      <c r="E31" s="1372">
        <f>E27+E30</f>
        <v>134410.88</v>
      </c>
      <c r="F31" s="1373">
        <f>F27+F30</f>
        <v>114577.36</v>
      </c>
      <c r="G31" s="1374">
        <f>G27+G30</f>
        <v>19833.519999999997</v>
      </c>
      <c r="H31" s="1985"/>
      <c r="I31" s="1985"/>
      <c r="J31" s="1985"/>
      <c r="K31" s="1985"/>
      <c r="L31" s="1985"/>
    </row>
    <row r="32" spans="1:19">
      <c r="A32" s="1985"/>
      <c r="B32" s="2368" t="s">
        <v>2332</v>
      </c>
      <c r="C32" s="2678"/>
      <c r="D32" s="1201"/>
      <c r="E32" s="1201">
        <f>SUMIF(C19:C26,"*住宅*",E19:E26)</f>
        <v>79200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7"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2334</v>
      </c>
      <c r="AI5" s="171" t="s">
        <v>2302</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67205</v>
      </c>
      <c r="F6" s="174">
        <f>SUMIF(项目基本情况!D$15:I$15,C6,项目基本情况!D$19:I$19)</f>
        <v>66.540000000000006</v>
      </c>
      <c r="G6" s="175">
        <f>IF(ISERROR(ROUND(POWER(1+H6,D6-F6)*(POWER(1+H6,F6)-1)/(POWER(1+H6,D6)-1),3)),0,ROUND(POWER(1+H6,D6-F6)*(POWER(1+H6,F6)-1)/(POWER(1+H6,D6)-1),3))</f>
        <v>0.99199999999999999</v>
      </c>
      <c r="H6" s="3060">
        <v>4.4999999999999998E-2</v>
      </c>
      <c r="I6" s="3060">
        <v>0.05</v>
      </c>
      <c r="J6" s="176">
        <v>8.5000000000000006E-2</v>
      </c>
      <c r="K6" s="179">
        <f>SUMIF('数据-汇总表'!C$19:C$33,'数据-取费表'!A6,'数据-汇总表'!E$19:E$33)</f>
        <v>79200</v>
      </c>
      <c r="L6" s="3244">
        <v>2700</v>
      </c>
      <c r="M6" s="177">
        <f t="shared" ref="M6:M14" si="0">ROUND(K6*L6/10000,0)</f>
        <v>21384</v>
      </c>
      <c r="N6" s="3061">
        <v>0</v>
      </c>
      <c r="O6" s="177">
        <f>IF($N$5="成新度","——",ROUND(M6*N6,0))</f>
        <v>0</v>
      </c>
      <c r="P6" s="178">
        <f>IF($N$5="成新度","——",M6-O6)</f>
        <v>21384</v>
      </c>
      <c r="Q6" s="3062">
        <v>0.25</v>
      </c>
      <c r="R6" s="179">
        <f>SUMIF('数据-汇总表'!C$19:C$33,A6,'数据-汇总表'!R$19:R$33)</f>
        <v>29859.55</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c r="AO6" s="2001"/>
      <c r="AP6" s="1204">
        <f>ROUND(1-1/(1+H6)^F6,3)</f>
        <v>0.94699999999999995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商务公寓</v>
      </c>
      <c r="B7" s="2342" t="str">
        <f t="shared" ref="B7:B13" si="1">IF(A7=0,"","经营性")</f>
        <v>经营性</v>
      </c>
      <c r="C7" s="173" t="s">
        <v>2970</v>
      </c>
      <c r="D7" s="2313">
        <f>SUMIF(项目基本情况!D$15:I$15,C7,项目基本情况!D$18:I$18)</f>
        <v>40</v>
      </c>
      <c r="E7" s="2314">
        <f>IF(B7="","",SUMIF(项目基本情况!D$15:I$15,C7,项目基本情况!D$17:I$17))</f>
        <v>56248</v>
      </c>
      <c r="F7" s="174">
        <f>SUMIF(项目基本情况!D$15:I$15,C7,项目基本情况!D$19:I$19)</f>
        <v>36.520000000000003</v>
      </c>
      <c r="G7" s="175">
        <f t="shared" ref="G7:G11" si="2">IF(ISERROR(ROUND(POWER(1+H7,D7-F7)*(POWER(1+H7,F7)-1)/(POWER(1+H7,D7)-1),3)),0,ROUND(POWER(1+H7,D7-F7)*(POWER(1+H7,F7)-1)/(POWER(1+H7,D7)-1),3))</f>
        <v>0.96899999999999997</v>
      </c>
      <c r="H7" s="3060">
        <v>0.05</v>
      </c>
      <c r="I7" s="3060">
        <v>5.5E-2</v>
      </c>
      <c r="J7" s="176">
        <v>8.5000000000000006E-2</v>
      </c>
      <c r="K7" s="179">
        <f>SUMIF('数据-汇总表'!C$19:C$33,'数据-取费表'!A7,'数据-汇总表'!E$19:E$33)</f>
        <v>5677.36</v>
      </c>
      <c r="L7" s="3244">
        <v>4000</v>
      </c>
      <c r="M7" s="177">
        <f t="shared" si="0"/>
        <v>2271</v>
      </c>
      <c r="N7" s="3061">
        <v>0</v>
      </c>
      <c r="O7" s="177">
        <f t="shared" ref="O7:O14" si="3">IF($N$5="成新度","——",ROUND(M7*N7,0))</f>
        <v>0</v>
      </c>
      <c r="P7" s="178">
        <f t="shared" ref="P7:P14" si="4">IF($N$5="成新度","——",M7-O7)</f>
        <v>2271</v>
      </c>
      <c r="Q7" s="3062">
        <v>0.25</v>
      </c>
      <c r="R7" s="179">
        <f>SUMIF('数据-汇总表'!C$19:C$33,A7,'数据-汇总表'!R$19:R$33)</f>
        <v>2008.57</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v>3</v>
      </c>
      <c r="V7" s="181">
        <v>0.03</v>
      </c>
      <c r="W7" s="181">
        <v>0.1</v>
      </c>
      <c r="X7" s="2326"/>
      <c r="Y7" s="182">
        <v>1</v>
      </c>
      <c r="Z7" s="183"/>
      <c r="AA7" s="176"/>
      <c r="AB7" s="176"/>
      <c r="AC7" s="2329"/>
      <c r="AD7" s="184"/>
      <c r="AE7" s="972">
        <f t="shared" ref="AE7:AE13" ca="1" si="6">IF(AN7="",0,SUMIF(INDIRECT("'"&amp;AN7&amp;"'"&amp;"!E:E"),$AE$5,INDIRECT("'"&amp;AN7&amp;"'"&amp;"!F:F")))</f>
        <v>36.520000000000003</v>
      </c>
      <c r="AF7" s="141"/>
      <c r="AG7" s="1213">
        <f t="shared" ref="AG7:AG13" si="7">IF(AF7="",0,AE7-AF7)</f>
        <v>0</v>
      </c>
      <c r="AH7" s="141"/>
      <c r="AI7" s="187">
        <v>365</v>
      </c>
      <c r="AJ7" s="188"/>
      <c r="AK7" s="189">
        <v>0.02</v>
      </c>
      <c r="AL7" s="190">
        <v>2E-3</v>
      </c>
      <c r="AM7" s="2420">
        <v>0.02</v>
      </c>
      <c r="AN7" s="2422" t="s">
        <v>3204</v>
      </c>
      <c r="AO7" s="2001"/>
      <c r="AP7" s="1204">
        <f t="shared" ref="AP7:AP13" si="8">ROUND(1-1/(1+H7)^F7,3)</f>
        <v>0.83199999999999996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底商</v>
      </c>
      <c r="B8" s="2342" t="str">
        <f t="shared" si="1"/>
        <v>经营性</v>
      </c>
      <c r="C8" s="173" t="s">
        <v>2970</v>
      </c>
      <c r="D8" s="2313">
        <f>SUMIF(项目基本情况!D$15:I$15,C8,项目基本情况!D$18:I$18)</f>
        <v>40</v>
      </c>
      <c r="E8" s="2314">
        <f>IF(B8="","",SUMIF(项目基本情况!D$15:I$15,C8,项目基本情况!D$17:I$17))</f>
        <v>56248</v>
      </c>
      <c r="F8" s="174">
        <f>SUMIF(项目基本情况!D$15:I$15,C8,项目基本情况!D$19:I$19)</f>
        <v>36.520000000000003</v>
      </c>
      <c r="G8" s="175">
        <f t="shared" si="2"/>
        <v>0.96899999999999997</v>
      </c>
      <c r="H8" s="3060">
        <v>0.05</v>
      </c>
      <c r="I8" s="3060">
        <v>5.5E-2</v>
      </c>
      <c r="J8" s="176">
        <v>8.5000000000000006E-2</v>
      </c>
      <c r="K8" s="179">
        <f>SUMIF('数据-汇总表'!C$19:C$33,'数据-取费表'!A8,'数据-汇总表'!E$19:E$33)</f>
        <v>4800</v>
      </c>
      <c r="L8" s="3244">
        <v>3000</v>
      </c>
      <c r="M8" s="177">
        <f>ROUND(K8*L8/10000,0)</f>
        <v>1440</v>
      </c>
      <c r="N8" s="3061">
        <v>0</v>
      </c>
      <c r="O8" s="177">
        <f t="shared" si="3"/>
        <v>0</v>
      </c>
      <c r="P8" s="178">
        <f t="shared" si="4"/>
        <v>1440</v>
      </c>
      <c r="Q8" s="3062">
        <v>0.3</v>
      </c>
      <c r="R8" s="179">
        <f>SUMIF('数据-汇总表'!C$19:C$33,A8,'数据-汇总表'!R$19:R$33)</f>
        <v>1698.17</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2">
        <f t="shared" ca="1" si="6"/>
        <v>0</v>
      </c>
      <c r="AF8" s="141"/>
      <c r="AG8" s="1213">
        <f t="shared" si="7"/>
        <v>0</v>
      </c>
      <c r="AH8" s="141"/>
      <c r="AI8" s="187"/>
      <c r="AJ8" s="188"/>
      <c r="AK8" s="189"/>
      <c r="AL8" s="190"/>
      <c r="AM8" s="2420"/>
      <c r="AN8" s="2422"/>
      <c r="AO8" s="2001"/>
      <c r="AP8" s="1204">
        <f t="shared" si="8"/>
        <v>0.83199999999999996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地上独立商业</v>
      </c>
      <c r="B9" s="2342" t="str">
        <f t="shared" si="1"/>
        <v>经营性</v>
      </c>
      <c r="C9" s="173" t="s">
        <v>2970</v>
      </c>
      <c r="D9" s="2313">
        <f>SUMIF(项目基本情况!D$15:I$15,C9,项目基本情况!D$18:I$18)</f>
        <v>40</v>
      </c>
      <c r="E9" s="2314">
        <f>IF(B9="","",SUMIF(项目基本情况!D$15:I$15,C9,项目基本情况!D$17:I$17))</f>
        <v>56248</v>
      </c>
      <c r="F9" s="174">
        <f>SUMIF(项目基本情况!D$15:I$15,C9,项目基本情况!D$19:I$19)</f>
        <v>36.520000000000003</v>
      </c>
      <c r="G9" s="175">
        <f t="shared" si="2"/>
        <v>0.96899999999999997</v>
      </c>
      <c r="H9" s="176">
        <v>0.05</v>
      </c>
      <c r="I9" s="176">
        <v>5.5E-2</v>
      </c>
      <c r="J9" s="176">
        <v>8.5000000000000006E-2</v>
      </c>
      <c r="K9" s="179">
        <f>SUMIF('数据-汇总表'!C$19:C$33,'数据-取费表'!A9,'数据-汇总表'!E$19:E$33)</f>
        <v>19700</v>
      </c>
      <c r="L9" s="193">
        <v>3500</v>
      </c>
      <c r="M9" s="177">
        <f t="shared" si="0"/>
        <v>6895</v>
      </c>
      <c r="N9" s="194">
        <v>0</v>
      </c>
      <c r="O9" s="177">
        <f t="shared" si="3"/>
        <v>0</v>
      </c>
      <c r="P9" s="178">
        <f t="shared" si="4"/>
        <v>6895</v>
      </c>
      <c r="Q9" s="192">
        <v>0.3</v>
      </c>
      <c r="R9" s="179">
        <f>SUMIF('数据-汇总表'!C$19:C$33,A9,'数据-汇总表'!R$19:R$33)</f>
        <v>6969.59</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2">
        <f t="shared" ca="1" si="6"/>
        <v>0</v>
      </c>
      <c r="AF9" s="141"/>
      <c r="AG9" s="1213">
        <f t="shared" si="7"/>
        <v>0</v>
      </c>
      <c r="AH9" s="141"/>
      <c r="AI9" s="187"/>
      <c r="AJ9" s="188"/>
      <c r="AK9" s="189"/>
      <c r="AL9" s="190"/>
      <c r="AM9" s="2420"/>
      <c r="AN9" s="2422"/>
      <c r="AO9" s="2001"/>
      <c r="AP9" s="1204">
        <f t="shared" si="8"/>
        <v>0.83199999999999996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t="str">
        <f>'数据-汇总表'!C23</f>
        <v>地下商业（下沉式广场）</v>
      </c>
      <c r="B10" s="2342" t="str">
        <f t="shared" si="1"/>
        <v>经营性</v>
      </c>
      <c r="C10" s="173" t="s">
        <v>2970</v>
      </c>
      <c r="D10" s="2313">
        <f>SUMIF(项目基本情况!D$15:I$15,C10,项目基本情况!D$18:I$18)</f>
        <v>40</v>
      </c>
      <c r="E10" s="2314">
        <f>IF(B10="","",SUMIF(项目基本情况!D$15:I$15,C10,项目基本情况!D$17:I$17))</f>
        <v>56248</v>
      </c>
      <c r="F10" s="174">
        <f>SUMIF(项目基本情况!D$15:I$15,C10,项目基本情况!D$19:I$19)</f>
        <v>36.520000000000003</v>
      </c>
      <c r="G10" s="175">
        <f t="shared" si="2"/>
        <v>0.96899999999999997</v>
      </c>
      <c r="H10" s="176">
        <v>0.05</v>
      </c>
      <c r="I10" s="176">
        <v>5.5E-2</v>
      </c>
      <c r="J10" s="176">
        <v>8.5000000000000006E-2</v>
      </c>
      <c r="K10" s="179">
        <f>SUMIF('数据-汇总表'!C$19:C$33,'数据-取费表'!A10,'数据-汇总表'!E$19:E$33)</f>
        <v>5000</v>
      </c>
      <c r="L10" s="193">
        <v>3000</v>
      </c>
      <c r="M10" s="177">
        <f t="shared" si="0"/>
        <v>1500</v>
      </c>
      <c r="N10" s="194">
        <v>0</v>
      </c>
      <c r="O10" s="177">
        <f t="shared" si="3"/>
        <v>0</v>
      </c>
      <c r="P10" s="178">
        <f t="shared" si="4"/>
        <v>1500</v>
      </c>
      <c r="Q10" s="192">
        <v>0.3</v>
      </c>
      <c r="R10" s="179">
        <f>SUMIF('数据-汇总表'!C$19:C$33,A10,'数据-汇总表'!R$19:R$33)</f>
        <v>1768.93</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0.83199999999999996</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t="str">
        <f>'数据-汇总表'!C24</f>
        <v>地下车库</v>
      </c>
      <c r="B11" s="2342" t="str">
        <f t="shared" si="1"/>
        <v>经营性</v>
      </c>
      <c r="C11" s="173" t="s">
        <v>2989</v>
      </c>
      <c r="D11" s="2313">
        <f>SUMIF(项目基本情况!D$15:I$15,C11,项目基本情况!D$18:I$18)</f>
        <v>50</v>
      </c>
      <c r="E11" s="2314">
        <f>IF(B11="","",SUMIF(项目基本情况!D$15:I$15,C11,项目基本情况!D$17:I$17))</f>
        <v>59900</v>
      </c>
      <c r="F11" s="174">
        <f>SUMIF(项目基本情况!D$15:I$15,C11,项目基本情况!D$19:I$19)</f>
        <v>46.53</v>
      </c>
      <c r="G11" s="175">
        <f t="shared" si="2"/>
        <v>0.97599999999999998</v>
      </c>
      <c r="H11" s="176">
        <v>0.04</v>
      </c>
      <c r="I11" s="176">
        <v>4.4999999999999998E-2</v>
      </c>
      <c r="J11" s="176">
        <v>8.5000000000000006E-2</v>
      </c>
      <c r="K11" s="179">
        <f>SUMIF('数据-汇总表'!C$19:C$33,'数据-取费表'!A11,'数据-汇总表'!E$19:E$33)</f>
        <v>14833.519999999997</v>
      </c>
      <c r="L11" s="193">
        <v>2500</v>
      </c>
      <c r="M11" s="177">
        <f t="shared" si="0"/>
        <v>3708</v>
      </c>
      <c r="N11" s="194">
        <v>0</v>
      </c>
      <c r="O11" s="177">
        <f t="shared" si="3"/>
        <v>0</v>
      </c>
      <c r="P11" s="178">
        <f t="shared" si="4"/>
        <v>3708</v>
      </c>
      <c r="Q11" s="192">
        <v>0.05</v>
      </c>
      <c r="R11" s="179">
        <f>SUMIF('数据-汇总表'!C$19:C$33,A11,'数据-汇总表'!R$19:R$33)</f>
        <v>5247.89</v>
      </c>
      <c r="S11" s="132">
        <f>IF('数据-汇总表'!$I$17="按面积比例",SUMIF('数据-汇总表'!C$19:C$33,A11,'数据-汇总表'!K$19:K$33),SUMIF('数据-汇总表'!C$19:C$33,A11,'数据-汇总表'!N$19:N$33))</f>
        <v>0</v>
      </c>
      <c r="T11" s="2239" t="str">
        <f t="shared" si="5"/>
        <v>0</v>
      </c>
      <c r="U11" s="185">
        <v>0.8</v>
      </c>
      <c r="V11" s="176">
        <v>1.4999999999999999E-2</v>
      </c>
      <c r="W11" s="176">
        <v>0.1</v>
      </c>
      <c r="X11" s="2329"/>
      <c r="Y11" s="182">
        <v>1</v>
      </c>
      <c r="Z11" s="195"/>
      <c r="AA11" s="176"/>
      <c r="AB11" s="176"/>
      <c r="AC11" s="2329"/>
      <c r="AD11" s="184"/>
      <c r="AE11" s="972">
        <f t="shared" ca="1" si="6"/>
        <v>46.53</v>
      </c>
      <c r="AF11" s="141"/>
      <c r="AG11" s="1213">
        <f t="shared" si="7"/>
        <v>0</v>
      </c>
      <c r="AH11" s="141"/>
      <c r="AI11" s="187">
        <v>365</v>
      </c>
      <c r="AJ11" s="188"/>
      <c r="AK11" s="196">
        <v>0.02</v>
      </c>
      <c r="AL11" s="197">
        <v>1.5E-3</v>
      </c>
      <c r="AM11" s="1819">
        <v>0.01</v>
      </c>
      <c r="AN11" s="2422" t="s">
        <v>3199</v>
      </c>
      <c r="AO11" s="2001"/>
      <c r="AP11" s="1204">
        <f t="shared" si="8"/>
        <v>0.83899999999999997</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9"/>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2325</v>
      </c>
      <c r="B14" s="2311" t="s">
        <v>1683</v>
      </c>
      <c r="C14" s="2312" t="s">
        <v>2325</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4"/>
      <c r="V14" s="2325"/>
      <c r="W14" s="2325"/>
      <c r="X14" s="2326"/>
      <c r="Y14" s="2327"/>
      <c r="Z14" s="136"/>
      <c r="AA14" s="2328"/>
      <c r="AB14" s="2328"/>
      <c r="AC14" s="2329"/>
      <c r="AD14" s="2326"/>
      <c r="AE14" s="972"/>
      <c r="AF14" s="2301"/>
      <c r="AG14" s="1213"/>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2327</v>
      </c>
      <c r="B15" s="2311" t="s">
        <v>1683</v>
      </c>
      <c r="C15" s="2312" t="s">
        <v>2326</v>
      </c>
      <c r="D15" s="2313"/>
      <c r="E15" s="2314"/>
      <c r="F15" s="174"/>
      <c r="G15" s="175"/>
      <c r="H15" s="2315"/>
      <c r="I15" s="2315"/>
      <c r="J15" s="2315"/>
      <c r="K15" s="179">
        <f>SUMIF('数据-汇总表'!C$19:C$33,'数据-取费表'!A15,'数据-汇总表'!E$19:E$33)</f>
        <v>5200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4.5999999999999999E-2</v>
      </c>
      <c r="I16" s="204"/>
      <c r="J16" s="204"/>
      <c r="K16" s="205">
        <f>SUM(K6:K15)</f>
        <v>134410.88</v>
      </c>
      <c r="L16" s="206">
        <f>ROUND(M16*10000/SUM(K6:K14),0)</f>
        <v>2879</v>
      </c>
      <c r="M16" s="206">
        <f>SUM(M6:M14)</f>
        <v>37198</v>
      </c>
      <c r="N16" s="207">
        <f>ROUND(SUMPRODUCT(M6:M14,N6:N14)/M16,3)</f>
        <v>0</v>
      </c>
      <c r="O16" s="206">
        <f>SUM(O6:O14)</f>
        <v>0</v>
      </c>
      <c r="P16" s="206">
        <f>SUM(P6:P14)</f>
        <v>37198</v>
      </c>
      <c r="Q16" s="208">
        <f>ROUND(SUMPRODUCT(Q6:Q13,K6:K13)/SUMPRODUCT((Q6:Q13&gt;0)*(K6:K13)),2)</f>
        <v>0.24</v>
      </c>
      <c r="R16" s="2316">
        <f>SUM(R6:R13)</f>
        <v>47552.700000000004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0.90300000000000002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2347</v>
      </c>
      <c r="B27" s="227">
        <v>100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2348</v>
      </c>
      <c r="B28" s="229">
        <v>100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2346</v>
      </c>
      <c r="B29" s="232"/>
      <c r="C29" s="1554"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110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90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3">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3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1100</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3139">
        <v>6</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2" priority="12" stopIfTrue="1" operator="containsText" text="自行计算">
      <formula>NOT(ISERROR(SEARCH("自行计算",T6)))</formula>
    </cfRule>
    <cfRule type="containsText" dxfId="171" priority="13" stopIfTrue="1" operator="containsText" text="自行计算">
      <formula>NOT(ISERROR(SEARCH("自行计算",T6)))</formula>
    </cfRule>
  </conditionalFormatting>
  <conditionalFormatting sqref="T6:T13">
    <cfRule type="containsText" dxfId="170" priority="10" stopIfTrue="1" operator="containsText" text="自行计算">
      <formula>NOT(ISERROR(SEARCH("自行计算",T6)))</formula>
    </cfRule>
    <cfRule type="containsText" dxfId="169" priority="11" stopIfTrue="1" operator="containsText" text="自行计算">
      <formula>NOT(ISERROR(SEARCH("自行计算",T6)))</formula>
    </cfRule>
  </conditionalFormatting>
  <conditionalFormatting sqref="T12:T13">
    <cfRule type="containsText" dxfId="168" priority="4" stopIfTrue="1" operator="containsText" text="自行计算">
      <formula>NOT(ISERROR(SEARCH("自行计算",T12)))</formula>
    </cfRule>
    <cfRule type="containsText" dxfId="167" priority="5" stopIfTrue="1" operator="containsText" text="自行计算">
      <formula>NOT(ISERROR(SEARCH("自行计算",T12)))</formula>
    </cfRule>
  </conditionalFormatting>
  <conditionalFormatting sqref="T12:T13">
    <cfRule type="containsText" dxfId="166" priority="2" stopIfTrue="1" operator="containsText" text="自行计算">
      <formula>NOT(ISERROR(SEARCH("自行计算",T12)))</formula>
    </cfRule>
    <cfRule type="containsText" dxfId="165" priority="3" stopIfTrue="1" operator="containsText" text="自行计算">
      <formula>NOT(ISERROR(SEARCH("自行计算",T12)))</formula>
    </cfRule>
  </conditionalFormatting>
  <conditionalFormatting sqref="T6:T15">
    <cfRule type="expression" dxfId="16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6" t="s">
        <v>1667</v>
      </c>
      <c r="B1" s="3337"/>
      <c r="C1" s="3337"/>
      <c r="D1" s="3337"/>
      <c r="E1" s="3337"/>
      <c r="F1" s="3337"/>
      <c r="G1" s="3337"/>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81">
      <c r="A3" s="1227" t="s">
        <v>1670</v>
      </c>
      <c r="B3" s="1228" t="s">
        <v>1657</v>
      </c>
      <c r="C3" s="3140" t="s">
        <v>3087</v>
      </c>
      <c r="D3" s="2010"/>
      <c r="E3" s="1229" t="s">
        <v>1670</v>
      </c>
      <c r="F3" s="1230" t="s">
        <v>1658</v>
      </c>
      <c r="G3" s="3116" t="s">
        <v>2932</v>
      </c>
      <c r="H3" s="2009"/>
      <c r="I3" s="2009"/>
      <c r="J3" s="2009"/>
      <c r="K3" s="2009"/>
      <c r="L3" s="2009"/>
      <c r="M3" s="2009"/>
      <c r="N3" s="2009"/>
      <c r="O3" s="2009"/>
      <c r="P3" s="2009"/>
      <c r="Q3" s="2009"/>
      <c r="R3" s="2009"/>
    </row>
    <row r="4" spans="1:18" ht="54">
      <c r="A4" s="1229"/>
      <c r="B4" s="1231" t="s">
        <v>1671</v>
      </c>
      <c r="C4" s="3141" t="s">
        <v>3261</v>
      </c>
      <c r="D4" s="2010"/>
      <c r="E4" s="1232"/>
      <c r="F4" s="1233" t="s">
        <v>1672</v>
      </c>
      <c r="G4" s="3115" t="s">
        <v>2929</v>
      </c>
      <c r="H4" s="2009"/>
      <c r="I4" s="2009"/>
      <c r="J4" s="2009"/>
      <c r="K4" s="2009"/>
      <c r="L4" s="2009"/>
      <c r="M4" s="2009"/>
      <c r="N4" s="2009"/>
      <c r="O4" s="2009"/>
      <c r="P4" s="2009"/>
      <c r="Q4" s="2009"/>
      <c r="R4" s="2009"/>
    </row>
    <row r="5" spans="1:18" ht="27">
      <c r="A5" s="1229"/>
      <c r="B5" s="1231" t="s">
        <v>1673</v>
      </c>
      <c r="C5" s="3141" t="s">
        <v>2992</v>
      </c>
      <c r="D5" s="2010"/>
      <c r="E5" s="1232"/>
      <c r="F5" s="1231" t="s">
        <v>2558</v>
      </c>
      <c r="G5" s="3115" t="s">
        <v>2930</v>
      </c>
      <c r="H5" s="2009"/>
      <c r="I5" s="2009"/>
      <c r="J5" s="2009"/>
      <c r="K5" s="2009"/>
      <c r="L5" s="2009"/>
      <c r="M5" s="2009"/>
      <c r="N5" s="2009"/>
      <c r="O5" s="2009"/>
      <c r="P5" s="2009"/>
      <c r="Q5" s="2009"/>
      <c r="R5" s="2009"/>
    </row>
    <row r="6" spans="1:18" ht="94.5">
      <c r="A6" s="1229"/>
      <c r="B6" s="1231" t="s">
        <v>1659</v>
      </c>
      <c r="C6" s="3142" t="s">
        <v>3262</v>
      </c>
      <c r="D6" s="2010"/>
      <c r="E6" s="1232"/>
      <c r="F6" s="1231" t="s">
        <v>2559</v>
      </c>
      <c r="G6" s="3115" t="s">
        <v>2928</v>
      </c>
      <c r="H6" s="2009"/>
      <c r="I6" s="2009"/>
      <c r="J6" s="2009"/>
      <c r="K6" s="2009"/>
      <c r="L6" s="2009"/>
      <c r="M6" s="2009"/>
      <c r="N6" s="2009"/>
      <c r="O6" s="2009"/>
      <c r="P6" s="2009"/>
      <c r="Q6" s="2009"/>
      <c r="R6" s="2009"/>
    </row>
    <row r="7" spans="1:18" ht="122.25" thickBot="1">
      <c r="A7" s="1229"/>
      <c r="B7" s="1231" t="s">
        <v>2558</v>
      </c>
      <c r="C7" s="3142" t="s">
        <v>3263</v>
      </c>
      <c r="D7" s="2011"/>
      <c r="E7" s="1234"/>
      <c r="F7" s="1235" t="s">
        <v>1674</v>
      </c>
      <c r="G7" s="3117" t="s">
        <v>2931</v>
      </c>
      <c r="H7" s="2009"/>
      <c r="I7" s="2009"/>
      <c r="J7" s="2009"/>
      <c r="K7" s="2009"/>
      <c r="L7" s="2009"/>
      <c r="M7" s="2009"/>
      <c r="N7" s="2009"/>
      <c r="O7" s="2009"/>
      <c r="P7" s="2009"/>
      <c r="Q7" s="2009"/>
      <c r="R7" s="2009"/>
    </row>
    <row r="8" spans="1:18" ht="27">
      <c r="A8" s="1229"/>
      <c r="B8" s="1231" t="s">
        <v>2559</v>
      </c>
      <c r="C8" s="3142" t="s">
        <v>3264</v>
      </c>
      <c r="D8" s="2011"/>
      <c r="E8" s="2011"/>
      <c r="F8" s="1555"/>
      <c r="G8" s="1555"/>
      <c r="H8" s="2009"/>
      <c r="I8" s="2009"/>
      <c r="J8" s="2009"/>
      <c r="K8" s="2009"/>
      <c r="L8" s="2009"/>
      <c r="M8" s="2009"/>
      <c r="N8" s="2009"/>
      <c r="O8" s="2009"/>
      <c r="P8" s="2009"/>
      <c r="Q8" s="2009"/>
      <c r="R8" s="2009"/>
    </row>
    <row r="9" spans="1:18" ht="94.5">
      <c r="A9" s="1229"/>
      <c r="B9" s="1231" t="s">
        <v>1660</v>
      </c>
      <c r="C9" s="3141" t="s">
        <v>3265</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43" t="s">
        <v>2993</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4"/>
      <c r="E13" s="2608"/>
      <c r="F13" s="2608"/>
      <c r="G13" s="2608"/>
    </row>
    <row r="14" spans="1:18" ht="14.25" thickBot="1">
      <c r="A14" s="1238"/>
      <c r="B14" s="1239"/>
      <c r="C14" s="1240" t="s">
        <v>1668</v>
      </c>
      <c r="D14" s="2010"/>
      <c r="E14" s="1241"/>
      <c r="F14" s="1241"/>
      <c r="G14" s="1223" t="s">
        <v>1669</v>
      </c>
    </row>
    <row r="15" spans="1:18" ht="81">
      <c r="A15" s="2618" t="s">
        <v>1661</v>
      </c>
      <c r="B15" s="1242" t="s">
        <v>1657</v>
      </c>
      <c r="C15" s="1243" t="str">
        <f>C3</f>
        <v>估价对象周边有皇家公馆、草塘花园、嘉盈名苑等居住社区，居住用地比例较大、居住小区规模和社区发展完善程度好，综合评价居住社区成熟度好。</v>
      </c>
      <c r="D15" s="2010"/>
      <c r="E15" s="2615" t="s">
        <v>1662</v>
      </c>
      <c r="F15" s="1242" t="s">
        <v>1677</v>
      </c>
      <c r="G15" s="1244" t="str">
        <f>G3</f>
        <v>估价对象位于XX开发区，园区建设成熟度XX，产业集聚程度XX</v>
      </c>
    </row>
    <row r="16" spans="1:18" ht="54">
      <c r="A16" s="2619"/>
      <c r="B16" s="1245" t="s">
        <v>1671</v>
      </c>
      <c r="C16" s="1246" t="str">
        <f>C4</f>
        <v>估价对象位于东坑镇中心城区，周边商业氛围成熟，人流量较大，商业繁华度较好。</v>
      </c>
      <c r="D16" s="2010"/>
      <c r="E16" s="2616"/>
      <c r="F16" s="1247" t="s">
        <v>1672</v>
      </c>
      <c r="G16" s="1005" t="str">
        <f>G4</f>
        <v>估价对象周边道路状况、公共交通通达情况、停车便捷程度，综合评价交通便捷度较好</v>
      </c>
    </row>
    <row r="17" spans="1:7" ht="14.25">
      <c r="A17" s="2619"/>
      <c r="B17" s="1245" t="s">
        <v>1673</v>
      </c>
      <c r="C17" s="1246" t="str">
        <f>C5</f>
        <v>——</v>
      </c>
      <c r="D17" s="2011"/>
      <c r="E17" s="2616"/>
      <c r="F17" s="1247" t="s">
        <v>1678</v>
      </c>
      <c r="G17" s="2828"/>
    </row>
    <row r="18" spans="1:7" ht="94.5">
      <c r="A18" s="2619"/>
      <c r="B18" s="1247" t="s">
        <v>1659</v>
      </c>
      <c r="C18" s="1005" t="str">
        <f>C6</f>
        <v>估价对象周边有811路、829路、东坑1路等多条公交线路，区域内有城市次干道东兴中路，路网较密集，停车便捷程度较好，综合评价交通便捷度较好。</v>
      </c>
      <c r="D18" s="2011"/>
      <c r="E18" s="2616"/>
      <c r="F18" s="1247" t="s">
        <v>1674</v>
      </c>
      <c r="G18" s="1005" t="str">
        <f>G7</f>
        <v>该园区内是否有污染型企业，绿化情况，卫生条件，整体环境状况判断</v>
      </c>
    </row>
    <row r="19" spans="1:7" ht="40.5">
      <c r="A19" s="2619"/>
      <c r="B19" s="1247" t="s">
        <v>1663</v>
      </c>
      <c r="C19" s="3144" t="s">
        <v>3257</v>
      </c>
      <c r="D19" s="2010"/>
      <c r="E19" s="2616"/>
      <c r="F19" s="1231" t="s">
        <v>2558</v>
      </c>
      <c r="G19" s="1005" t="str">
        <f>G5</f>
        <v>估价对象所在区域公共配套设施齐备情况</v>
      </c>
    </row>
    <row r="20" spans="1:7" ht="94.5">
      <c r="A20" s="2619"/>
      <c r="B20" s="1247" t="s">
        <v>1664</v>
      </c>
      <c r="C20" s="1246" t="str">
        <f>C9</f>
        <v>估价对象所在区有鹰岭公园，绿化较好，自然环境较好；所在区域有东莞市广播大学东坑分校等设施，人文环境较好；综合评价自然及人文环境较好。</v>
      </c>
      <c r="D20" s="2011"/>
      <c r="E20" s="2616"/>
      <c r="F20" s="1231" t="s">
        <v>2559</v>
      </c>
      <c r="G20" s="1005" t="str">
        <f>G6</f>
        <v>估价对象所在区域基础设施水平</v>
      </c>
    </row>
    <row r="21" spans="1:7" ht="121.5">
      <c r="A21" s="2619"/>
      <c r="B21" s="1231" t="s">
        <v>2558</v>
      </c>
      <c r="C21" s="1005" t="str">
        <f>C7</f>
        <v>估价对象所在区域有银行（东莞市农村商业银行(东坑新市镇分理处)）、医院（东莞市东坑医院）、超市（美惠佳连锁超市）、学校（东莞市东坑镇群英小学）及餐饮等设施，公共配套设施齐备情况较好。</v>
      </c>
      <c r="D21" s="2010"/>
      <c r="E21" s="2616"/>
      <c r="F21" s="1247" t="s">
        <v>1665</v>
      </c>
      <c r="G21" s="3118"/>
    </row>
    <row r="22" spans="1:7" ht="27">
      <c r="A22" s="2619"/>
      <c r="B22" s="1231" t="s">
        <v>2559</v>
      </c>
      <c r="C22" s="1005" t="str">
        <f>C8</f>
        <v>估价对象所在区域基础设施水平达“六通”。</v>
      </c>
      <c r="D22" s="2010"/>
      <c r="E22" s="2616"/>
      <c r="F22" s="1247" t="s">
        <v>1675</v>
      </c>
      <c r="G22" s="2828"/>
    </row>
    <row r="23" spans="1:7" ht="15" thickBot="1">
      <c r="A23" s="2619"/>
      <c r="B23" s="1247" t="s">
        <v>1665</v>
      </c>
      <c r="C23" s="3118" t="s">
        <v>2994</v>
      </c>
      <c r="E23" s="2617"/>
      <c r="F23" s="1248" t="s">
        <v>1679</v>
      </c>
      <c r="G23" s="3119"/>
    </row>
    <row r="24" spans="1:7" ht="14.25" thickBot="1">
      <c r="A24" s="2620"/>
      <c r="B24" s="1248" t="s">
        <v>1666</v>
      </c>
      <c r="C24" s="1249" t="str">
        <f>C10</f>
        <v>城市次干道—东兴中路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134410.88</v>
      </c>
      <c r="C1" s="3080"/>
      <c r="D1" s="3080"/>
      <c r="E1" s="3080"/>
      <c r="F1" s="3080"/>
    </row>
    <row r="2" spans="1:9" ht="16.5">
      <c r="A2" s="3079" t="s">
        <v>2860</v>
      </c>
      <c r="B2" s="3079">
        <f>SUM(C14:C23)</f>
        <v>47552.7</v>
      </c>
      <c r="C2" s="3080"/>
      <c r="D2" s="3080"/>
      <c r="E2" s="3080"/>
      <c r="F2" s="3080"/>
    </row>
    <row r="3" spans="1:9" ht="16.5">
      <c r="A3" s="3079" t="s">
        <v>2861</v>
      </c>
      <c r="B3" s="3081">
        <f>项目基本情况!D3</f>
        <v>42915</v>
      </c>
      <c r="C3" s="3080"/>
      <c r="D3" s="3080"/>
      <c r="E3" s="3080"/>
      <c r="F3" s="3080"/>
    </row>
    <row r="4" spans="1:9" ht="33">
      <c r="A4" s="3079" t="s">
        <v>2862</v>
      </c>
      <c r="B4" s="3079" t="s">
        <v>2863</v>
      </c>
      <c r="C4" s="3079" t="s">
        <v>2864</v>
      </c>
      <c r="D4" s="3079" t="s">
        <v>2865</v>
      </c>
      <c r="E4" s="3080"/>
      <c r="F4" s="3080"/>
    </row>
    <row r="5" spans="1:9" ht="16.5">
      <c r="A5" s="3079" t="s">
        <v>2866</v>
      </c>
      <c r="B5" s="3079">
        <f ca="1">SUM(D14:D23)</f>
        <v>115557</v>
      </c>
      <c r="C5" s="3079">
        <f ca="1">ROUND(B5*10000/$B$1,0)</f>
        <v>8597</v>
      </c>
      <c r="D5" s="3079">
        <f ca="1">ROUND(B5*10000/$B$2,0)</f>
        <v>24301</v>
      </c>
      <c r="E5" s="3080"/>
      <c r="F5" s="3080"/>
    </row>
    <row r="6" spans="1:9" ht="16.5">
      <c r="A6" s="3079" t="s">
        <v>2867</v>
      </c>
      <c r="B6" s="3079">
        <f ca="1">SUM(G14:G23)</f>
        <v>115557</v>
      </c>
      <c r="C6" s="3079">
        <f t="shared" ref="C6:C8" ca="1" si="0">ROUND(B6*10000/$B$1,0)</f>
        <v>8597</v>
      </c>
      <c r="D6" s="3079">
        <f t="shared" ref="D6:D8" ca="1" si="1">ROUND(B6*10000/$B$2,0)</f>
        <v>24301</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134410.88</v>
      </c>
      <c r="C14" s="3083">
        <f>'数据-汇总表'!D3</f>
        <v>47552.7</v>
      </c>
      <c r="D14" s="3083">
        <f ca="1">结果表!C42</f>
        <v>115557</v>
      </c>
      <c r="E14" s="3083">
        <f ca="1">ROUND(D14*10000/B14,0)</f>
        <v>8597</v>
      </c>
      <c r="F14" s="3083">
        <f ca="1">ROUND(D14*10000/C14,0)</f>
        <v>24301</v>
      </c>
      <c r="G14" s="3083">
        <f ca="1">结果表!C44</f>
        <v>115557</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8" t="s">
        <v>2065</v>
      </c>
      <c r="B1" s="1779"/>
      <c r="C1" s="1807" t="s">
        <v>2066</v>
      </c>
      <c r="D1" s="1808" t="s">
        <v>3222</v>
      </c>
      <c r="E1" s="1807" t="s">
        <v>2067</v>
      </c>
      <c r="F1" s="1809" t="s">
        <v>3223</v>
      </c>
      <c r="G1" s="314"/>
      <c r="H1" s="314"/>
      <c r="I1" s="314"/>
      <c r="J1" s="2030"/>
      <c r="K1" s="2030"/>
      <c r="L1" s="2030"/>
      <c r="M1" s="2030"/>
      <c r="N1" s="2030"/>
      <c r="O1" s="2030"/>
      <c r="P1" s="2030"/>
      <c r="Q1" s="2030"/>
      <c r="R1" s="2030"/>
      <c r="S1" s="2030"/>
      <c r="T1" s="2030"/>
      <c r="U1" s="2030"/>
      <c r="V1" s="2030"/>
    </row>
    <row r="2" spans="1:22" ht="21.75" customHeight="1" thickBot="1">
      <c r="A2" s="3383" t="str">
        <f>项目基本情况!K2</f>
        <v>广东省东莞市东坑镇凤大村出让国有建设用地使用权</v>
      </c>
      <c r="B2" s="3384"/>
      <c r="C2" s="3385"/>
      <c r="D2" s="3385"/>
      <c r="E2" s="3385"/>
      <c r="F2" s="3385"/>
      <c r="G2" s="3384"/>
      <c r="H2" s="3384"/>
      <c r="I2" s="3386"/>
      <c r="J2" s="2031"/>
      <c r="K2" s="2030"/>
      <c r="L2" s="2030"/>
      <c r="M2" s="2030"/>
      <c r="N2" s="2030"/>
      <c r="O2" s="2030"/>
      <c r="P2" s="2030"/>
      <c r="Q2" s="2030"/>
      <c r="R2" s="2030"/>
      <c r="S2" s="2030"/>
      <c r="T2" s="2030"/>
      <c r="U2" s="2030"/>
      <c r="V2" s="2030"/>
    </row>
    <row r="3" spans="1:22" ht="14.25">
      <c r="A3" s="3394" t="s">
        <v>298</v>
      </c>
      <c r="B3" s="3395"/>
      <c r="C3" s="3395"/>
      <c r="D3" s="3395"/>
      <c r="E3" s="3395"/>
      <c r="F3" s="3395"/>
      <c r="G3" s="3395"/>
      <c r="H3" s="3395"/>
      <c r="I3" s="3395"/>
      <c r="J3" s="2031"/>
      <c r="K3" s="2030"/>
      <c r="L3" s="2030"/>
      <c r="M3" s="2030"/>
      <c r="N3" s="2030"/>
      <c r="O3" s="2030"/>
      <c r="P3" s="2030"/>
      <c r="Q3" s="2030"/>
      <c r="R3" s="2030"/>
      <c r="S3" s="2030"/>
      <c r="T3" s="2030"/>
      <c r="U3" s="2030"/>
      <c r="V3" s="2030"/>
    </row>
    <row r="4" spans="1:22" ht="14.25">
      <c r="A4" s="258" t="s">
        <v>299</v>
      </c>
      <c r="B4" s="259" t="s">
        <v>300</v>
      </c>
      <c r="C4" s="260" t="s">
        <v>3224</v>
      </c>
      <c r="D4" s="260" t="s">
        <v>3225</v>
      </c>
      <c r="E4" s="3358" t="s">
        <v>301</v>
      </c>
      <c r="F4" s="3399"/>
      <c r="G4" s="3399"/>
      <c r="H4" s="3399"/>
      <c r="I4" s="3359"/>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87" t="s">
        <v>302</v>
      </c>
      <c r="B5" s="3388">
        <v>25</v>
      </c>
      <c r="C5" s="3396">
        <v>24</v>
      </c>
      <c r="D5" s="3396">
        <v>24</v>
      </c>
      <c r="E5" s="261" t="s">
        <v>303</v>
      </c>
      <c r="F5" s="262"/>
      <c r="G5" s="262"/>
      <c r="H5" s="262"/>
      <c r="I5" s="263"/>
      <c r="J5" s="2031"/>
      <c r="K5" s="2030"/>
      <c r="L5" s="2030"/>
      <c r="M5" s="2030"/>
      <c r="N5" s="2030"/>
      <c r="O5" s="2030"/>
      <c r="P5" s="2030"/>
      <c r="Q5" s="2030"/>
      <c r="R5" s="2030"/>
      <c r="S5" s="2030"/>
      <c r="T5" s="2030"/>
      <c r="U5" s="2030"/>
      <c r="V5" s="2030"/>
    </row>
    <row r="6" spans="1:22" ht="14.25">
      <c r="A6" s="3387"/>
      <c r="B6" s="3388"/>
      <c r="C6" s="3397"/>
      <c r="D6" s="3397"/>
      <c r="E6" s="261" t="s">
        <v>304</v>
      </c>
      <c r="F6" s="262"/>
      <c r="G6" s="262"/>
      <c r="H6" s="262"/>
      <c r="I6" s="263"/>
      <c r="J6" s="2031"/>
      <c r="K6" s="2030"/>
      <c r="L6" s="2030"/>
      <c r="M6" s="2030"/>
      <c r="N6" s="2030"/>
      <c r="O6" s="2030"/>
      <c r="P6" s="2030"/>
      <c r="Q6" s="2030"/>
      <c r="R6" s="2030"/>
      <c r="S6" s="2030"/>
      <c r="T6" s="2030"/>
      <c r="U6" s="2030"/>
      <c r="V6" s="2030"/>
    </row>
    <row r="7" spans="1:22" ht="14.25">
      <c r="A7" s="3387"/>
      <c r="B7" s="3388"/>
      <c r="C7" s="3398"/>
      <c r="D7" s="3398"/>
      <c r="E7" s="261" t="s">
        <v>305</v>
      </c>
      <c r="F7" s="262"/>
      <c r="G7" s="262"/>
      <c r="H7" s="262"/>
      <c r="I7" s="263"/>
      <c r="J7" s="2031"/>
      <c r="K7" s="2030"/>
      <c r="L7" s="2030"/>
      <c r="M7" s="2030"/>
      <c r="N7" s="2030"/>
      <c r="O7" s="2030"/>
      <c r="P7" s="2030"/>
      <c r="Q7" s="2030"/>
      <c r="R7" s="2030"/>
      <c r="S7" s="2030"/>
      <c r="T7" s="2030"/>
      <c r="U7" s="2030"/>
      <c r="V7" s="2030"/>
    </row>
    <row r="8" spans="1:22" ht="14.25">
      <c r="A8" s="3387" t="s">
        <v>306</v>
      </c>
      <c r="B8" s="3388">
        <v>15</v>
      </c>
      <c r="C8" s="3396">
        <v>14</v>
      </c>
      <c r="D8" s="3396">
        <v>14</v>
      </c>
      <c r="E8" s="261" t="s">
        <v>307</v>
      </c>
      <c r="F8" s="262"/>
      <c r="G8" s="262"/>
      <c r="H8" s="262"/>
      <c r="I8" s="263"/>
      <c r="J8" s="2031"/>
      <c r="K8" s="2030"/>
      <c r="L8" s="2030"/>
      <c r="M8" s="2030"/>
      <c r="N8" s="2030"/>
      <c r="O8" s="2030"/>
      <c r="P8" s="2030"/>
      <c r="Q8" s="2030"/>
      <c r="R8" s="2030"/>
      <c r="S8" s="2030"/>
      <c r="T8" s="2030"/>
      <c r="U8" s="2030"/>
      <c r="V8" s="2030"/>
    </row>
    <row r="9" spans="1:22" ht="14.25">
      <c r="A9" s="3387"/>
      <c r="B9" s="3388"/>
      <c r="C9" s="3398"/>
      <c r="D9" s="3398"/>
      <c r="E9" s="261" t="s">
        <v>308</v>
      </c>
      <c r="F9" s="262"/>
      <c r="G9" s="262"/>
      <c r="H9" s="262"/>
      <c r="I9" s="263"/>
      <c r="J9" s="2031"/>
      <c r="K9" s="2030"/>
      <c r="L9" s="2030"/>
      <c r="M9" s="2030"/>
      <c r="N9" s="2030"/>
      <c r="O9" s="2030"/>
      <c r="P9" s="2030"/>
      <c r="Q9" s="2030"/>
      <c r="R9" s="2030"/>
      <c r="S9" s="2030"/>
      <c r="T9" s="2030"/>
      <c r="U9" s="2030"/>
      <c r="V9" s="2030"/>
    </row>
    <row r="10" spans="1:22" ht="14.25">
      <c r="A10" s="3387" t="s">
        <v>309</v>
      </c>
      <c r="B10" s="3388">
        <v>15</v>
      </c>
      <c r="C10" s="3396">
        <v>14</v>
      </c>
      <c r="D10" s="3396">
        <v>14</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87"/>
      <c r="B11" s="3388"/>
      <c r="C11" s="3398"/>
      <c r="D11" s="33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87" t="s">
        <v>312</v>
      </c>
      <c r="B12" s="3388">
        <v>15</v>
      </c>
      <c r="C12" s="3396">
        <v>14</v>
      </c>
      <c r="D12" s="3396">
        <v>14</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87"/>
      <c r="B13" s="3388"/>
      <c r="C13" s="3398"/>
      <c r="D13" s="33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87" t="s">
        <v>315</v>
      </c>
      <c r="B14" s="3388">
        <v>30</v>
      </c>
      <c r="C14" s="3396">
        <v>25</v>
      </c>
      <c r="D14" s="3396">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87"/>
      <c r="B15" s="3388"/>
      <c r="C15" s="3397"/>
      <c r="D15" s="3397"/>
      <c r="E15" s="261" t="s">
        <v>317</v>
      </c>
      <c r="F15" s="262"/>
      <c r="G15" s="262"/>
      <c r="H15" s="262"/>
      <c r="I15" s="263"/>
      <c r="J15" s="2031"/>
      <c r="K15" s="2030"/>
      <c r="L15" s="2030"/>
      <c r="M15" s="2030"/>
      <c r="N15" s="2030"/>
      <c r="O15" s="2030"/>
      <c r="P15" s="2030"/>
      <c r="Q15" s="2030"/>
      <c r="R15" s="2030"/>
      <c r="S15" s="2030"/>
      <c r="T15" s="2030"/>
      <c r="U15" s="2030"/>
      <c r="V15" s="2030"/>
    </row>
    <row r="16" spans="1:22" ht="14.25">
      <c r="A16" s="3387"/>
      <c r="B16" s="3388"/>
      <c r="C16" s="3398"/>
      <c r="D16" s="33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91</v>
      </c>
      <c r="D17" s="265">
        <f>SUM(D5:D16)</f>
        <v>91</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110559</v>
      </c>
      <c r="D19" s="271">
        <f ca="1">SUMIF(INDIRECT("'"&amp;D4&amp;"'"&amp;"!A:A"),结果表!B19,INDIRECT("'"&amp;D4&amp;"'"&amp;"!B:B"))</f>
        <v>120554</v>
      </c>
      <c r="E19" s="268" t="s">
        <v>323</v>
      </c>
      <c r="F19" s="269" t="s">
        <v>322</v>
      </c>
      <c r="G19" s="272">
        <f ca="1">ROUND(C19*$C$18+D19*$D$18,0)</f>
        <v>115557</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8225</v>
      </c>
      <c r="D20" s="277">
        <f ca="1">SUMIF(INDIRECT("'"&amp;D4&amp;"'"&amp;"!A:A"),结果表!B20,INDIRECT("'"&amp;D4&amp;"'"&amp;"!B:B"))</f>
        <v>8969</v>
      </c>
      <c r="E20" s="274"/>
      <c r="F20" s="275" t="s">
        <v>325</v>
      </c>
      <c r="G20" s="278">
        <f ca="1">ROUND(C20*$C$18+D20*$D$18,0)</f>
        <v>8597</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23250</v>
      </c>
      <c r="D21" s="151">
        <f ca="1">SUMIF(INDIRECT("'"&amp;D4&amp;"'"&amp;"!A:A"),结果表!B21,INDIRECT("'"&amp;D4&amp;"'"&amp;"!B:B"))</f>
        <v>25352</v>
      </c>
      <c r="E21" s="274"/>
      <c r="F21" s="280" t="s">
        <v>327</v>
      </c>
      <c r="G21" s="282">
        <f ca="1">ROUND(C21*$C$18+D21*$D$18,0)</f>
        <v>24301</v>
      </c>
      <c r="H21" s="1251" t="s">
        <v>326</v>
      </c>
      <c r="I21" s="314"/>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9.0404218562034844E-2</v>
      </c>
      <c r="E22" s="284"/>
      <c r="F22" s="285"/>
      <c r="G22" s="286">
        <f ca="1">ROUND(G19/('数据-汇总表'!D3/666.67),0)</f>
        <v>1620</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60"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401"/>
      <c r="B25" s="1321" t="s">
        <v>331</v>
      </c>
      <c r="C25" s="290">
        <f>IF(B30=0,0,C30)</f>
        <v>0</v>
      </c>
      <c r="D25" s="291"/>
      <c r="E25" s="314"/>
      <c r="F25" s="314"/>
      <c r="G25" s="314"/>
      <c r="H25" s="314"/>
      <c r="I25" s="314"/>
      <c r="J25" s="2030"/>
      <c r="K25" s="1255" t="str">
        <f ca="1">项目基本情况!B16&amp;"国有建设用地使用权价格："&amp;O38&amp;"万元"</f>
        <v>出让国有建设用地使用权价格：115557万元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4"/>
      <c r="F26" s="314"/>
      <c r="G26" s="314"/>
      <c r="H26" s="314"/>
      <c r="I26" s="314"/>
      <c r="J26" s="2030"/>
      <c r="K26" s="1258" t="str">
        <f ca="1">"大写金额：人民币"&amp;NUMBERSTRING(INT(O38*10000),2)&amp;"元整"</f>
        <v>大写金额：人民币壹拾壹亿伍仟伍佰伍拾柒万元整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58" t="str">
        <f ca="1">"单位面积地价："&amp;M38&amp;"元/平方米"</f>
        <v>单位面积地价：24301元/平方米</v>
      </c>
      <c r="L27" s="1252"/>
      <c r="M27" s="1252"/>
      <c r="N27" s="1252"/>
      <c r="O27" s="1251"/>
      <c r="P27" s="2030"/>
      <c r="Q27" s="2030"/>
      <c r="R27" s="2030"/>
      <c r="S27" s="2030"/>
      <c r="T27" s="2030"/>
      <c r="U27" s="2030"/>
      <c r="V27" s="2030"/>
    </row>
    <row r="28" spans="1:26" ht="18.75" customHeight="1">
      <c r="A28" s="293"/>
      <c r="B28" s="294"/>
      <c r="C28" s="294"/>
      <c r="D28" s="295"/>
      <c r="E28" s="314"/>
      <c r="F28" s="314"/>
      <c r="G28" s="314"/>
      <c r="H28" s="314"/>
      <c r="I28" s="314"/>
      <c r="J28" s="2030"/>
      <c r="K28" s="1258" t="str">
        <f ca="1">"楼面地价："&amp;N38&amp;"元/平方米"</f>
        <v>楼面地价：8597元/平方米</v>
      </c>
      <c r="L28" s="1252"/>
      <c r="M28" s="1252"/>
      <c r="N28" s="1252"/>
      <c r="O28" s="1251"/>
      <c r="P28" s="2030"/>
      <c r="V28" s="2030"/>
    </row>
    <row r="29" spans="1:26" ht="18">
      <c r="A29" s="293"/>
      <c r="B29" s="294"/>
      <c r="C29" s="294"/>
      <c r="D29" s="295"/>
      <c r="E29" s="314"/>
      <c r="F29" s="314"/>
      <c r="G29" s="314"/>
      <c r="H29" s="314"/>
      <c r="I29" s="314"/>
      <c r="J29" s="2030"/>
      <c r="K29" s="1258" t="str">
        <f ca="1">IF(OR(项目基本情况!E8="抵押价格",项目基本情况!E8="已注销及未注销"),"抵押价格："&amp;O39&amp;"万元","——")</f>
        <v>抵押价格：115557万元</v>
      </c>
      <c r="L29" s="1252"/>
      <c r="M29" s="1252"/>
      <c r="N29" s="1252"/>
      <c r="O29" s="1251"/>
      <c r="P29" s="2030"/>
      <c r="V29" s="2030"/>
    </row>
    <row r="30" spans="1:26" ht="18.75" thickBot="1">
      <c r="A30" s="296" t="s">
        <v>336</v>
      </c>
      <c r="B30" s="297">
        <f>SUM(B27:B29)</f>
        <v>0</v>
      </c>
      <c r="C30" s="297" t="e">
        <f>ROUND(D30*10000/B30,0)</f>
        <v>#DIV/0!</v>
      </c>
      <c r="D30" s="298">
        <f>SUM(D27:D29)</f>
        <v>0</v>
      </c>
      <c r="E30" s="314"/>
      <c r="F30" s="314"/>
      <c r="G30" s="314"/>
      <c r="H30" s="314"/>
      <c r="I30" s="314"/>
      <c r="J30" s="2030"/>
      <c r="K30" s="1258" t="str">
        <f ca="1">IF(K29="——","——","大写金额：人民币"&amp;NUMBERSTRING(INT(O39*10000),2)&amp;"元整")</f>
        <v>大写金额：人民币壹拾壹亿伍仟伍佰伍拾柒万元整</v>
      </c>
      <c r="L30" s="1252"/>
      <c r="M30" s="1252"/>
      <c r="N30" s="1252"/>
      <c r="O30" s="1251"/>
      <c r="P30" s="2030"/>
      <c r="V30" s="2030"/>
    </row>
    <row r="31" spans="1:26" ht="24"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2" t="s">
        <v>1692</v>
      </c>
      <c r="C32" s="1383">
        <f ca="1">G19-C24</f>
        <v>115557</v>
      </c>
      <c r="D32" s="1384"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5" t="s">
        <v>1694</v>
      </c>
      <c r="C33" s="264">
        <f ca="1">ROUND(C32*10000/'数据-汇总表'!E3,0)</f>
        <v>8597</v>
      </c>
      <c r="D33" s="1386" t="s">
        <v>1695</v>
      </c>
      <c r="E33" s="3360" t="s">
        <v>338</v>
      </c>
      <c r="F33" s="299" t="s">
        <v>339</v>
      </c>
      <c r="G33" s="300"/>
      <c r="H33" s="980"/>
      <c r="I33" s="1259"/>
      <c r="J33" s="2030"/>
      <c r="K33" s="1258" t="str">
        <f>IF(项目基本情况!E9="——","——","抵押净值："&amp;C46&amp;"万元")</f>
        <v>——</v>
      </c>
      <c r="L33" s="1252"/>
      <c r="M33" s="1252"/>
      <c r="N33" s="1252"/>
      <c r="O33" s="1251"/>
      <c r="P33" s="2030"/>
      <c r="V33" s="2030"/>
    </row>
    <row r="34" spans="1:26" s="1254" customFormat="1" ht="18.75" thickBot="1">
      <c r="A34" s="303"/>
      <c r="B34" s="1387" t="s">
        <v>1696</v>
      </c>
      <c r="C34" s="264">
        <f ca="1">ROUND(C32*10000/'数据-汇总表'!D3,0)</f>
        <v>24301</v>
      </c>
      <c r="D34" s="1388" t="s">
        <v>1695</v>
      </c>
      <c r="E34" s="3361"/>
      <c r="F34" s="127" t="s">
        <v>341</v>
      </c>
      <c r="G34" s="302"/>
      <c r="H34" s="105"/>
      <c r="I34" s="314"/>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1620</v>
      </c>
      <c r="D35" s="1391" t="s">
        <v>1697</v>
      </c>
      <c r="E35" s="3362"/>
      <c r="F35" s="304" t="s">
        <v>342</v>
      </c>
      <c r="G35" s="982"/>
      <c r="H35" s="981" t="s">
        <v>343</v>
      </c>
      <c r="I35" s="314"/>
      <c r="J35" s="2030"/>
      <c r="K35" s="3366" t="s">
        <v>350</v>
      </c>
      <c r="L35" s="3366" t="s">
        <v>351</v>
      </c>
      <c r="M35" s="1264" t="s">
        <v>352</v>
      </c>
      <c r="N35" s="3366" t="s">
        <v>353</v>
      </c>
      <c r="O35" s="3366" t="s">
        <v>354</v>
      </c>
      <c r="P35" s="2030"/>
      <c r="V35" s="2030"/>
    </row>
    <row r="36" spans="1:26" ht="16.5" customHeight="1">
      <c r="A36" s="306" t="s">
        <v>344</v>
      </c>
      <c r="B36" s="307" t="s">
        <v>333</v>
      </c>
      <c r="C36" s="308" t="s">
        <v>345</v>
      </c>
      <c r="D36" s="308" t="s">
        <v>346</v>
      </c>
      <c r="E36" s="309" t="s">
        <v>347</v>
      </c>
      <c r="F36" s="314"/>
      <c r="G36" s="314"/>
      <c r="H36" s="314"/>
      <c r="I36" s="314"/>
      <c r="J36" s="2032"/>
      <c r="K36" s="3367"/>
      <c r="L36" s="3367"/>
      <c r="M36" s="1266" t="s">
        <v>355</v>
      </c>
      <c r="N36" s="3367"/>
      <c r="O36" s="3367"/>
      <c r="P36" s="2030"/>
      <c r="V36" s="2030"/>
    </row>
    <row r="37" spans="1:26" ht="16.5" customHeight="1" thickBot="1">
      <c r="A37" s="1260" t="s">
        <v>348</v>
      </c>
      <c r="B37" s="310"/>
      <c r="C37" s="294"/>
      <c r="D37" s="294"/>
      <c r="E37" s="295"/>
      <c r="F37" s="314"/>
      <c r="G37" s="314"/>
      <c r="H37" s="314"/>
      <c r="I37" s="314"/>
      <c r="J37" s="2032"/>
      <c r="K37" s="3368"/>
      <c r="L37" s="3368"/>
      <c r="M37" s="1267"/>
      <c r="N37" s="3368"/>
      <c r="O37" s="3368"/>
      <c r="P37" s="2030"/>
      <c r="V37" s="2030"/>
    </row>
    <row r="38" spans="1:26" ht="16.5" customHeight="1" thickBot="1">
      <c r="A38" s="1260" t="s">
        <v>349</v>
      </c>
      <c r="B38" s="310"/>
      <c r="C38" s="294"/>
      <c r="D38" s="294"/>
      <c r="E38" s="295"/>
      <c r="F38" s="314"/>
      <c r="G38" s="314"/>
      <c r="H38" s="314"/>
      <c r="I38" s="314"/>
      <c r="J38" s="2032"/>
      <c r="K38" s="1268">
        <f>'数据-汇总表'!D3</f>
        <v>47552.7</v>
      </c>
      <c r="L38" s="1269">
        <f>'数据-汇总表'!E3</f>
        <v>134410.88</v>
      </c>
      <c r="M38" s="1269">
        <f ca="1">C34</f>
        <v>24301</v>
      </c>
      <c r="N38" s="1269">
        <f ca="1">C33</f>
        <v>8597</v>
      </c>
      <c r="O38" s="1270">
        <f ca="1">C32</f>
        <v>115557</v>
      </c>
      <c r="P38" s="2030"/>
      <c r="V38" s="2030"/>
    </row>
    <row r="39" spans="1:26" ht="16.5" customHeight="1" thickBot="1">
      <c r="A39" s="1265"/>
      <c r="B39" s="311"/>
      <c r="C39" s="312"/>
      <c r="D39" s="312"/>
      <c r="E39" s="313"/>
      <c r="F39" s="314"/>
      <c r="G39" s="314"/>
      <c r="H39" s="314"/>
      <c r="I39" s="314"/>
      <c r="J39" s="2032"/>
      <c r="K39" s="3343" t="str">
        <f>MID(A44,3,LEN(A44)-2)</f>
        <v>抵押价格</v>
      </c>
      <c r="L39" s="3344"/>
      <c r="M39" s="3344"/>
      <c r="N39" s="3345"/>
      <c r="O39" s="1393">
        <f ca="1">C44</f>
        <v>115557</v>
      </c>
      <c r="P39" s="2030"/>
      <c r="V39" s="2030"/>
    </row>
    <row r="40" spans="1:26" ht="19.5" thickBot="1">
      <c r="A40" s="104" t="s">
        <v>876</v>
      </c>
      <c r="B40" s="314"/>
      <c r="C40" s="314"/>
      <c r="D40" s="314"/>
      <c r="E40" s="314"/>
      <c r="F40" s="314"/>
      <c r="G40" s="314"/>
      <c r="H40" s="314"/>
      <c r="I40" s="314"/>
      <c r="J40" s="2032"/>
      <c r="K40" s="3343" t="str">
        <f t="shared" ref="K40:K41" si="0">MID(A45,3,LEN(A45)-2)</f>
        <v/>
      </c>
      <c r="L40" s="3344"/>
      <c r="M40" s="3344"/>
      <c r="N40" s="3345"/>
      <c r="O40" s="1393" t="str">
        <f>C45</f>
        <v>——</v>
      </c>
      <c r="P40" s="2030"/>
      <c r="V40" s="2030"/>
    </row>
    <row r="41" spans="1:26" ht="16.5" thickBot="1">
      <c r="A41" s="315" t="s">
        <v>356</v>
      </c>
      <c r="B41" s="316"/>
      <c r="C41" s="317" t="s">
        <v>357</v>
      </c>
      <c r="D41" s="318" t="s">
        <v>358</v>
      </c>
      <c r="E41" s="318" t="s">
        <v>359</v>
      </c>
      <c r="F41" s="319" t="s">
        <v>360</v>
      </c>
      <c r="G41" s="314"/>
      <c r="H41" s="314"/>
      <c r="I41" s="314"/>
      <c r="J41" s="2032"/>
      <c r="K41" s="3343" t="str">
        <f t="shared" si="0"/>
        <v/>
      </c>
      <c r="L41" s="3344"/>
      <c r="M41" s="3344"/>
      <c r="N41" s="3345"/>
      <c r="O41" s="1393" t="str">
        <f>C46</f>
        <v>——</v>
      </c>
      <c r="P41" s="2030"/>
      <c r="V41" s="2030"/>
    </row>
    <row r="42" spans="1:26" ht="29.25">
      <c r="A42" s="3402" t="s">
        <v>2077</v>
      </c>
      <c r="B42" s="3403"/>
      <c r="C42" s="264">
        <f ca="1">C32</f>
        <v>115557</v>
      </c>
      <c r="D42" s="320">
        <f ca="1">C33</f>
        <v>8597</v>
      </c>
      <c r="E42" s="320">
        <f ca="1">C34</f>
        <v>24301</v>
      </c>
      <c r="F42" s="321">
        <f ca="1">C35</f>
        <v>1620</v>
      </c>
      <c r="G42" s="314"/>
      <c r="H42" s="314"/>
      <c r="I42" s="322"/>
      <c r="J42" s="2032"/>
      <c r="K42" s="1271" t="s">
        <v>361</v>
      </c>
      <c r="L42" s="2049" t="s">
        <v>362</v>
      </c>
      <c r="M42" s="1272" t="s">
        <v>363</v>
      </c>
      <c r="N42" s="2050" t="s">
        <v>364</v>
      </c>
      <c r="O42" s="2051" t="s">
        <v>365</v>
      </c>
      <c r="P42" s="2030"/>
      <c r="V42" s="2030"/>
    </row>
    <row r="43" spans="1:26" ht="30">
      <c r="A43" s="3412" t="s">
        <v>2745</v>
      </c>
      <c r="B43" s="3413"/>
      <c r="C43" s="264">
        <f>IF(H33="正常操作",G33+G34+G35,G34+G35)</f>
        <v>0</v>
      </c>
      <c r="D43" s="320" t="s">
        <v>43</v>
      </c>
      <c r="E43" s="320" t="s">
        <v>44</v>
      </c>
      <c r="F43" s="321" t="s">
        <v>44</v>
      </c>
      <c r="G43" s="2901" t="s">
        <v>955</v>
      </c>
      <c r="H43" s="314"/>
      <c r="I43" s="322"/>
      <c r="J43" s="2032"/>
      <c r="K43" s="1273" t="str">
        <f>C4</f>
        <v>比较法-住宅、综合</v>
      </c>
      <c r="L43" s="1274">
        <f ca="1">IF(L42="估价结果/万元",C19,C20)</f>
        <v>110559</v>
      </c>
      <c r="M43" s="1275">
        <f>C18</f>
        <v>0.5</v>
      </c>
      <c r="N43" s="1276">
        <f ca="1">IF(N42="测算结果/万元",G19,G20)</f>
        <v>115557</v>
      </c>
      <c r="O43" s="1277">
        <f ca="1">IF(O42="最终结果/万元",C32,C33)</f>
        <v>115557</v>
      </c>
      <c r="P43" s="2030"/>
      <c r="V43" s="2030"/>
    </row>
    <row r="44" spans="1:26" ht="30.75" thickBot="1">
      <c r="A44" s="3402" t="str">
        <f>IF(OR(项目基本情况!E8="抵押价格",项目基本情况!E8="已注销及未注销"),"3.抵押价格","——")</f>
        <v>3.抵押价格</v>
      </c>
      <c r="B44" s="3403"/>
      <c r="C44" s="264">
        <f ca="1">IF(A44="——","——",C42-C43)</f>
        <v>115557</v>
      </c>
      <c r="D44" s="320">
        <f ca="1">ROUND(C44*10000/'数据-汇总表'!E3,0)</f>
        <v>8597</v>
      </c>
      <c r="E44" s="320">
        <f ca="1">ROUND(C44*10000/'数据-汇总表'!D3,0)</f>
        <v>24301</v>
      </c>
      <c r="F44" s="321">
        <f ca="1">ROUND(C44/('数据-汇总表'!D3/666.67),0)</f>
        <v>1620</v>
      </c>
      <c r="G44" s="314"/>
      <c r="H44" s="314"/>
      <c r="I44" s="322"/>
      <c r="J44" s="2032"/>
      <c r="K44" s="1278" t="str">
        <f>D4</f>
        <v>剩余法-待开发</v>
      </c>
      <c r="L44" s="1279">
        <f ca="1">IF(L42="估价结果/万元",D19,D20)</f>
        <v>120554</v>
      </c>
      <c r="M44" s="1280">
        <f>D18</f>
        <v>0.5</v>
      </c>
      <c r="N44" s="1281"/>
      <c r="O44" s="1282"/>
      <c r="P44" s="2030"/>
      <c r="V44" s="2030"/>
    </row>
    <row r="45" spans="1:26" ht="15">
      <c r="A45" s="3407" t="str">
        <f>IF(项目基本情况!E8="已注销及未注销","4.抵押担保权已注销时的抵押价格",IF(项目基本情况!E8="已注销","3.抵押担保权已注销时的抵押价格","——"))</f>
        <v>——</v>
      </c>
      <c r="B45" s="3408"/>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404" t="str">
        <f>IF(项目基本情况!E9="抵押净值",IF(A45="——","4.抵押净值","5.抵押净值"),"——")</f>
        <v>——</v>
      </c>
      <c r="B46" s="3405"/>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3"/>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71" t="s">
        <v>374</v>
      </c>
      <c r="B63" s="3372"/>
      <c r="C63" s="3373"/>
      <c r="D63" s="344">
        <f ca="1">ROUND(C42*F63,0)</f>
        <v>69334</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409" t="s">
        <v>378</v>
      </c>
      <c r="B64" s="3410"/>
      <c r="C64" s="3410"/>
      <c r="D64" s="3410"/>
      <c r="E64" s="3410"/>
      <c r="F64" s="3410"/>
      <c r="G64" s="3411"/>
      <c r="H64" s="1288"/>
      <c r="I64" s="949"/>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8"/>
      <c r="I65" s="949"/>
      <c r="J65" s="1992"/>
      <c r="K65" s="1289"/>
      <c r="L65" s="1290"/>
      <c r="M65" s="1290"/>
      <c r="N65" s="1322" t="s">
        <v>379</v>
      </c>
      <c r="O65" s="1323"/>
      <c r="P65" s="1324"/>
      <c r="Q65" s="2030"/>
      <c r="R65" s="2030"/>
      <c r="S65" s="2030"/>
      <c r="T65" s="2030"/>
      <c r="U65" s="2030"/>
      <c r="V65" s="2030"/>
    </row>
    <row r="66" spans="1:22" ht="25.5">
      <c r="A66" s="3406" t="s">
        <v>386</v>
      </c>
      <c r="B66" s="3378"/>
      <c r="C66" s="3378"/>
      <c r="D66" s="261">
        <f ca="1">IF(H66="情况1",0,IF(H66="情况2",D70,IF(H66="情况3",D71,IF(H66="情况4",D72))))</f>
        <v>3632</v>
      </c>
      <c r="E66" s="993" t="str">
        <f>IF(H66="情况4","(销售额-原购置价)×税（费）率","销售额×税（费）率")</f>
        <v>销售额×税（费）率</v>
      </c>
      <c r="F66" s="353">
        <f>IF(H66="情况1","免征",'数据-取费表'!B41)</f>
        <v>5.5000000000000007E-2</v>
      </c>
      <c r="G66" s="354" t="s">
        <v>387</v>
      </c>
      <c r="H66" s="191" t="s">
        <v>388</v>
      </c>
      <c r="I66" s="1288"/>
      <c r="J66" s="2036"/>
      <c r="K66" s="1291">
        <v>1</v>
      </c>
      <c r="L66" s="3347" t="s">
        <v>385</v>
      </c>
      <c r="M66" s="3348"/>
      <c r="N66" s="2489"/>
      <c r="O66" s="2490"/>
      <c r="P66" s="2491"/>
      <c r="Q66" s="2030"/>
      <c r="R66" s="2030"/>
      <c r="S66" s="2030"/>
      <c r="T66" s="2030"/>
      <c r="U66" s="2030"/>
      <c r="V66" s="2030"/>
    </row>
    <row r="67" spans="1:22" ht="25.5" customHeight="1">
      <c r="A67" s="355" t="s">
        <v>390</v>
      </c>
      <c r="B67" s="3390" t="s">
        <v>391</v>
      </c>
      <c r="C67" s="3390"/>
      <c r="D67" s="356">
        <v>0</v>
      </c>
      <c r="E67" s="41" t="s">
        <v>392</v>
      </c>
      <c r="F67" s="62" t="s">
        <v>21</v>
      </c>
      <c r="G67" s="3374"/>
      <c r="H67" s="314"/>
      <c r="I67" s="1292"/>
      <c r="J67" s="2037"/>
      <c r="K67" s="1978">
        <v>2</v>
      </c>
      <c r="L67" s="3346" t="s">
        <v>389</v>
      </c>
      <c r="M67" s="3346"/>
      <c r="N67" s="1325">
        <f>'数据-取费表'!B2</f>
        <v>42915</v>
      </c>
      <c r="O67" s="1325"/>
      <c r="P67" s="1325"/>
      <c r="Q67" s="2030"/>
      <c r="R67" s="2030"/>
      <c r="S67" s="2030"/>
      <c r="T67" s="2030"/>
      <c r="U67" s="2030"/>
      <c r="V67" s="2030"/>
    </row>
    <row r="68" spans="1:22" ht="25.5" customHeight="1">
      <c r="A68" s="357"/>
      <c r="B68" s="3390" t="s">
        <v>394</v>
      </c>
      <c r="C68" s="3390"/>
      <c r="D68" s="358"/>
      <c r="E68" s="77"/>
      <c r="F68" s="359"/>
      <c r="G68" s="3375"/>
      <c r="H68" s="314"/>
      <c r="I68" s="1292"/>
      <c r="J68" s="2037"/>
      <c r="K68" s="1978">
        <v>3</v>
      </c>
      <c r="L68" s="3346" t="s">
        <v>393</v>
      </c>
      <c r="M68" s="3346"/>
      <c r="N68" s="1293">
        <f ca="1">C42</f>
        <v>115557</v>
      </c>
      <c r="O68" s="1293"/>
      <c r="P68" s="1293"/>
      <c r="Q68" s="2030"/>
      <c r="R68" s="2030"/>
      <c r="S68" s="2030"/>
      <c r="T68" s="2030"/>
      <c r="U68" s="2030"/>
      <c r="V68" s="2030"/>
    </row>
    <row r="69" spans="1:22" ht="12" customHeight="1">
      <c r="A69" s="360"/>
      <c r="B69" s="3390" t="s">
        <v>395</v>
      </c>
      <c r="C69" s="3390"/>
      <c r="D69" s="361"/>
      <c r="E69" s="73"/>
      <c r="F69" s="359"/>
      <c r="G69" s="3376"/>
      <c r="H69" s="314"/>
      <c r="I69" s="1292"/>
      <c r="J69" s="2037"/>
      <c r="K69" s="1294">
        <v>4</v>
      </c>
      <c r="L69" s="3352" t="s">
        <v>2898</v>
      </c>
      <c r="M69" s="3353"/>
      <c r="N69" s="1295">
        <f ca="1">C44</f>
        <v>115557</v>
      </c>
      <c r="O69" s="1295"/>
      <c r="P69" s="1295"/>
      <c r="Q69" s="2030"/>
      <c r="R69" s="2030"/>
      <c r="S69" s="2030"/>
      <c r="T69" s="2030"/>
      <c r="U69" s="2030"/>
      <c r="V69" s="2030"/>
    </row>
    <row r="70" spans="1:22" ht="24" customHeight="1">
      <c r="A70" s="362" t="s">
        <v>396</v>
      </c>
      <c r="B70" s="3390" t="s">
        <v>397</v>
      </c>
      <c r="C70" s="3390"/>
      <c r="D70" s="361">
        <f ca="1">ROUND(D63*'数据-取费表'!B41/(1+'数据-取费表'!C42),0)</f>
        <v>3632</v>
      </c>
      <c r="E70" s="17" t="s">
        <v>398</v>
      </c>
      <c r="F70" s="363">
        <f>'数据-取费表'!B41</f>
        <v>5.5000000000000007E-2</v>
      </c>
      <c r="G70" s="364"/>
      <c r="H70" s="314"/>
      <c r="I70" s="1292"/>
      <c r="J70" s="2037"/>
      <c r="K70" s="3096"/>
      <c r="L70" s="3097"/>
      <c r="M70" s="3097"/>
      <c r="N70" s="3098" t="s">
        <v>2903</v>
      </c>
      <c r="O70" s="3097"/>
      <c r="P70" s="3099"/>
      <c r="Q70" s="2030"/>
      <c r="R70" s="2030"/>
      <c r="S70" s="2030"/>
      <c r="T70" s="2030"/>
      <c r="U70" s="2030"/>
      <c r="V70" s="2030"/>
    </row>
    <row r="71" spans="1:22" ht="12" customHeight="1">
      <c r="A71" s="362" t="s">
        <v>404</v>
      </c>
      <c r="B71" s="3389" t="s">
        <v>405</v>
      </c>
      <c r="C71" s="3400"/>
      <c r="D71" s="361">
        <f ca="1">ROUND(D63*'数据-取费表'!B41/(1+'数据-取费表'!C42),0)</f>
        <v>3632</v>
      </c>
      <c r="E71" s="17" t="s">
        <v>398</v>
      </c>
      <c r="F71" s="363">
        <f>'数据-取费表'!B41</f>
        <v>5.5000000000000007E-2</v>
      </c>
      <c r="G71" s="364"/>
      <c r="H71" s="314"/>
      <c r="I71" s="1292"/>
      <c r="J71" s="2037"/>
      <c r="K71" s="3095" t="s">
        <v>399</v>
      </c>
      <c r="L71" s="3354" t="s">
        <v>400</v>
      </c>
      <c r="M71" s="3354"/>
      <c r="N71" s="3095" t="s">
        <v>401</v>
      </c>
      <c r="O71" s="3095" t="s">
        <v>402</v>
      </c>
      <c r="P71" s="3095" t="s">
        <v>403</v>
      </c>
      <c r="Q71" s="2030"/>
      <c r="R71" s="2030"/>
      <c r="S71" s="2030"/>
      <c r="T71" s="2030"/>
      <c r="U71" s="2030"/>
      <c r="V71" s="2030"/>
    </row>
    <row r="72" spans="1:22" ht="12" customHeight="1">
      <c r="A72" s="362" t="s">
        <v>407</v>
      </c>
      <c r="B72" s="3389" t="s">
        <v>408</v>
      </c>
      <c r="C72" s="3400"/>
      <c r="D72" s="361">
        <f ca="1">C86</f>
        <v>3522</v>
      </c>
      <c r="E72" s="73" t="s">
        <v>409</v>
      </c>
      <c r="F72" s="363">
        <f>'数据-取费表'!B41</f>
        <v>5.5000000000000007E-2</v>
      </c>
      <c r="G72" s="364"/>
      <c r="H72" s="1298"/>
      <c r="I72" s="1292"/>
      <c r="J72" s="2037"/>
      <c r="K72" s="1978">
        <v>1</v>
      </c>
      <c r="L72" s="3351" t="s">
        <v>406</v>
      </c>
      <c r="M72" s="3351"/>
      <c r="N72" s="1296">
        <f ca="1">D66</f>
        <v>3632</v>
      </c>
      <c r="O72" s="1862" t="str">
        <f>E66</f>
        <v>销售额×税（费）率</v>
      </c>
      <c r="P72" s="1297">
        <f>F66</f>
        <v>5.5000000000000007E-2</v>
      </c>
      <c r="Q72" s="2030"/>
      <c r="R72" s="2030"/>
      <c r="S72" s="2030"/>
      <c r="T72" s="2030"/>
      <c r="U72" s="2030"/>
      <c r="V72" s="2030"/>
    </row>
    <row r="73" spans="1:22" ht="24" customHeight="1">
      <c r="A73" s="3377" t="s">
        <v>411</v>
      </c>
      <c r="B73" s="3378"/>
      <c r="C73" s="3378"/>
      <c r="D73" s="365">
        <f>IF(H73="个人住宅",0,ROUND(D63*I73,0))</f>
        <v>0</v>
      </c>
      <c r="E73" s="17" t="s">
        <v>412</v>
      </c>
      <c r="F73" s="363" t="str">
        <f>IF(H73="正常",I73,"免征")</f>
        <v>免征</v>
      </c>
      <c r="G73" s="364"/>
      <c r="H73" s="191" t="s">
        <v>2466</v>
      </c>
      <c r="I73" s="363">
        <f>'数据-取费表'!B49</f>
        <v>5.0000000000000001E-4</v>
      </c>
      <c r="J73" s="2037"/>
      <c r="K73" s="1978">
        <v>2</v>
      </c>
      <c r="L73" s="3351" t="s">
        <v>410</v>
      </c>
      <c r="M73" s="3351"/>
      <c r="N73" s="1296">
        <f t="shared" ref="N73:P74" si="1">D73</f>
        <v>0</v>
      </c>
      <c r="O73" s="1862" t="str">
        <f t="shared" si="1"/>
        <v>销售额×税（费）率</v>
      </c>
      <c r="P73" s="1297" t="str">
        <f t="shared" si="1"/>
        <v>免征</v>
      </c>
      <c r="Q73" s="2030"/>
      <c r="R73" s="2030"/>
      <c r="S73" s="2030"/>
      <c r="T73" s="2030"/>
      <c r="U73" s="2030"/>
      <c r="V73" s="2030"/>
    </row>
    <row r="74" spans="1:22" ht="24.75">
      <c r="A74" s="3377" t="s">
        <v>415</v>
      </c>
      <c r="B74" s="3378"/>
      <c r="C74" s="3378"/>
      <c r="D74" s="365">
        <f ca="1">IF(H74="个人住宅",D75,D76)</f>
        <v>38650</v>
      </c>
      <c r="E74" s="17" t="s">
        <v>416</v>
      </c>
      <c r="F74" s="363" t="str">
        <f>IF(H74="正常",F76,"免征")</f>
        <v>——</v>
      </c>
      <c r="G74" s="983" t="s">
        <v>417</v>
      </c>
      <c r="H74" s="366" t="s">
        <v>413</v>
      </c>
      <c r="I74" s="42"/>
      <c r="J74" s="2037"/>
      <c r="K74" s="1978">
        <v>3</v>
      </c>
      <c r="L74" s="3351" t="s">
        <v>414</v>
      </c>
      <c r="M74" s="3351"/>
      <c r="N74" s="1296">
        <f t="shared" ca="1" si="1"/>
        <v>38650</v>
      </c>
      <c r="O74" s="1862" t="str">
        <f t="shared" si="1"/>
        <v>增值额×税（费）率</v>
      </c>
      <c r="P74" s="1299" t="str">
        <f t="shared" si="1"/>
        <v>——</v>
      </c>
      <c r="Q74" s="2030"/>
      <c r="R74" s="2030"/>
      <c r="S74" s="2030"/>
      <c r="T74" s="2030"/>
      <c r="U74" s="2030"/>
      <c r="V74" s="2030"/>
    </row>
    <row r="75" spans="1:22" ht="24">
      <c r="A75" s="362" t="s">
        <v>418</v>
      </c>
      <c r="B75" s="3358" t="s">
        <v>419</v>
      </c>
      <c r="C75" s="3359"/>
      <c r="D75" s="367">
        <v>0</v>
      </c>
      <c r="E75" s="41" t="s">
        <v>420</v>
      </c>
      <c r="F75" s="368"/>
      <c r="G75" s="364"/>
      <c r="H75" s="42"/>
      <c r="I75" s="42"/>
      <c r="J75" s="2037"/>
      <c r="K75" s="3088">
        <f>IF(H77="非个人房产","",4)</f>
        <v>4</v>
      </c>
      <c r="L75" s="3351" t="str">
        <f>IF(H77="非个人房产","——","个人所得税")</f>
        <v>个人所得税</v>
      </c>
      <c r="M75" s="3351"/>
      <c r="N75" s="1300">
        <f ca="1">D77</f>
        <v>693</v>
      </c>
      <c r="O75" s="1875" t="str">
        <f>E77</f>
        <v>销售额×税（费）率</v>
      </c>
      <c r="P75" s="1301">
        <f>F77</f>
        <v>0.01</v>
      </c>
      <c r="Q75" s="2030"/>
      <c r="R75" s="2030"/>
      <c r="S75" s="2030"/>
      <c r="T75" s="2030"/>
      <c r="U75" s="2030"/>
      <c r="V75" s="2030"/>
    </row>
    <row r="76" spans="1:22" ht="24.75">
      <c r="A76" s="362" t="s">
        <v>396</v>
      </c>
      <c r="B76" s="3358" t="s">
        <v>422</v>
      </c>
      <c r="C76" s="3399"/>
      <c r="D76" s="365">
        <f ca="1">IF(H76="转让取得",C99,C115)</f>
        <v>38650</v>
      </c>
      <c r="E76" s="17" t="s">
        <v>423</v>
      </c>
      <c r="F76" s="53" t="s">
        <v>21</v>
      </c>
      <c r="G76" s="364"/>
      <c r="H76" s="366" t="s">
        <v>424</v>
      </c>
      <c r="I76" s="42"/>
      <c r="J76" s="2037"/>
      <c r="K76" s="3088" t="str">
        <f>IF(项目基本情况!K6="上海银行",IF(K75="",4,K75+1),"")</f>
        <v/>
      </c>
      <c r="L76" s="3339" t="str">
        <f>IF(项目基本情况!K6="上海银行","其他处置费用","")</f>
        <v/>
      </c>
      <c r="M76" s="3340"/>
      <c r="N76" s="1296" t="str">
        <f>IF(项目基本情况!K6="上海银行",N89,"")</f>
        <v/>
      </c>
      <c r="O76" s="3341" t="str">
        <f>IF(项目基本情况!K6="上海银行","包含处置中涉及的律师、诉讼、拍卖、评估等费用","")</f>
        <v/>
      </c>
      <c r="P76" s="3342"/>
      <c r="Q76" s="2030"/>
      <c r="R76" s="2030"/>
      <c r="S76" s="2030"/>
      <c r="T76" s="2030"/>
      <c r="U76" s="2030"/>
      <c r="V76" s="2030"/>
    </row>
    <row r="77" spans="1:22" ht="26.25" thickBot="1">
      <c r="A77" s="3369" t="s">
        <v>426</v>
      </c>
      <c r="B77" s="3370"/>
      <c r="C77" s="3370"/>
      <c r="D77" s="369">
        <f ca="1">IF(H77="非个人房产","——",IF(H77="个人住宅",0,ROUND(D63*I77,0)))</f>
        <v>693</v>
      </c>
      <c r="E77" s="370" t="str">
        <f>IF(H77="非个人房产","——","销售额×税（费）率")</f>
        <v>销售额×税（费）率</v>
      </c>
      <c r="F77" s="371">
        <f>IF(H77="非个人房产","——",IF(H77="个人住宅","免征",I77))</f>
        <v>0.01</v>
      </c>
      <c r="G77" s="984" t="s">
        <v>417</v>
      </c>
      <c r="H77" s="366" t="s">
        <v>2899</v>
      </c>
      <c r="I77" s="372">
        <v>0.01</v>
      </c>
      <c r="J77" s="2037"/>
      <c r="K77" s="3365">
        <f>IF(AND(K75="",K76=""),4,IF(项目基本情况!K6="上海银行",K76+1,K75+1))</f>
        <v>5</v>
      </c>
      <c r="L77" s="3351" t="s">
        <v>2900</v>
      </c>
      <c r="M77" s="3094" t="s">
        <v>421</v>
      </c>
      <c r="N77" s="1302"/>
      <c r="O77" s="1303">
        <f ca="1">SUMIF(N72:N76,"&lt;9e307")</f>
        <v>42975</v>
      </c>
      <c r="P77" s="1304"/>
      <c r="Q77" s="3092">
        <f ca="1">O77/N69</f>
        <v>0.37189438978166617</v>
      </c>
      <c r="R77" s="2030"/>
      <c r="S77" s="2030"/>
      <c r="T77" s="2030"/>
      <c r="U77" s="2030"/>
      <c r="V77" s="2030"/>
    </row>
    <row r="78" spans="1:22" ht="12" customHeight="1">
      <c r="A78" s="1305"/>
      <c r="B78" s="314"/>
      <c r="C78" s="314"/>
      <c r="D78" s="314"/>
      <c r="E78" s="42"/>
      <c r="F78" s="42"/>
      <c r="G78" s="42"/>
      <c r="H78" s="1003"/>
      <c r="I78" s="314"/>
      <c r="J78" s="2037"/>
      <c r="K78" s="3365"/>
      <c r="L78" s="3351"/>
      <c r="M78" s="3094" t="s">
        <v>425</v>
      </c>
      <c r="N78" s="1302"/>
      <c r="O78" s="1303" t="str">
        <f ca="1">NUMBERSTRING(INT(O77*10000),2)&amp;"元整"</f>
        <v>肆亿贰仟玖佰柒拾伍万元整</v>
      </c>
      <c r="P78" s="1304"/>
      <c r="Q78" s="2030"/>
      <c r="R78" s="2030"/>
      <c r="S78" s="2030"/>
      <c r="T78" s="2030"/>
      <c r="U78" s="2030"/>
      <c r="V78" s="2030"/>
    </row>
    <row r="79" spans="1:22" ht="13.5" thickBot="1">
      <c r="A79" s="3355" t="s">
        <v>427</v>
      </c>
      <c r="B79" s="3355"/>
      <c r="C79" s="3355"/>
      <c r="D79" s="3355"/>
      <c r="E79" s="3355"/>
      <c r="F79" s="42"/>
      <c r="G79" s="42"/>
      <c r="H79" s="1003"/>
      <c r="I79" s="314"/>
      <c r="J79" s="2037"/>
      <c r="K79" s="3349">
        <f>K77+1</f>
        <v>6</v>
      </c>
      <c r="L79" s="3351" t="s">
        <v>2901</v>
      </c>
      <c r="M79" s="3094" t="s">
        <v>421</v>
      </c>
      <c r="N79" s="1302"/>
      <c r="O79" s="1303">
        <f ca="1">N69-O77</f>
        <v>72582</v>
      </c>
      <c r="P79" s="1304"/>
      <c r="Q79" s="2030"/>
      <c r="R79" s="2030"/>
      <c r="S79" s="2030"/>
      <c r="T79" s="2030"/>
      <c r="U79" s="2030"/>
      <c r="V79" s="2030"/>
    </row>
    <row r="80" spans="1:22" ht="25.5">
      <c r="A80" s="3356" t="s">
        <v>428</v>
      </c>
      <c r="B80" s="3357"/>
      <c r="C80" s="994"/>
      <c r="D80" s="994" t="s">
        <v>429</v>
      </c>
      <c r="E80" s="373" t="s">
        <v>430</v>
      </c>
      <c r="F80" s="42"/>
      <c r="G80" s="42"/>
      <c r="H80" s="1003"/>
      <c r="I80" s="314"/>
      <c r="J80" s="2030"/>
      <c r="K80" s="3350"/>
      <c r="L80" s="3351"/>
      <c r="M80" s="3094" t="s">
        <v>425</v>
      </c>
      <c r="N80" s="1302"/>
      <c r="O80" s="1303" t="str">
        <f ca="1">NUMBERSTRING(INT(O79*10000),2)&amp;"元整"</f>
        <v>柒亿贰仟伍佰捌拾贰万元整</v>
      </c>
      <c r="P80" s="1304"/>
      <c r="Q80" s="2030"/>
      <c r="R80" s="2030"/>
      <c r="S80" s="2030"/>
      <c r="T80" s="2030"/>
      <c r="U80" s="2030"/>
      <c r="V80" s="2030"/>
    </row>
    <row r="81" spans="1:26" ht="13.5" thickBot="1">
      <c r="A81" s="384" t="s">
        <v>1828</v>
      </c>
      <c r="B81" s="374" t="s">
        <v>431</v>
      </c>
      <c r="C81" s="375">
        <f ca="1">ROUND((C82+C83)/(1+'数据-取费表'!C42),0)</f>
        <v>66032</v>
      </c>
      <c r="D81" s="376"/>
      <c r="E81" s="377"/>
      <c r="F81" s="42"/>
      <c r="G81" s="42"/>
      <c r="H81" s="1003"/>
      <c r="I81" s="314"/>
      <c r="J81" s="2030"/>
      <c r="K81" s="3088">
        <f>K79+1</f>
        <v>7</v>
      </c>
      <c r="L81" s="3363" t="s">
        <v>2902</v>
      </c>
      <c r="M81" s="3364"/>
      <c r="N81" s="1306"/>
      <c r="O81" s="1307">
        <f ca="1">ROUND(O79*10000/'数据-汇总表'!E3,0)</f>
        <v>5400</v>
      </c>
      <c r="P81" s="1308"/>
      <c r="Q81" s="2030"/>
      <c r="R81" s="2030"/>
      <c r="S81" s="2030"/>
      <c r="T81" s="2030"/>
      <c r="U81" s="2030"/>
      <c r="V81" s="2030"/>
    </row>
    <row r="82" spans="1:26" ht="13.5" thickTop="1">
      <c r="A82" s="378" t="s">
        <v>1829</v>
      </c>
      <c r="B82" s="379" t="s">
        <v>432</v>
      </c>
      <c r="C82" s="380">
        <f ca="1">D63</f>
        <v>69334</v>
      </c>
      <c r="D82" s="381" t="s">
        <v>19</v>
      </c>
      <c r="E82" s="382"/>
      <c r="F82" s="42"/>
      <c r="G82" s="42"/>
      <c r="H82" s="1003"/>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3"/>
      <c r="I83" s="314"/>
      <c r="J83" s="2030"/>
      <c r="K83" s="3338" t="s">
        <v>2889</v>
      </c>
      <c r="L83" s="3100" t="s">
        <v>2890</v>
      </c>
      <c r="M83" s="3090">
        <f ca="1">IF(N69&gt;10000,N69*0.5%,IF(AND(N69&gt;1000,N69&lt;=10000),N69*1%,IF(AND(N69&gt;100,N69&lt;=1000),N69*3%,IF(AND(N69&gt;10,N69&lt;=100),N69*5%,N69*8%))))</f>
        <v>577.78499999999997</v>
      </c>
      <c r="N83" s="53">
        <f ca="1">ROUND(M83,1)</f>
        <v>577.79999999999995</v>
      </c>
      <c r="O83" s="3093"/>
      <c r="P83" s="2030"/>
      <c r="Q83" s="2030"/>
      <c r="R83" s="2030"/>
      <c r="S83" s="2030"/>
      <c r="T83" s="2030"/>
      <c r="U83" s="2030"/>
      <c r="V83" s="2030"/>
    </row>
    <row r="84" spans="1:26" ht="12.75">
      <c r="A84" s="384" t="s">
        <v>1831</v>
      </c>
      <c r="B84" s="385" t="s">
        <v>434</v>
      </c>
      <c r="C84" s="386">
        <v>2000</v>
      </c>
      <c r="D84" s="387" t="s">
        <v>19</v>
      </c>
      <c r="E84" s="3131" t="s">
        <v>2948</v>
      </c>
      <c r="F84" s="42"/>
      <c r="G84" s="42"/>
      <c r="H84" s="1003"/>
      <c r="I84" s="314"/>
      <c r="J84" s="2030"/>
      <c r="K84" s="3338"/>
      <c r="L84" s="3100" t="s">
        <v>2891</v>
      </c>
      <c r="M84" s="3090">
        <f ca="1">IF(N69&gt;2000,N69*0.5%,IF(AND(N69&gt;1000,N69&lt;=2000),N69*0.6%,IF(AND(N69&gt;500,N69&lt;=1000),N69*0.7%,IF(AND(N69&gt;200,N69&lt;=500),N69*0.8%,IF(AND(N69&gt;100,N69&lt;=200),N69*0.9%,IF(AND(N69&gt;50,N69&lt;=100),N69*1%,IF(AND(N69&gt;20,N69&lt;=50),N69*1.5%,IF(AND(N69&gt;10,N69&lt;=20),N69*2%,IF(AND(N69&gt;1,N69&lt;=10),N69*2.5%)))))))))</f>
        <v>577.78499999999997</v>
      </c>
      <c r="N84" s="53">
        <f t="shared" ref="N84:N85" ca="1" si="2">ROUND(M84,1)</f>
        <v>577.79999999999995</v>
      </c>
      <c r="O84" s="2030" t="s">
        <v>2892</v>
      </c>
      <c r="P84" s="2030"/>
      <c r="Q84" s="2030"/>
      <c r="R84" s="2030"/>
      <c r="S84" s="2030"/>
      <c r="T84" s="2030"/>
      <c r="U84" s="2030"/>
      <c r="V84" s="2030"/>
    </row>
    <row r="85" spans="1:26" ht="12.75">
      <c r="A85" s="384" t="s">
        <v>1832</v>
      </c>
      <c r="B85" s="385" t="s">
        <v>435</v>
      </c>
      <c r="C85" s="388">
        <f ca="1">C81-C84</f>
        <v>64032</v>
      </c>
      <c r="D85" s="381" t="s">
        <v>19</v>
      </c>
      <c r="E85" s="382"/>
      <c r="F85" s="42"/>
      <c r="G85" s="42"/>
      <c r="H85" s="1003"/>
      <c r="I85" s="314"/>
      <c r="J85" s="2030"/>
      <c r="K85" s="3338"/>
      <c r="L85" s="3100" t="s">
        <v>2893</v>
      </c>
      <c r="M85" s="3090">
        <f ca="1">IF(N69&gt;1000,N69*0.1%,IF(AND(N69&gt;500,N69&lt;=1000),N69*0.5%,IF(AND(N69&gt;50,N69&lt;=500),N69*1%,IF(AND(N69&gt;1,N69&lt;=50),N69*1.5%))))</f>
        <v>115.557</v>
      </c>
      <c r="N85" s="53">
        <f t="shared" ca="1" si="2"/>
        <v>115.6</v>
      </c>
      <c r="O85" s="2030" t="s">
        <v>2892</v>
      </c>
      <c r="P85" s="2030"/>
      <c r="Q85" s="2030"/>
      <c r="R85" s="2030"/>
      <c r="S85" s="2030"/>
      <c r="T85" s="2030"/>
      <c r="U85" s="2030"/>
      <c r="V85" s="2030"/>
    </row>
    <row r="86" spans="1:26" ht="13.5" thickBot="1">
      <c r="A86" s="389" t="s">
        <v>1833</v>
      </c>
      <c r="B86" s="390" t="s">
        <v>436</v>
      </c>
      <c r="C86" s="391">
        <f ca="1">IF(C85&lt;=0,0,ROUND(C85*D86,0))</f>
        <v>3522</v>
      </c>
      <c r="D86" s="392">
        <f>'数据-取费表'!B41</f>
        <v>5.5000000000000007E-2</v>
      </c>
      <c r="E86" s="393"/>
      <c r="F86" s="42"/>
      <c r="G86" s="42"/>
      <c r="H86" s="1003"/>
      <c r="I86" s="314"/>
      <c r="J86" s="2030"/>
      <c r="K86" s="3338"/>
      <c r="L86" s="3100" t="s">
        <v>2894</v>
      </c>
      <c r="M86" s="3090">
        <f ca="1">N69*0.5%</f>
        <v>577.78499999999997</v>
      </c>
      <c r="N86" s="53">
        <f ca="1">IF(M86&gt;0.5,0.5,ROUND(M86,0))</f>
        <v>0.5</v>
      </c>
      <c r="O86" s="2030" t="s">
        <v>2895</v>
      </c>
      <c r="P86" s="2030"/>
      <c r="Q86" s="2030"/>
      <c r="R86" s="2030"/>
      <c r="S86" s="2030"/>
      <c r="T86" s="2030"/>
      <c r="U86" s="2030"/>
      <c r="V86" s="2030"/>
    </row>
    <row r="87" spans="1:26" s="1254" customFormat="1" ht="14.25" customHeight="1">
      <c r="A87" s="1309"/>
      <c r="B87" s="1310"/>
      <c r="C87" s="1311"/>
      <c r="D87" s="1312"/>
      <c r="E87" s="1313"/>
      <c r="F87" s="42"/>
      <c r="G87" s="42"/>
      <c r="H87" s="1003"/>
      <c r="I87" s="314"/>
      <c r="J87" s="2030"/>
      <c r="K87" s="3338"/>
      <c r="L87" s="3100" t="s">
        <v>2896</v>
      </c>
      <c r="M87" s="3090">
        <f ca="1">IF(N69&gt;=10000,(8.25+(N69-10000)*0.01%),IF(AND(N69&gt;=8000,N69&lt;10000),(7.85+(N69-8000)*0.02%),IF(AND(N69&gt;=5000,N69&lt;8000),(6.65+(N69-5000)*0.04%),IF(AND(N69&gt;=2000,N69&lt;5000),(4.25+(PN69-2000)*0.08%),IF(AND(N69&gt;=1000,N69&lt;2000),(2.75+(N69-1000)*0.15%),IF(AND(N69&gt;=100,N69&lt;1000),(0.5+(N69-100)*0.25%),IF(AND(N69&gt;0,N69&lt;100),N69*0.5%)))))))</f>
        <v>18.805700000000002</v>
      </c>
      <c r="N87" s="53">
        <f ca="1">ROUND(M87*0.9,1)</f>
        <v>16.899999999999999</v>
      </c>
      <c r="O87" s="3093"/>
      <c r="P87" s="314"/>
      <c r="Q87" s="2030"/>
      <c r="R87" s="2030"/>
      <c r="S87" s="2030"/>
      <c r="T87" s="2030"/>
      <c r="U87" s="2030"/>
      <c r="V87" s="2030"/>
      <c r="W87" s="292"/>
      <c r="X87" s="292"/>
      <c r="Y87" s="292"/>
      <c r="Z87" s="292"/>
    </row>
    <row r="88" spans="1:26" s="1314" customFormat="1" ht="15" thickBot="1">
      <c r="A88" s="3392" t="s">
        <v>437</v>
      </c>
      <c r="B88" s="3393"/>
      <c r="C88" s="3393"/>
      <c r="D88" s="3393"/>
      <c r="E88" s="3393"/>
      <c r="F88" s="3393"/>
      <c r="G88" s="3393"/>
      <c r="H88" s="3393"/>
      <c r="I88" s="1315"/>
      <c r="J88" s="2038"/>
      <c r="K88" s="3338"/>
      <c r="L88" s="3100" t="s">
        <v>2897</v>
      </c>
      <c r="M88" s="3090">
        <f ca="1">IF(N69&gt;10000,N69*0.5%,IF(AND(N69&gt;5000,N69&lt;=10000),N69*1%,IF(AND(N69&gt;1000,N69&lt;=5000),N69*2%,IF(AND(N69&gt;200,N69&lt;=1000),N69*3%,N69*5%))))</f>
        <v>577.78499999999997</v>
      </c>
      <c r="N88" s="53">
        <f ca="1">ROUND(M88,1)</f>
        <v>577.79999999999995</v>
      </c>
      <c r="O88" s="3093"/>
      <c r="P88" s="11"/>
      <c r="Q88" s="2035"/>
      <c r="R88" s="2035"/>
      <c r="S88" s="2035"/>
      <c r="T88" s="2035"/>
      <c r="U88" s="2035"/>
      <c r="V88" s="2035"/>
      <c r="W88" s="2039"/>
      <c r="X88" s="2039"/>
      <c r="Y88" s="2039"/>
      <c r="Z88" s="2039"/>
    </row>
    <row r="89" spans="1:26" s="1314" customFormat="1" ht="14.25">
      <c r="A89" s="3356" t="s">
        <v>428</v>
      </c>
      <c r="B89" s="3357"/>
      <c r="C89" s="994"/>
      <c r="D89" s="994" t="s">
        <v>429</v>
      </c>
      <c r="E89" s="394" t="s">
        <v>438</v>
      </c>
      <c r="F89" s="395"/>
      <c r="G89" s="395"/>
      <c r="H89" s="396"/>
      <c r="I89" s="1316"/>
      <c r="J89" s="2040"/>
      <c r="K89" s="3338"/>
      <c r="L89" s="3100" t="s">
        <v>27</v>
      </c>
      <c r="M89" s="3091"/>
      <c r="N89" s="53">
        <f ca="1">ROUND(SUM(N83:N88),0)</f>
        <v>1866</v>
      </c>
      <c r="O89" s="3101">
        <f ca="1">N89/N69</f>
        <v>1.6147875074638489E-2</v>
      </c>
      <c r="P89" s="2035"/>
      <c r="Q89" s="2035"/>
      <c r="R89" s="2035"/>
      <c r="S89" s="2035"/>
      <c r="T89" s="2035"/>
      <c r="U89" s="2035"/>
      <c r="V89" s="2035"/>
      <c r="W89" s="2039"/>
      <c r="X89" s="2039"/>
      <c r="Y89" s="2039"/>
      <c r="Z89" s="2039"/>
    </row>
    <row r="90" spans="1:26" s="1314" customFormat="1" ht="14.25">
      <c r="A90" s="384" t="s">
        <v>1828</v>
      </c>
      <c r="B90" s="385" t="s">
        <v>439</v>
      </c>
      <c r="C90" s="388">
        <f ca="1">ROUND(D63/(1+'数据-取费表'!C42),0)</f>
        <v>66032</v>
      </c>
      <c r="D90" s="381" t="s">
        <v>19</v>
      </c>
      <c r="E90" s="991"/>
      <c r="F90" s="990"/>
      <c r="G90" s="990"/>
      <c r="H90" s="397"/>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4" t="s">
        <v>1834</v>
      </c>
      <c r="B91" s="351" t="s">
        <v>440</v>
      </c>
      <c r="C91" s="388">
        <f ca="1">C92+C96</f>
        <v>2891</v>
      </c>
      <c r="D91" s="381" t="s">
        <v>19</v>
      </c>
      <c r="E91" s="991"/>
      <c r="F91" s="990"/>
      <c r="G91" s="990"/>
      <c r="H91" s="397"/>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8" t="s">
        <v>1835</v>
      </c>
      <c r="B92" s="379" t="s">
        <v>441</v>
      </c>
      <c r="C92" s="381">
        <f>ROUND(IF(G95="2016年5月1日后购买",C93/(1+'数据-取费表'!C30)+C94+C95,C93+C94+C95),0)</f>
        <v>2561</v>
      </c>
      <c r="D92" s="381" t="s">
        <v>19</v>
      </c>
      <c r="E92" s="991"/>
      <c r="F92" s="990"/>
      <c r="G92" s="990"/>
      <c r="H92" s="397"/>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8" t="s">
        <v>1837</v>
      </c>
      <c r="B94" s="403" t="s">
        <v>446</v>
      </c>
      <c r="C94" s="381">
        <f>IF(F93="购房发票",ROUND(C93*H93*5%,0),0)</f>
        <v>500</v>
      </c>
      <c r="D94" s="404">
        <v>0.05</v>
      </c>
      <c r="E94" s="3389" t="s">
        <v>447</v>
      </c>
      <c r="F94" s="3390"/>
      <c r="G94" s="3390"/>
      <c r="H94" s="339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8" t="s">
        <v>1839</v>
      </c>
      <c r="B96" s="379" t="s">
        <v>450</v>
      </c>
      <c r="C96" s="408">
        <f ca="1">ROUND(D63*D96/(1+'数据-取费表'!C42),0)</f>
        <v>330</v>
      </c>
      <c r="D96" s="409">
        <f>'数据-取费表'!B43</f>
        <v>5.000000000000001E-3</v>
      </c>
      <c r="E96" s="3379" t="s">
        <v>2438</v>
      </c>
      <c r="F96" s="3380"/>
      <c r="G96" s="3380"/>
      <c r="H96" s="338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5" t="s">
        <v>451</v>
      </c>
      <c r="C97" s="388">
        <f ca="1">C90-C91</f>
        <v>63141</v>
      </c>
      <c r="D97" s="381" t="s">
        <v>19</v>
      </c>
      <c r="E97" s="991"/>
      <c r="F97" s="990"/>
      <c r="G97" s="990"/>
      <c r="H97" s="397"/>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5" t="s">
        <v>452</v>
      </c>
      <c r="C98" s="410">
        <f ca="1">IF(C97&lt;=0,0,C97/C91)</f>
        <v>21.840539605672777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90" t="s">
        <v>453</v>
      </c>
      <c r="C99" s="411">
        <f ca="1">ROUND(IF(C97&lt;=0,0,IF(C98&gt;=200%,C97*60%-C91*35%,IF(C98&gt;=100%,C97*50%-C91*15%,IF(C98&gt;=50%,C97*40%-C91*5%,IF(C98&lt;50%,C97*30%,0))))),0)</f>
        <v>36873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92" t="s">
        <v>454</v>
      </c>
      <c r="B101" s="3393"/>
      <c r="C101" s="3393"/>
      <c r="D101" s="3393"/>
      <c r="E101" s="3393"/>
      <c r="F101" s="3393"/>
      <c r="G101" s="3393"/>
      <c r="H101" s="3393"/>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56" t="s">
        <v>428</v>
      </c>
      <c r="B102" s="3357"/>
      <c r="C102" s="994"/>
      <c r="D102" s="994"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4" t="s">
        <v>1828</v>
      </c>
      <c r="B103" s="385" t="s">
        <v>439</v>
      </c>
      <c r="C103" s="388">
        <f ca="1">ROUND(D63/(1+'数据-取费表'!C42),0)</f>
        <v>66032</v>
      </c>
      <c r="D103" s="381" t="s">
        <v>19</v>
      </c>
      <c r="E103" s="991"/>
      <c r="F103" s="990"/>
      <c r="G103" s="990"/>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4" t="s">
        <v>1834</v>
      </c>
      <c r="B104" s="351" t="s">
        <v>440</v>
      </c>
      <c r="C104" s="388">
        <f ca="1">IF(H106="仅含出让金",C105+C108+C109+C110+C111+C112,C105+C109+C110+C111+C112)</f>
        <v>1020</v>
      </c>
      <c r="D104" s="418"/>
      <c r="E104" s="991"/>
      <c r="F104" s="990"/>
      <c r="G104" s="990"/>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8" t="s">
        <v>1835</v>
      </c>
      <c r="B105" s="379" t="s">
        <v>455</v>
      </c>
      <c r="C105" s="408">
        <f>C106+C107</f>
        <v>572</v>
      </c>
      <c r="D105" s="409"/>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8" t="s">
        <v>1836</v>
      </c>
      <c r="B106" s="379" t="s">
        <v>456</v>
      </c>
      <c r="C106" s="419">
        <v>555</v>
      </c>
      <c r="D106" s="409"/>
      <c r="E106" s="420" t="s">
        <v>457</v>
      </c>
      <c r="F106" s="986"/>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8" t="s">
        <v>1837</v>
      </c>
      <c r="B107" s="379" t="s">
        <v>448</v>
      </c>
      <c r="C107" s="408">
        <f>ROUND(C106*D107,0)</f>
        <v>17</v>
      </c>
      <c r="D107" s="409">
        <f>'数据-取费表'!B48+'数据-取费表'!B49</f>
        <v>3.0499999999999999E-2</v>
      </c>
      <c r="E107" s="420"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8" t="s">
        <v>1839</v>
      </c>
      <c r="B108" s="379" t="s">
        <v>460</v>
      </c>
      <c r="C108" s="419"/>
      <c r="D108" s="409"/>
      <c r="E108" s="420"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9" t="s">
        <v>461</v>
      </c>
      <c r="C109" s="408">
        <f>IF(H109="——",IF(F1="现房",'剩余法-现房'!C18,'剩余法-待开发'!C18),I109)</f>
        <v>55</v>
      </c>
      <c r="D109" s="409"/>
      <c r="E109" s="3382" t="s">
        <v>462</v>
      </c>
      <c r="F109" s="3380"/>
      <c r="G109" s="3380"/>
      <c r="H109" s="1944" t="s">
        <v>2289</v>
      </c>
      <c r="I109" s="1945">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9" t="s">
        <v>463</v>
      </c>
      <c r="C110" s="408">
        <f>ROUND((C105+C108+C109)*D110,0)</f>
        <v>63</v>
      </c>
      <c r="D110" s="409">
        <v>0.1</v>
      </c>
      <c r="E110" s="3382" t="s">
        <v>464</v>
      </c>
      <c r="F110" s="3380"/>
      <c r="G110" s="3380"/>
      <c r="H110" s="338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9" t="s">
        <v>450</v>
      </c>
      <c r="C111" s="408">
        <f ca="1">ROUND(D63*D111/(1+'数据-取费表'!C42),0)</f>
        <v>330</v>
      </c>
      <c r="D111" s="409">
        <f>'数据-取费表'!B43</f>
        <v>5.000000000000001E-3</v>
      </c>
      <c r="E111" s="3379" t="s">
        <v>2438</v>
      </c>
      <c r="F111" s="3380"/>
      <c r="G111" s="3380"/>
      <c r="H111" s="338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9" t="s">
        <v>465</v>
      </c>
      <c r="C112" s="408">
        <f>ROUND(C108*D112,0)</f>
        <v>0</v>
      </c>
      <c r="D112" s="409">
        <v>0.2</v>
      </c>
      <c r="E112" s="3382" t="s">
        <v>2463</v>
      </c>
      <c r="F112" s="3380"/>
      <c r="G112" s="3380"/>
      <c r="H112" s="338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5" t="s">
        <v>451</v>
      </c>
      <c r="C113" s="388">
        <f ca="1">ROUND(C103-C104,0)</f>
        <v>65012</v>
      </c>
      <c r="D113" s="381" t="s">
        <v>19</v>
      </c>
      <c r="E113" s="991"/>
      <c r="F113" s="990"/>
      <c r="G113" s="990"/>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5" t="s">
        <v>452</v>
      </c>
      <c r="C114" s="410">
        <f ca="1">IF(C113&lt;=0,0,C113/C104)</f>
        <v>63.737254901960782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90" t="s">
        <v>453</v>
      </c>
      <c r="C115" s="411">
        <f ca="1">ROUND(IF(C113&lt;=0,0,IF(C114&gt;=200%,C113*60%-C104*35%,IF(C114&gt;=100%,C113*50%-C104*15%,IF(C114&gt;=50%,C113*40%-C104*5%,IF(C114&lt;50%,C113*30%,0))))),0)</f>
        <v>38650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3" priority="25" stopIfTrue="1" operator="equal">
      <formula>25</formula>
    </cfRule>
  </conditionalFormatting>
  <conditionalFormatting sqref="C8:C9">
    <cfRule type="cellIs" dxfId="162" priority="23" stopIfTrue="1" operator="equal">
      <formula>15</formula>
    </cfRule>
  </conditionalFormatting>
  <conditionalFormatting sqref="C14:C16">
    <cfRule type="cellIs" dxfId="161" priority="17" stopIfTrue="1" operator="equal">
      <formula>30</formula>
    </cfRule>
  </conditionalFormatting>
  <conditionalFormatting sqref="C10:C13">
    <cfRule type="cellIs" dxfId="160" priority="12" stopIfTrue="1" operator="equal">
      <formula>15</formula>
    </cfRule>
  </conditionalFormatting>
  <conditionalFormatting sqref="C108">
    <cfRule type="expression" dxfId="159" priority="7" stopIfTrue="1">
      <formula>$H$106&lt;&gt;"仅含出让金"</formula>
    </cfRule>
  </conditionalFormatting>
  <conditionalFormatting sqref="C109">
    <cfRule type="expression" dxfId="158" priority="6" stopIfTrue="1">
      <formula>$H$109="由企业提供"</formula>
    </cfRule>
  </conditionalFormatting>
  <conditionalFormatting sqref="I33">
    <cfRule type="expression" dxfId="157" priority="5" stopIfTrue="1">
      <formula>$H$33="同一抵押权人同一抵押物续贷"</formula>
    </cfRule>
  </conditionalFormatting>
  <conditionalFormatting sqref="D5:D7">
    <cfRule type="cellIs" dxfId="156" priority="4" stopIfTrue="1" operator="equal">
      <formula>25</formula>
    </cfRule>
  </conditionalFormatting>
  <conditionalFormatting sqref="D8:D9">
    <cfRule type="cellIs" dxfId="155" priority="3" stopIfTrue="1" operator="equal">
      <formula>15</formula>
    </cfRule>
  </conditionalFormatting>
  <conditionalFormatting sqref="D14:D16">
    <cfRule type="cellIs" dxfId="154" priority="2" stopIfTrue="1" operator="equal">
      <formula>30</formula>
    </cfRule>
  </conditionalFormatting>
  <conditionalFormatting sqref="D10:D13">
    <cfRule type="cellIs" dxfId="15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9" sqref="K39"/>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12</v>
      </c>
    </row>
    <row r="2" spans="1:31" s="2043" customFormat="1" ht="18" customHeight="1">
      <c r="A2" s="2107" t="s">
        <v>467</v>
      </c>
      <c r="B2" s="2111">
        <f ca="1">C36</f>
        <v>120554</v>
      </c>
      <c r="C2" s="2110"/>
      <c r="D2" s="2110"/>
      <c r="E2" s="2110"/>
      <c r="F2" s="2110"/>
      <c r="G2" s="2110"/>
      <c r="H2" s="2110"/>
      <c r="I2" s="2110"/>
      <c r="J2" s="2110"/>
      <c r="K2" s="2110"/>
    </row>
    <row r="3" spans="1:31" s="2043" customFormat="1" ht="18" customHeight="1">
      <c r="A3" s="2112" t="s">
        <v>1688</v>
      </c>
      <c r="B3" s="2113">
        <f ca="1">ROUND(B2*10000/IF(B1="",'数据-汇总表'!E3,INDIRECT("'数据-取费表'!K"&amp;$K$1)),0)</f>
        <v>8969</v>
      </c>
      <c r="C3" s="2110"/>
      <c r="D3" s="2110"/>
      <c r="E3" s="2110"/>
      <c r="F3" s="2110"/>
      <c r="G3" s="2110"/>
      <c r="H3" s="2110"/>
      <c r="I3" s="2110"/>
      <c r="J3" s="2110"/>
      <c r="K3" s="2110"/>
    </row>
    <row r="4" spans="1:31" s="2043" customFormat="1" ht="18" customHeight="1">
      <c r="A4" s="429" t="s">
        <v>468</v>
      </c>
      <c r="B4" s="430">
        <f ca="1">ROUND(B2*10000/IF(B1="",'数据-汇总表'!D3,INDIRECT("'数据-取费表'!R"&amp;$K$1)),0)</f>
        <v>25352</v>
      </c>
      <c r="C4" s="431"/>
      <c r="D4" s="425"/>
      <c r="E4" s="425"/>
      <c r="F4" s="425"/>
      <c r="G4" s="425"/>
      <c r="H4" s="425"/>
      <c r="I4" s="425"/>
      <c r="J4" s="425"/>
      <c r="K4" s="425"/>
    </row>
    <row r="5" spans="1:31" s="2043" customFormat="1" ht="18" customHeight="1" thickBot="1">
      <c r="A5" s="432"/>
      <c r="B5" s="433">
        <f ca="1">ROUND(B2/(IF(B1="",'数据-汇总表'!D3,INDIRECT("'数据-取费表'!R"&amp;$K$1))/666.67),0)</f>
        <v>1690</v>
      </c>
      <c r="C5" s="434" t="s">
        <v>469</v>
      </c>
      <c r="D5" s="425"/>
      <c r="E5" s="425"/>
      <c r="F5" s="425"/>
      <c r="G5" s="425"/>
      <c r="H5" s="425"/>
      <c r="I5" s="425"/>
      <c r="J5" s="425"/>
      <c r="K5" s="425"/>
    </row>
    <row r="6" spans="1:31" s="2117" customFormat="1" ht="16.5" customHeight="1">
      <c r="A6" s="2863" t="s">
        <v>1847</v>
      </c>
      <c r="B6" s="2864"/>
      <c r="C6" s="2865">
        <f ca="1">SUM(C10:K10)</f>
        <v>253774</v>
      </c>
      <c r="D6" s="2864"/>
      <c r="E6" s="2864"/>
      <c r="F6" s="2864"/>
      <c r="G6" s="2864"/>
      <c r="H6" s="2864"/>
      <c r="I6" s="2864"/>
      <c r="J6" s="2864"/>
      <c r="K6" s="2866"/>
    </row>
    <row r="7" spans="1:31" s="2119" customFormat="1" ht="25.5">
      <c r="A7" s="2867" t="s">
        <v>470</v>
      </c>
      <c r="B7" s="2868" t="s">
        <v>471</v>
      </c>
      <c r="C7" s="439" t="s">
        <v>3032</v>
      </c>
      <c r="D7" s="439" t="s">
        <v>3201</v>
      </c>
      <c r="E7" s="439" t="s">
        <v>2987</v>
      </c>
      <c r="F7" s="439" t="s">
        <v>3206</v>
      </c>
      <c r="G7" s="439" t="s">
        <v>3207</v>
      </c>
      <c r="H7" s="439" t="s">
        <v>35</v>
      </c>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6" t="s">
        <v>1850</v>
      </c>
      <c r="B8" s="261" t="s">
        <v>472</v>
      </c>
      <c r="C8" s="2869">
        <f>'不动产比较法-住宅'!C49</f>
        <v>18125</v>
      </c>
      <c r="D8" s="2869">
        <f ca="1">'不动产收益法-公寓'!B3</f>
        <v>16691</v>
      </c>
      <c r="E8" s="2869">
        <f>典型户型修正!R24</f>
        <v>39010</v>
      </c>
      <c r="F8" s="2869">
        <f>典型户型修正!R25</f>
        <v>36966</v>
      </c>
      <c r="G8" s="2869">
        <f>典型户型修正!R27</f>
        <v>23612</v>
      </c>
      <c r="H8" s="2869">
        <f ca="1">'不动产收益法-车库'!B3</f>
        <v>3419</v>
      </c>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6" t="s">
        <v>1851</v>
      </c>
      <c r="B9" s="261" t="s">
        <v>473</v>
      </c>
      <c r="C9" s="444">
        <f>SUMIF('数据-汇总表'!$C19:$C33,'剩余法-待开发'!C7,'数据-汇总表'!$E19:$E33)</f>
        <v>79200</v>
      </c>
      <c r="D9" s="444">
        <f>SUMIF('数据-汇总表'!$C19:$C33,'剩余法-待开发'!D7,'数据-汇总表'!$E19:$E33)</f>
        <v>5677.36</v>
      </c>
      <c r="E9" s="444">
        <f>SUMIF('数据-汇总表'!$C19:$C33,'剩余法-待开发'!E7,'数据-汇总表'!$E19:$E33)</f>
        <v>4800</v>
      </c>
      <c r="F9" s="444">
        <f>SUMIF('数据-汇总表'!$C19:$C33,'剩余法-待开发'!F7,'数据-汇总表'!$E19:$E33)</f>
        <v>19700</v>
      </c>
      <c r="G9" s="444">
        <f>SUMIF('数据-汇总表'!$C19:$C33,'剩余法-待开发'!G7,'数据-汇总表'!$E19:$E33)</f>
        <v>5000</v>
      </c>
      <c r="H9" s="444">
        <f>SUMIF('数据-汇总表'!$C19:$C33,'剩余法-待开发'!H7,'数据-汇总表'!$E19:$E33)</f>
        <v>14833.519999999997</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'不动产比较法-住宅'!B2</f>
        <v>143550</v>
      </c>
      <c r="D10" s="3063">
        <f ca="1">'不动产收益法-公寓'!B2</f>
        <v>9476</v>
      </c>
      <c r="E10" s="3063">
        <f>典型户型修正!S24+典型户型修正!S28</f>
        <v>18101</v>
      </c>
      <c r="F10" s="2872">
        <f>典型户型修正!S25+典型户型修正!S26</f>
        <v>65770</v>
      </c>
      <c r="G10" s="2872">
        <f>典型户型修正!S27</f>
        <v>11806</v>
      </c>
      <c r="H10" s="2872">
        <f ca="1">'不动产收益法-车库'!B2</f>
        <v>5071</v>
      </c>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37198</v>
      </c>
      <c r="D13" s="2879"/>
      <c r="E13" s="2880"/>
      <c r="F13" s="2881"/>
      <c r="G13" s="2847"/>
      <c r="H13" s="2848"/>
      <c r="I13" s="2848"/>
      <c r="J13" s="2848"/>
      <c r="K13" s="2849"/>
    </row>
    <row r="14" spans="1:31" s="2122" customFormat="1" ht="13.5" customHeight="1">
      <c r="A14" s="2877" t="s">
        <v>1854</v>
      </c>
      <c r="B14" s="2878" t="s">
        <v>480</v>
      </c>
      <c r="C14" s="53">
        <f ca="1">ROUND(C13*F14,0)</f>
        <v>1860</v>
      </c>
      <c r="D14" s="2879"/>
      <c r="E14" s="2880"/>
      <c r="F14" s="2882">
        <f>'数据-取费表'!B33</f>
        <v>0.05</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1069</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2688</v>
      </c>
      <c r="D16" s="2879">
        <f ca="1">IF(B1="",'数据-汇总表'!E3,INDIRECT("'数据-取费表'!K"&amp;$K$1)+INDIRECT("'数据-取费表'!S"&amp;$K$1))</f>
        <v>134410.88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558</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43373</v>
      </c>
      <c r="D18" s="2888"/>
      <c r="E18" s="471"/>
      <c r="F18" s="471"/>
      <c r="G18" s="2851" t="s">
        <v>2440</v>
      </c>
      <c r="H18" s="2852"/>
      <c r="I18" s="2852"/>
      <c r="J18" s="2852"/>
      <c r="K18" s="2853"/>
    </row>
    <row r="19" spans="1:14" s="2122" customFormat="1" ht="13.5" customHeight="1">
      <c r="A19" s="2885" t="s">
        <v>1859</v>
      </c>
      <c r="B19" s="2886" t="s">
        <v>488</v>
      </c>
      <c r="C19" s="2843">
        <f ca="1">ROUND(D19*E19/10000,0)</f>
        <v>1210</v>
      </c>
      <c r="D19" s="2889">
        <f ca="1">D16</f>
        <v>134410.88</v>
      </c>
      <c r="E19" s="2843">
        <f>'数据-取费表'!B32</f>
        <v>90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1344</v>
      </c>
      <c r="D20" s="2889"/>
      <c r="E20" s="2843"/>
      <c r="F20" s="2890"/>
      <c r="G20" s="3120"/>
      <c r="H20" s="2845"/>
      <c r="I20" s="2846" t="s">
        <v>2666</v>
      </c>
      <c r="J20" s="2852"/>
      <c r="K20" s="2853"/>
    </row>
    <row r="21" spans="1:14" s="2122" customFormat="1" ht="13.5" customHeight="1">
      <c r="A21" s="2877" t="s">
        <v>1861</v>
      </c>
      <c r="B21" s="2878" t="s">
        <v>491</v>
      </c>
      <c r="C21" s="53">
        <f ca="1">ROUND(D21*E21/10000,0)</f>
        <v>792</v>
      </c>
      <c r="D21" s="2879">
        <f ca="1">IF(B1="",'数据-汇总表'!E5,IF(INDIRECT("'数据-取费表'!c"&amp;$K$1)="住宅",INDIRECT("'数据-取费表'!k"&amp;$K$1),0))</f>
        <v>79200</v>
      </c>
      <c r="E21" s="53">
        <f>'数据-取费表'!B27</f>
        <v>100</v>
      </c>
      <c r="F21" s="2882"/>
      <c r="G21" s="26"/>
      <c r="H21" s="51"/>
      <c r="I21" s="51"/>
      <c r="J21" s="51"/>
      <c r="K21" s="2854"/>
    </row>
    <row r="22" spans="1:14" s="2122" customFormat="1" ht="13.5" customHeight="1">
      <c r="A22" s="2877" t="s">
        <v>1862</v>
      </c>
      <c r="B22" s="2878" t="s">
        <v>492</v>
      </c>
      <c r="C22" s="53">
        <f ca="1">ROUND(D22*E22/10000,0)</f>
        <v>552</v>
      </c>
      <c r="D22" s="2879">
        <f ca="1">IF(B1="",'数据-汇总表'!E6,IF(INDIRECT("'数据-取费表'!c"&amp;$K$1)="住宅",INDIRECT("'数据-取费表'!s"&amp;$K$1),INDIRECT("'数据-取费表'!k"&amp;$K$1)+INDIRECT("'数据-取费表'!s"&amp;$K$1)))</f>
        <v>55210.880000000005</v>
      </c>
      <c r="E22" s="53">
        <f>'数据-取费表'!B28</f>
        <v>100</v>
      </c>
      <c r="F22" s="2882"/>
      <c r="G22" s="26"/>
      <c r="H22" s="51"/>
      <c r="I22" s="51"/>
      <c r="J22" s="51"/>
      <c r="K22" s="2854"/>
    </row>
    <row r="23" spans="1:14" s="2122" customFormat="1" ht="13.5" customHeight="1">
      <c r="A23" s="2885" t="s">
        <v>1863</v>
      </c>
      <c r="B23" s="3069" t="s">
        <v>2849</v>
      </c>
      <c r="C23" s="2887">
        <f ca="1">ROUND((C18+C19+C20)*F23,0)</f>
        <v>919</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5075</v>
      </c>
      <c r="D24" s="478"/>
      <c r="E24" s="476"/>
      <c r="F24" s="2891">
        <f>'数据-取费表'!B38</f>
        <v>0.02</v>
      </c>
      <c r="G24" s="2856" t="s">
        <v>499</v>
      </c>
      <c r="H24" s="2850"/>
      <c r="I24" s="2850"/>
      <c r="J24" s="2850"/>
      <c r="K24" s="279"/>
      <c r="L24" s="2124"/>
      <c r="M24" s="2124"/>
      <c r="N24" s="2124"/>
    </row>
    <row r="25" spans="1:14" s="2125" customFormat="1" ht="13.5" customHeight="1">
      <c r="A25" s="2885" t="s">
        <v>1865</v>
      </c>
      <c r="B25" s="3069" t="s">
        <v>2850</v>
      </c>
      <c r="C25" s="470">
        <f>ROUND(F25/(1+'数据-取费表'!C42),4)</f>
        <v>2.9000000000000001E-2</v>
      </c>
      <c r="D25" s="465" t="s">
        <v>2844</v>
      </c>
      <c r="E25" s="472"/>
      <c r="F25" s="2891">
        <f>'数据-取费表'!B48+'数据-取费表'!B49</f>
        <v>3.0499999999999999E-2</v>
      </c>
      <c r="G25" s="2855" t="s">
        <v>2299</v>
      </c>
      <c r="H25" s="2848"/>
      <c r="I25" s="2848"/>
      <c r="J25" s="2848"/>
      <c r="K25" s="2849"/>
    </row>
    <row r="26" spans="1:14" s="2124" customFormat="1" ht="13.5" customHeight="1">
      <c r="A26" s="2885" t="s">
        <v>1866</v>
      </c>
      <c r="B26" s="3070" t="s">
        <v>2851</v>
      </c>
      <c r="C26" s="2892">
        <f ca="1">C28</f>
        <v>3743</v>
      </c>
      <c r="D26" s="470">
        <f ca="1">C27</f>
        <v>0.1537</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6" t="s">
        <v>1861</v>
      </c>
      <c r="B27" s="2893" t="s">
        <v>496</v>
      </c>
      <c r="C27" s="2894">
        <f ca="1">ROUND(IF('数据-取费表'!B22&lt;=1,(1+C25)*F26*'数据-取费表'!B24,(1+C25)*(POWER((1+F26),'数据-取费表'!B24)-1)),4)</f>
        <v>0.1537</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6" t="s">
        <v>1862</v>
      </c>
      <c r="B28" s="2893" t="s">
        <v>2853</v>
      </c>
      <c r="C28" s="2895">
        <f ca="1">ROUND(IF('数据-取费表'!B22&lt;=1,(C18+C19+C20+C23+C24)*F26*'数据-取费表'!B24/2,(C18+C19+C20+C23+C24)*(POWER((1+F26),'数据-取费表'!B24/2)-1)),0)</f>
        <v>3743</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13293</v>
      </c>
      <c r="D29" s="471"/>
      <c r="E29" s="471"/>
      <c r="F29" s="3071">
        <f>'数据-取费表'!B41</f>
        <v>5.5000000000000007E-2</v>
      </c>
      <c r="G29" s="2856" t="s">
        <v>498</v>
      </c>
      <c r="H29" s="2848"/>
      <c r="I29" s="2848"/>
      <c r="J29" s="2848"/>
      <c r="K29" s="2849"/>
    </row>
    <row r="30" spans="1:14" s="2127" customFormat="1" ht="13.5" customHeight="1">
      <c r="A30" s="1637" t="s">
        <v>1868</v>
      </c>
      <c r="B30" s="2897" t="s">
        <v>500</v>
      </c>
      <c r="C30" s="2892">
        <f ca="1">C31</f>
        <v>68957</v>
      </c>
      <c r="D30" s="480">
        <f ca="1">C32</f>
        <v>0.1827</v>
      </c>
      <c r="E30" s="472" t="s">
        <v>495</v>
      </c>
      <c r="F30" s="474"/>
      <c r="G30" s="2847" t="s">
        <v>501</v>
      </c>
      <c r="H30" s="2848"/>
      <c r="I30" s="2848"/>
      <c r="J30" s="2848"/>
      <c r="K30" s="2849"/>
    </row>
    <row r="31" spans="1:14" s="2126" customFormat="1" ht="13.5" customHeight="1">
      <c r="A31" s="806" t="s">
        <v>1861</v>
      </c>
      <c r="B31" s="2893"/>
      <c r="C31" s="453">
        <f ca="1">C18+C19+C20+C23+C24+C26+C29</f>
        <v>68957</v>
      </c>
      <c r="D31" s="475"/>
      <c r="E31" s="476"/>
      <c r="F31" s="477"/>
      <c r="G31" s="261"/>
      <c r="H31" s="2850"/>
      <c r="I31" s="2850"/>
      <c r="J31" s="2850"/>
      <c r="K31" s="279"/>
    </row>
    <row r="32" spans="1:14" s="2126" customFormat="1" ht="13.5" customHeight="1">
      <c r="A32" s="806" t="s">
        <v>1862</v>
      </c>
      <c r="B32" s="2893"/>
      <c r="C32" s="53">
        <f ca="1">ROUND(C25+D26,4)</f>
        <v>0.1827</v>
      </c>
      <c r="D32" s="475"/>
      <c r="E32" s="476"/>
      <c r="F32" s="477"/>
      <c r="G32" s="261"/>
      <c r="H32" s="2850"/>
      <c r="I32" s="2850"/>
      <c r="J32" s="2850"/>
      <c r="K32" s="279"/>
    </row>
    <row r="33" spans="1:11" s="2128" customFormat="1" ht="13.5" customHeight="1">
      <c r="A33" s="3068" t="s">
        <v>2848</v>
      </c>
      <c r="B33" s="3066" t="s">
        <v>2846</v>
      </c>
      <c r="C33" s="481">
        <f ca="1">C35</f>
        <v>12461</v>
      </c>
      <c r="D33" s="470">
        <f ca="1">C34</f>
        <v>0.247</v>
      </c>
      <c r="E33" s="472" t="s">
        <v>495</v>
      </c>
      <c r="F33" s="482">
        <f ca="1">IF(B1="",'数据-取费表'!Q16,INDIRECT("'数据-取费表'!q"&amp;$K$1))</f>
        <v>0.24</v>
      </c>
      <c r="G33" s="2851"/>
      <c r="H33" s="2852"/>
      <c r="I33" s="2852"/>
      <c r="J33" s="2852"/>
      <c r="K33" s="2853"/>
    </row>
    <row r="34" spans="1:11" s="2129" customFormat="1" ht="13.5" customHeight="1">
      <c r="A34" s="378" t="s">
        <v>1861</v>
      </c>
      <c r="B34" s="2898" t="s">
        <v>502</v>
      </c>
      <c r="C34" s="475">
        <f ca="1">ROUND((1+C25)*F33,4)</f>
        <v>0.247</v>
      </c>
      <c r="D34" s="475"/>
      <c r="E34" s="476"/>
      <c r="F34" s="483"/>
      <c r="G34" s="261" t="s">
        <v>2300</v>
      </c>
      <c r="H34" s="2850"/>
      <c r="I34" s="2850"/>
      <c r="J34" s="2850"/>
      <c r="K34" s="279"/>
    </row>
    <row r="35" spans="1:11" s="2129" customFormat="1" ht="13.5" customHeight="1" thickBot="1">
      <c r="A35" s="1638" t="s">
        <v>1862</v>
      </c>
      <c r="B35" s="3067" t="s">
        <v>2854</v>
      </c>
      <c r="C35" s="1630">
        <f ca="1">ROUND((C18+C19+C20+C23+C24)*F33,0)</f>
        <v>12461</v>
      </c>
      <c r="D35" s="1631"/>
      <c r="E35" s="2899"/>
      <c r="F35" s="1632"/>
      <c r="G35" s="2857"/>
      <c r="H35" s="2858"/>
      <c r="I35" s="2858"/>
      <c r="J35" s="2858"/>
      <c r="K35" s="2859"/>
    </row>
    <row r="36" spans="1:11" s="2088" customFormat="1" ht="13.5" customHeight="1" thickBot="1">
      <c r="A36" s="284" t="s">
        <v>1849</v>
      </c>
      <c r="B36" s="2861"/>
      <c r="C36" s="2900">
        <f ca="1">ROUND((C6-C30-C33)/(1+D30+D33),0)</f>
        <v>120554</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12</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0"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5">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5" t="s">
        <v>1853</v>
      </c>
      <c r="B13" s="452" t="s">
        <v>479</v>
      </c>
      <c r="C13" s="453">
        <f ca="1">IF(B1="",'数据-取费表'!M16,INDIRECT("'数据-取费表'!M"&amp;$K$1)+INDIRECT("'数据-取费表'!t"&amp;$K$1))</f>
        <v>37198</v>
      </c>
      <c r="D13" s="454"/>
      <c r="E13" s="368"/>
      <c r="F13" s="455"/>
      <c r="G13" s="447"/>
      <c r="H13" s="450"/>
      <c r="I13" s="450"/>
      <c r="J13" s="450"/>
      <c r="K13" s="451"/>
    </row>
    <row r="14" spans="1:41" s="2122" customFormat="1" ht="13.5" customHeight="1">
      <c r="A14" s="1635" t="s">
        <v>1854</v>
      </c>
      <c r="B14" s="452" t="s">
        <v>480</v>
      </c>
      <c r="C14" s="53">
        <f ca="1">ROUND(C13*F14,0)</f>
        <v>1860</v>
      </c>
      <c r="D14" s="454"/>
      <c r="E14" s="368"/>
      <c r="F14" s="456">
        <f>'数据-取费表'!B33</f>
        <v>0.05</v>
      </c>
      <c r="G14" s="447" t="s">
        <v>503</v>
      </c>
      <c r="H14" s="450"/>
      <c r="I14" s="450"/>
      <c r="J14" s="450"/>
      <c r="K14" s="451"/>
    </row>
    <row r="15" spans="1:41" s="2122" customFormat="1" ht="13.5" customHeight="1">
      <c r="A15" s="1635" t="s">
        <v>1855</v>
      </c>
      <c r="B15" s="452" t="s">
        <v>482</v>
      </c>
      <c r="C15" s="53">
        <f ca="1">ROUND(IF(B1="",SUMIF('数据-取费表'!C:C,"住宅",'数据-取费表'!M:M)*F15,IF(INDIRECT("'数据-取费表'!c"&amp;$K$1)="住宅",INDIRECT("'数据-取费表'!M"&amp;$K$1)*F15,0)),0)</f>
        <v>1069</v>
      </c>
      <c r="D15" s="454"/>
      <c r="E15" s="368"/>
      <c r="F15" s="456">
        <f>'数据-取费表'!B34</f>
        <v>0.05</v>
      </c>
      <c r="G15" s="447" t="s">
        <v>503</v>
      </c>
      <c r="H15" s="450"/>
      <c r="I15" s="450"/>
      <c r="J15" s="450"/>
      <c r="K15" s="451"/>
    </row>
    <row r="16" spans="1:41" s="2123" customFormat="1" ht="13.5" customHeight="1">
      <c r="A16" s="1635" t="s">
        <v>1856</v>
      </c>
      <c r="B16" s="452" t="s">
        <v>484</v>
      </c>
      <c r="C16" s="53">
        <f ca="1">ROUND(D16*E16/10000,0)</f>
        <v>2688</v>
      </c>
      <c r="D16" s="454">
        <f ca="1">IF(B1="",'数据-汇总表'!E3,INDIRECT("'数据-取费表'!K"&amp;$K$1)+INDIRECT("'数据-取费表'!S"&amp;$K$1))</f>
        <v>134410.88</v>
      </c>
      <c r="E16" s="53">
        <f>'数据-取费表'!B35</f>
        <v>200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2" t="s">
        <v>485</v>
      </c>
      <c r="C17" s="457">
        <f ca="1">ROUND(C13*F17,0)</f>
        <v>558</v>
      </c>
      <c r="D17" s="458"/>
      <c r="E17" s="457"/>
      <c r="F17" s="459">
        <f>'数据-取费表'!B36</f>
        <v>1.4999999999999999E-2</v>
      </c>
      <c r="G17" s="447" t="s">
        <v>503</v>
      </c>
      <c r="H17" s="460"/>
      <c r="I17" s="460"/>
      <c r="J17" s="460"/>
      <c r="K17" s="461"/>
    </row>
    <row r="18" spans="1:14" s="2125" customFormat="1" ht="13.5" customHeight="1">
      <c r="A18" s="1636" t="s">
        <v>1858</v>
      </c>
      <c r="B18" s="462" t="s">
        <v>487</v>
      </c>
      <c r="C18" s="463">
        <f ca="1">SUM(C13:C17)</f>
        <v>43373</v>
      </c>
      <c r="D18" s="464"/>
      <c r="E18" s="465"/>
      <c r="F18" s="465"/>
      <c r="G18" s="1327" t="s">
        <v>2442</v>
      </c>
      <c r="H18" s="450"/>
      <c r="I18" s="450"/>
      <c r="J18" s="450"/>
      <c r="K18" s="451"/>
    </row>
    <row r="19" spans="1:14" s="2125" customFormat="1" ht="13.5" customHeight="1">
      <c r="A19" s="1636" t="s">
        <v>1859</v>
      </c>
      <c r="B19" s="462" t="s">
        <v>493</v>
      </c>
      <c r="C19" s="463">
        <f ca="1">ROUND(C18*F19,0)</f>
        <v>867</v>
      </c>
      <c r="D19" s="465"/>
      <c r="E19" s="465"/>
      <c r="F19" s="469">
        <f>'数据-取费表'!B37</f>
        <v>0.02</v>
      </c>
      <c r="G19" s="447" t="s">
        <v>504</v>
      </c>
      <c r="H19" s="450"/>
      <c r="I19" s="450"/>
      <c r="J19" s="450"/>
      <c r="K19" s="451"/>
      <c r="L19" s="2127"/>
      <c r="M19" s="2127"/>
      <c r="N19" s="2127"/>
    </row>
    <row r="20" spans="1:14" s="2125" customFormat="1" ht="13.5" customHeight="1">
      <c r="A20" s="1636" t="s">
        <v>1860</v>
      </c>
      <c r="B20" s="462" t="s">
        <v>505</v>
      </c>
      <c r="C20" s="3064">
        <f>F20</f>
        <v>0.02</v>
      </c>
      <c r="D20" s="472" t="s">
        <v>506</v>
      </c>
      <c r="E20" s="472"/>
      <c r="F20" s="489">
        <f>'数据-取费表'!B38</f>
        <v>0.02</v>
      </c>
      <c r="G20" s="1327" t="s">
        <v>507</v>
      </c>
      <c r="H20" s="450"/>
      <c r="I20" s="450"/>
      <c r="J20" s="450"/>
      <c r="K20" s="451"/>
      <c r="L20" s="2127"/>
      <c r="M20" s="2127"/>
      <c r="N20" s="2127"/>
    </row>
    <row r="21" spans="1:14" s="2127" customFormat="1" ht="13.5" customHeight="1">
      <c r="A21" s="1636" t="s">
        <v>1863</v>
      </c>
      <c r="B21" s="464" t="s">
        <v>494</v>
      </c>
      <c r="C21" s="473">
        <f ca="1">C22</f>
        <v>3189</v>
      </c>
      <c r="D21" s="470">
        <f ca="1">C23</f>
        <v>1.4E-3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5" t="s">
        <v>1853</v>
      </c>
      <c r="B22" s="1328" t="s">
        <v>2445</v>
      </c>
      <c r="C22" s="490">
        <f ca="1">ROUND(IF('数据-取费表'!B22&lt;=1,(C18+C19)*F21*'数据-取费表'!B20/2,(C18+C19)*(POWER((1+F21),'数据-取费表'!B20/2)-1)),0)</f>
        <v>3189</v>
      </c>
      <c r="D22" s="475"/>
      <c r="E22" s="476"/>
      <c r="F22" s="477"/>
      <c r="G22" s="2598" t="str">
        <f>IF('数据-取费表'!B22&lt;=1,"((1)+(2))×年利率×建设期÷2","((1)+(2))×((1+年利率)^(建设期÷2)-1)")</f>
        <v>((1)+(2))×((1+年利率)^(建设期÷2)-1)</v>
      </c>
      <c r="H22" s="460"/>
      <c r="I22" s="460"/>
      <c r="J22" s="460"/>
      <c r="K22" s="461"/>
    </row>
    <row r="23" spans="1:14" s="2126" customFormat="1" ht="13.5" customHeight="1">
      <c r="A23" s="1635" t="s">
        <v>1854</v>
      </c>
      <c r="B23" s="1328" t="s">
        <v>509</v>
      </c>
      <c r="C23" s="491">
        <f ca="1">ROUND(IF('数据-取费表'!B22&lt;=1,F20*F21*'数据-取费表'!B20/2,F20*(POWER((1+F21),'数据-取费表'!B20/2)-1)),4)</f>
        <v>1.4E-3</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6" t="s">
        <v>1864</v>
      </c>
      <c r="B24" s="3066" t="s">
        <v>2847</v>
      </c>
      <c r="C24" s="481">
        <f ca="1">C25</f>
        <v>10618</v>
      </c>
      <c r="D24" s="492">
        <f ca="1">C26</f>
        <v>4.7999999999999996E-3</v>
      </c>
      <c r="E24" s="472" t="s">
        <v>508</v>
      </c>
      <c r="F24" s="482">
        <f ca="1">IF(B1="",'数据-取费表'!Q16,INDIRECT("'数据-取费表'!q"&amp;$K$1))</f>
        <v>0.24</v>
      </c>
      <c r="G24" s="447"/>
      <c r="H24" s="450"/>
      <c r="I24" s="450"/>
      <c r="J24" s="450"/>
      <c r="K24" s="451"/>
    </row>
    <row r="25" spans="1:14" s="2126" customFormat="1" ht="13.5" customHeight="1">
      <c r="A25" s="1635" t="s">
        <v>1853</v>
      </c>
      <c r="B25" s="1328" t="s">
        <v>2446</v>
      </c>
      <c r="C25" s="493">
        <f ca="1">ROUND((C18+C19)*F24,0)</f>
        <v>10618</v>
      </c>
      <c r="D25" s="475"/>
      <c r="E25" s="476"/>
      <c r="F25" s="483"/>
      <c r="G25" s="1326" t="s">
        <v>2443</v>
      </c>
      <c r="H25" s="460"/>
      <c r="I25" s="460"/>
      <c r="J25" s="460"/>
      <c r="K25" s="461"/>
    </row>
    <row r="26" spans="1:14" s="2126" customFormat="1" ht="13.5" customHeight="1">
      <c r="A26" s="1635" t="s">
        <v>1854</v>
      </c>
      <c r="B26" s="1328" t="s">
        <v>510</v>
      </c>
      <c r="C26" s="494">
        <f ca="1">ROUND(F20*F24,4)</f>
        <v>4.7999999999999996E-3</v>
      </c>
      <c r="D26" s="475"/>
      <c r="E26" s="484"/>
      <c r="F26" s="483"/>
      <c r="G26" s="1326" t="s">
        <v>511</v>
      </c>
      <c r="H26" s="460"/>
      <c r="I26" s="460"/>
      <c r="J26" s="460"/>
      <c r="K26" s="461"/>
    </row>
    <row r="27" spans="1:14" s="2126" customFormat="1" ht="13.5" customHeight="1">
      <c r="A27" s="1639" t="s">
        <v>1872</v>
      </c>
      <c r="B27" s="462" t="s">
        <v>512</v>
      </c>
      <c r="C27" s="3065">
        <f>ROUND(F27/(1+'数据-取费表'!C42),4)</f>
        <v>5.2400000000000002E-2</v>
      </c>
      <c r="D27" s="465" t="s">
        <v>2845</v>
      </c>
      <c r="E27" s="465"/>
      <c r="F27" s="469">
        <f>'数据-取费表'!B41</f>
        <v>5.5000000000000007E-2</v>
      </c>
      <c r="G27" s="1963" t="s">
        <v>2301</v>
      </c>
      <c r="H27" s="450"/>
      <c r="I27" s="450"/>
      <c r="J27" s="450"/>
      <c r="K27" s="451"/>
    </row>
    <row r="28" spans="1:14" s="2127" customFormat="1" ht="13.5" customHeight="1">
      <c r="A28" s="1639" t="s">
        <v>1873</v>
      </c>
      <c r="B28" s="479" t="s">
        <v>513</v>
      </c>
      <c r="C28" s="473">
        <f ca="1">ROUND((C18+C19+C21+C24)/(1-C20-D21-D24-C27),0)</f>
        <v>62999</v>
      </c>
      <c r="D28" s="480"/>
      <c r="E28" s="472"/>
      <c r="F28" s="474"/>
      <c r="G28" s="1327" t="s">
        <v>2444</v>
      </c>
      <c r="H28" s="450"/>
      <c r="I28" s="450"/>
      <c r="J28" s="450"/>
      <c r="K28" s="451"/>
    </row>
    <row r="29" spans="1:14" s="2127" customFormat="1" ht="13.5" customHeight="1">
      <c r="A29" s="1639"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29" t="s">
        <v>516</v>
      </c>
      <c r="H30" s="499"/>
      <c r="I30" s="499"/>
      <c r="J30" s="450"/>
      <c r="K30" s="451"/>
    </row>
    <row r="31" spans="1:14" s="2132" customFormat="1" ht="13.5" customHeight="1">
      <c r="A31" s="2513" t="s">
        <v>1870</v>
      </c>
      <c r="B31" s="1330"/>
      <c r="C31" s="503">
        <f>ROUND(C6*F31/(1+'数据-取费表'!C42),0)</f>
        <v>0</v>
      </c>
      <c r="D31" s="1331"/>
      <c r="E31" s="1331"/>
      <c r="F31" s="504">
        <f>'数据-取费表'!B41</f>
        <v>5.5000000000000007E-2</v>
      </c>
      <c r="G31" s="1332"/>
      <c r="H31" s="1332"/>
      <c r="I31" s="1332"/>
      <c r="J31" s="1333"/>
      <c r="K31" s="1334"/>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250" t="str">
        <f>项目基本情况!B1</f>
        <v>广东省东莞市东坑镇凤大村出让国有建设用地使用权抵押价格预评估</v>
      </c>
      <c r="C37" s="3250"/>
      <c r="D37" s="3250"/>
      <c r="E37" s="3250"/>
      <c r="F37" s="3250"/>
      <c r="G37" s="3250"/>
      <c r="H37" s="3250"/>
      <c r="I37" s="3250"/>
    </row>
    <row r="38" spans="1:9">
      <c r="A38" s="1658"/>
      <c r="B38" s="1658"/>
    </row>
    <row r="39" spans="1:9">
      <c r="A39" s="1656" t="s">
        <v>1906</v>
      </c>
      <c r="B39" s="1656" t="s">
        <v>2056</v>
      </c>
    </row>
    <row r="40" spans="1:9">
      <c r="A40" s="1656"/>
      <c r="B40" s="1656" t="str">
        <f>项目基本情况!B5</f>
        <v>东莞市骏成实业投资有限公司</v>
      </c>
    </row>
    <row r="41" spans="1:9">
      <c r="A41" s="1656"/>
      <c r="B41" s="1656"/>
    </row>
    <row r="42" spans="1:9">
      <c r="A42" s="1656" t="s">
        <v>1906</v>
      </c>
      <c r="B42" s="1656" t="s">
        <v>2057</v>
      </c>
    </row>
    <row r="43" spans="1:9">
      <c r="A43" s="1656"/>
      <c r="B43" s="1656" t="s">
        <v>1908</v>
      </c>
    </row>
    <row r="44" spans="1:9">
      <c r="A44" s="1656"/>
      <c r="B44" s="1656"/>
    </row>
    <row r="45" spans="1:9">
      <c r="A45" s="1656" t="s">
        <v>1906</v>
      </c>
      <c r="B45" s="1656" t="s">
        <v>2055</v>
      </c>
    </row>
    <row r="46" spans="1:9" s="1656" customFormat="1" ht="12.75">
      <c r="B46" s="1656" t="str">
        <f>项目基本情况!K4</f>
        <v>刘梅、吴薇</v>
      </c>
    </row>
    <row r="47" spans="1:9">
      <c r="A47" s="1656"/>
      <c r="B47" s="1656"/>
    </row>
    <row r="48" spans="1:9">
      <c r="A48" s="1656" t="s">
        <v>1906</v>
      </c>
      <c r="B48" s="1656" t="s">
        <v>2058</v>
      </c>
    </row>
    <row r="49" spans="2:2">
      <c r="B49" s="1656" t="str">
        <f>"康正预评字"&amp;项目基本情况!B2&amp;"号"</f>
        <v>康正预评字2017-1-0641-P01DYGJ2号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6" t="s">
        <v>467</v>
      </c>
      <c r="B2" s="511">
        <f>F68</f>
        <v>110559</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3">
        <f>ROUND(B2*10000/'数据-汇总表'!E3,0)</f>
        <v>8225</v>
      </c>
      <c r="C3" s="2064"/>
      <c r="D3" s="2601"/>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30" s="1336" customFormat="1" ht="28.5" customHeight="1">
      <c r="A4" s="514" t="s">
        <v>521</v>
      </c>
      <c r="B4" s="430">
        <f>IF(B48="单位面积地价",C50,ROUND(B2*10000/'数据-汇总表'!D3,0))</f>
        <v>23250</v>
      </c>
      <c r="C4" s="2064"/>
      <c r="D4" s="2601"/>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30" s="1336" customFormat="1" ht="28.5" customHeight="1" thickBot="1">
      <c r="A5" s="432"/>
      <c r="B5" s="433">
        <f>ROUND(B2/('数据-汇总表'!D3/666.67),0)</f>
        <v>1550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1"/>
    </row>
    <row r="6" spans="1:30" ht="20.25">
      <c r="A6" s="515" t="s">
        <v>522</v>
      </c>
      <c r="B6" s="516"/>
      <c r="C6" s="3436" t="s">
        <v>523</v>
      </c>
      <c r="D6" s="3437"/>
      <c r="E6" s="3436" t="s">
        <v>524</v>
      </c>
      <c r="F6" s="3437"/>
      <c r="G6" s="3436" t="s">
        <v>525</v>
      </c>
      <c r="H6" s="3437"/>
      <c r="I6" s="3436" t="s">
        <v>526</v>
      </c>
      <c r="J6" s="3437"/>
      <c r="K6" s="517" t="s">
        <v>527</v>
      </c>
      <c r="L6" s="2139"/>
      <c r="M6" s="2138"/>
      <c r="N6" s="2138"/>
      <c r="O6" s="2140"/>
      <c r="P6" s="3438" t="s">
        <v>528</v>
      </c>
      <c r="Q6" s="3439"/>
      <c r="R6" s="3424" t="s">
        <v>524</v>
      </c>
      <c r="S6" s="3425"/>
      <c r="T6" s="3424" t="s">
        <v>525</v>
      </c>
      <c r="U6" s="3425"/>
      <c r="V6" s="3444" t="s">
        <v>526</v>
      </c>
      <c r="W6" s="3444"/>
      <c r="X6" s="1569"/>
      <c r="Y6" s="3424" t="s">
        <v>528</v>
      </c>
      <c r="Z6" s="3425"/>
      <c r="AA6" s="3419" t="s">
        <v>524</v>
      </c>
      <c r="AB6" s="3420" t="s">
        <v>525</v>
      </c>
      <c r="AC6" s="3419" t="s">
        <v>526</v>
      </c>
    </row>
    <row r="7" spans="1:30" ht="20.25">
      <c r="A7" s="518"/>
      <c r="B7" s="519"/>
      <c r="C7" s="3449" t="s">
        <v>2995</v>
      </c>
      <c r="D7" s="3448"/>
      <c r="E7" s="3447" t="s">
        <v>2936</v>
      </c>
      <c r="F7" s="3448"/>
      <c r="G7" s="3447" t="s">
        <v>2937</v>
      </c>
      <c r="H7" s="3448"/>
      <c r="I7" s="3447" t="s">
        <v>2938</v>
      </c>
      <c r="J7" s="3448"/>
      <c r="K7" s="517"/>
      <c r="L7" s="2139"/>
      <c r="M7" s="2138"/>
      <c r="N7" s="2138"/>
      <c r="O7" s="2140"/>
      <c r="P7" s="3440"/>
      <c r="Q7" s="3441"/>
      <c r="R7" s="3426"/>
      <c r="S7" s="3427"/>
      <c r="T7" s="3426"/>
      <c r="U7" s="3427"/>
      <c r="V7" s="3444"/>
      <c r="W7" s="3444"/>
      <c r="X7" s="1569"/>
      <c r="Y7" s="3426"/>
      <c r="Z7" s="3427"/>
      <c r="AA7" s="3420"/>
      <c r="AB7" s="3420"/>
      <c r="AC7" s="3420"/>
    </row>
    <row r="8" spans="1:30" ht="21" thickBot="1">
      <c r="A8" s="518"/>
      <c r="B8" s="519"/>
      <c r="C8" s="3450" t="s">
        <v>2996</v>
      </c>
      <c r="D8" s="3451"/>
      <c r="E8" s="3450" t="s">
        <v>3239</v>
      </c>
      <c r="F8" s="3451"/>
      <c r="G8" s="3445" t="s">
        <v>3247</v>
      </c>
      <c r="H8" s="3446"/>
      <c r="I8" s="3445" t="s">
        <v>3253</v>
      </c>
      <c r="J8" s="3446"/>
      <c r="K8" s="517" t="s">
        <v>529</v>
      </c>
      <c r="L8" s="2139"/>
      <c r="M8" s="2138"/>
      <c r="N8" s="2138"/>
      <c r="O8" s="2140"/>
      <c r="P8" s="3442"/>
      <c r="Q8" s="3443"/>
      <c r="R8" s="3426"/>
      <c r="S8" s="3427"/>
      <c r="T8" s="3428"/>
      <c r="U8" s="3429"/>
      <c r="V8" s="3444"/>
      <c r="W8" s="3444"/>
      <c r="X8" s="1569"/>
      <c r="Y8" s="3428"/>
      <c r="Z8" s="3429"/>
      <c r="AA8" s="3421"/>
      <c r="AB8" s="3421"/>
      <c r="AC8" s="3421"/>
    </row>
    <row r="9" spans="1:30" s="1220" customFormat="1" ht="21" thickBot="1">
      <c r="A9" s="2947"/>
      <c r="B9" s="2954" t="s">
        <v>530</v>
      </c>
      <c r="C9" s="2946">
        <f>'数据-取费表'!B2</f>
        <v>42915</v>
      </c>
      <c r="D9" s="523">
        <v>100</v>
      </c>
      <c r="E9" s="524">
        <v>42712</v>
      </c>
      <c r="F9" s="525">
        <f>SUMIF(72:72,YEAR(E9)&amp;"-"&amp;INT((MONTH(E9)+2)/3),73:73)</f>
        <v>98</v>
      </c>
      <c r="G9" s="526">
        <v>42727</v>
      </c>
      <c r="H9" s="523">
        <f>SUMIF(72:72,YEAR(G9)&amp;"-"&amp;INT((MONTH(G9)+2)/3),73:73)</f>
        <v>98</v>
      </c>
      <c r="I9" s="526">
        <v>42632</v>
      </c>
      <c r="J9" s="523">
        <f>SUMIF(72:72,YEAR(I9)&amp;"-"&amp;INT((MONTH(I9)+2)/3),73:73)</f>
        <v>97</v>
      </c>
      <c r="K9" s="527"/>
      <c r="L9" s="2141"/>
      <c r="M9" s="2138"/>
      <c r="N9" s="2138"/>
      <c r="O9" s="2142"/>
      <c r="P9" s="3422" t="s">
        <v>531</v>
      </c>
      <c r="Q9" s="3431"/>
      <c r="R9" s="1570" t="s">
        <v>8</v>
      </c>
      <c r="S9" s="1571">
        <f t="shared" ref="S9:S17" si="0">F9</f>
        <v>98</v>
      </c>
      <c r="T9" s="1570" t="s">
        <v>8</v>
      </c>
      <c r="U9" s="1571">
        <f t="shared" ref="U9:U17" si="1">H9</f>
        <v>98</v>
      </c>
      <c r="V9" s="1570" t="s">
        <v>8</v>
      </c>
      <c r="W9" s="1571">
        <f t="shared" ref="W9:W17" si="2">J9</f>
        <v>97</v>
      </c>
      <c r="X9" s="1572"/>
      <c r="Y9" s="3422" t="s">
        <v>531</v>
      </c>
      <c r="Z9" s="3423"/>
      <c r="AA9" s="1573">
        <f>D9/F9</f>
        <v>1.0204081632653061</v>
      </c>
      <c r="AB9" s="1573">
        <f>D9/H9</f>
        <v>1.0204081632653061</v>
      </c>
      <c r="AC9" s="1573">
        <f>D9/J9</f>
        <v>1.0309278350515463</v>
      </c>
    </row>
    <row r="10" spans="1:30" s="1220" customFormat="1" ht="21" thickBot="1">
      <c r="A10" s="2948"/>
      <c r="B10" s="2955" t="s">
        <v>532</v>
      </c>
      <c r="C10" s="859" t="s">
        <v>533</v>
      </c>
      <c r="D10" s="523">
        <v>100</v>
      </c>
      <c r="E10" s="528" t="s">
        <v>3071</v>
      </c>
      <c r="F10" s="525">
        <f>SUMIF(75:75,E10,76:76)-SUMIF(75:75,C10,76:76)+100</f>
        <v>100</v>
      </c>
      <c r="G10" s="528" t="s">
        <v>3071</v>
      </c>
      <c r="H10" s="523">
        <f>SUMIF(75:75,G10,76:76)-SUMIF(75:75,C10,76:76)+100</f>
        <v>100</v>
      </c>
      <c r="I10" s="528" t="s">
        <v>3071</v>
      </c>
      <c r="J10" s="523">
        <f>SUMIF(75:75,I10,76:76)-SUMIF(75:75,C10,76:76)+100</f>
        <v>100</v>
      </c>
      <c r="K10" s="527"/>
      <c r="L10" s="2141"/>
      <c r="M10" s="2138"/>
      <c r="N10" s="2138"/>
      <c r="O10" s="2142"/>
      <c r="P10" s="3422" t="s">
        <v>534</v>
      </c>
      <c r="Q10" s="3423"/>
      <c r="R10" s="1570" t="s">
        <v>8</v>
      </c>
      <c r="S10" s="1571">
        <f t="shared" si="0"/>
        <v>100</v>
      </c>
      <c r="T10" s="1570" t="s">
        <v>8</v>
      </c>
      <c r="U10" s="1571">
        <f t="shared" si="1"/>
        <v>100</v>
      </c>
      <c r="V10" s="1570" t="s">
        <v>8</v>
      </c>
      <c r="W10" s="1571">
        <f t="shared" si="2"/>
        <v>100</v>
      </c>
      <c r="X10" s="1572"/>
      <c r="Y10" s="3422" t="s">
        <v>534</v>
      </c>
      <c r="Z10" s="3423"/>
      <c r="AA10" s="1573">
        <f t="shared" ref="AA10:AA47" si="3">D10/F10</f>
        <v>1</v>
      </c>
      <c r="AB10" s="1573">
        <f t="shared" ref="AB10:AB47" si="4">D10/H10</f>
        <v>1</v>
      </c>
      <c r="AC10" s="1573">
        <f t="shared" ref="AC10:AC47" si="5">D10/J10</f>
        <v>1</v>
      </c>
    </row>
    <row r="11" spans="1:30" s="1220" customFormat="1" ht="20.25">
      <c r="A11" s="2949"/>
      <c r="B11" s="2956" t="s">
        <v>2771</v>
      </c>
      <c r="C11" s="2943" t="s">
        <v>2964</v>
      </c>
      <c r="D11" s="254">
        <v>100</v>
      </c>
      <c r="E11" s="529" t="s">
        <v>2964</v>
      </c>
      <c r="F11" s="254">
        <f>SUMIF(77:77,E11,78:78)-SUMIF(77:77,C11,78:78)+100</f>
        <v>100</v>
      </c>
      <c r="G11" s="529" t="s">
        <v>2964</v>
      </c>
      <c r="H11" s="254">
        <f>SUMIF(77:77,G11,78:78)-SUMIF(77:77,C11,78:78)+100</f>
        <v>100</v>
      </c>
      <c r="I11" s="529" t="s">
        <v>2964</v>
      </c>
      <c r="J11" s="254">
        <f>SUMIF(77:77,I11,78:78)-SUMIF(77:77,C11,78:78)+100</f>
        <v>100</v>
      </c>
      <c r="K11" s="527"/>
      <c r="L11" s="2141"/>
      <c r="M11" s="2138"/>
      <c r="N11" s="2138"/>
      <c r="O11" s="2143"/>
      <c r="P11" s="3430" t="s">
        <v>536</v>
      </c>
      <c r="Q11" s="1151" t="str">
        <f t="shared" ref="Q11:Q17" si="6">B11</f>
        <v>用途</v>
      </c>
      <c r="R11" s="1570" t="s">
        <v>8</v>
      </c>
      <c r="S11" s="1571">
        <f t="shared" si="0"/>
        <v>100</v>
      </c>
      <c r="T11" s="1570" t="s">
        <v>8</v>
      </c>
      <c r="U11" s="1571">
        <f t="shared" si="1"/>
        <v>100</v>
      </c>
      <c r="V11" s="1570" t="s">
        <v>8</v>
      </c>
      <c r="W11" s="1571">
        <f t="shared" si="2"/>
        <v>100</v>
      </c>
      <c r="X11" s="1572"/>
      <c r="Y11" s="3388" t="s">
        <v>537</v>
      </c>
      <c r="Z11" s="1150" t="str">
        <f t="shared" ref="Z11:Z17" si="7">Q11</f>
        <v>用途</v>
      </c>
      <c r="AA11" s="1573">
        <f t="shared" si="3"/>
        <v>1</v>
      </c>
      <c r="AB11" s="1573">
        <f t="shared" si="4"/>
        <v>1</v>
      </c>
      <c r="AC11" s="1573">
        <f t="shared" si="5"/>
        <v>1</v>
      </c>
    </row>
    <row r="12" spans="1:30" s="1338" customFormat="1" ht="42.75">
      <c r="A12" s="2950"/>
      <c r="B12" s="2955" t="s">
        <v>2772</v>
      </c>
      <c r="C12" s="911" t="s">
        <v>2999</v>
      </c>
      <c r="D12" s="255">
        <v>100</v>
      </c>
      <c r="E12" s="532" t="s">
        <v>3213</v>
      </c>
      <c r="F12" s="255">
        <f>ROUND(100/'数据-取费表'!G16,0)</f>
        <v>102</v>
      </c>
      <c r="G12" s="532" t="s">
        <v>3213</v>
      </c>
      <c r="H12" s="255">
        <f>ROUND(100/'数据-取费表'!G16,0)</f>
        <v>102</v>
      </c>
      <c r="I12" s="532" t="s">
        <v>3213</v>
      </c>
      <c r="J12" s="255">
        <f>ROUND(100/'数据-取费表'!G16,0)</f>
        <v>102</v>
      </c>
      <c r="K12" s="534"/>
      <c r="L12" s="2144"/>
      <c r="M12" s="2138"/>
      <c r="N12" s="2138"/>
      <c r="O12" s="2145"/>
      <c r="P12" s="3430"/>
      <c r="Q12" s="1151" t="str">
        <f t="shared" si="6"/>
        <v>土地使用年限（年）</v>
      </c>
      <c r="R12" s="1570" t="s">
        <v>8</v>
      </c>
      <c r="S12" s="1571">
        <f t="shared" si="0"/>
        <v>102</v>
      </c>
      <c r="T12" s="1570" t="s">
        <v>8</v>
      </c>
      <c r="U12" s="1571">
        <f t="shared" si="1"/>
        <v>102</v>
      </c>
      <c r="V12" s="1570" t="s">
        <v>8</v>
      </c>
      <c r="W12" s="1571">
        <f t="shared" si="2"/>
        <v>102</v>
      </c>
      <c r="X12" s="1572"/>
      <c r="Y12" s="3388"/>
      <c r="Z12" s="1150" t="str">
        <f t="shared" si="7"/>
        <v>土地使用年限（年）</v>
      </c>
      <c r="AA12" s="1573">
        <f t="shared" si="3"/>
        <v>0.98039215686274506</v>
      </c>
      <c r="AB12" s="1573">
        <f t="shared" si="4"/>
        <v>0.98039215686274506</v>
      </c>
      <c r="AC12" s="1573">
        <f t="shared" si="5"/>
        <v>0.98039215686274506</v>
      </c>
    </row>
    <row r="13" spans="1:30" ht="21" thickBot="1">
      <c r="A13" s="2951"/>
      <c r="B13" s="2955" t="s">
        <v>2773</v>
      </c>
      <c r="C13" s="537">
        <f>'数据-汇总表'!I6</f>
        <v>2.41</v>
      </c>
      <c r="D13" s="255">
        <v>100</v>
      </c>
      <c r="E13" s="536">
        <v>3</v>
      </c>
      <c r="F13" s="255">
        <f>LOOKUP(E13,82:82,83:83)-LOOKUP(C13,82:82,83:83)+100</f>
        <v>98</v>
      </c>
      <c r="G13" s="537">
        <v>2</v>
      </c>
      <c r="H13" s="255">
        <f>LOOKUP(G13,82:82,83:83)-LOOKUP(C13,82:82,83:83)+100</f>
        <v>100</v>
      </c>
      <c r="I13" s="536">
        <v>1.8</v>
      </c>
      <c r="J13" s="255">
        <f>LOOKUP(I13,82:82,83:83)-LOOKUP(C13,82:82,83:83)+100</f>
        <v>102</v>
      </c>
      <c r="K13" s="538">
        <v>2</v>
      </c>
      <c r="L13" s="2146"/>
      <c r="M13" s="2138"/>
      <c r="N13" s="2138"/>
      <c r="O13" s="2147"/>
      <c r="P13" s="3430"/>
      <c r="Q13" s="1151" t="str">
        <f t="shared" si="6"/>
        <v>容积率</v>
      </c>
      <c r="R13" s="1570" t="s">
        <v>8</v>
      </c>
      <c r="S13" s="1571">
        <f t="shared" si="0"/>
        <v>98</v>
      </c>
      <c r="T13" s="1570" t="s">
        <v>8</v>
      </c>
      <c r="U13" s="1571">
        <f t="shared" si="1"/>
        <v>100</v>
      </c>
      <c r="V13" s="1570" t="s">
        <v>8</v>
      </c>
      <c r="W13" s="1571">
        <f t="shared" si="2"/>
        <v>102</v>
      </c>
      <c r="X13" s="1572"/>
      <c r="Y13" s="3388"/>
      <c r="Z13" s="1150" t="str">
        <f t="shared" si="7"/>
        <v>容积率</v>
      </c>
      <c r="AA13" s="1573">
        <f t="shared" si="3"/>
        <v>1.0204081632653061</v>
      </c>
      <c r="AB13" s="1573">
        <f t="shared" si="4"/>
        <v>1</v>
      </c>
      <c r="AC13" s="1573">
        <f t="shared" si="5"/>
        <v>0.98039215686274506</v>
      </c>
    </row>
    <row r="14" spans="1:30" s="1220" customFormat="1" ht="20.25" hidden="1">
      <c r="A14" s="2948"/>
      <c r="B14" s="2957" t="s">
        <v>2774</v>
      </c>
      <c r="C14" s="2944"/>
      <c r="D14" s="541">
        <v>100</v>
      </c>
      <c r="E14" s="1375"/>
      <c r="F14" s="255">
        <f>SUMIF(84:84,E14,85:85)-SUMIF(84:84,C14,85:85)+100</f>
        <v>100</v>
      </c>
      <c r="G14" s="533"/>
      <c r="H14" s="255">
        <f>SUMIF(84:84,G14,85:85)-SUMIF(84:84,C14,85:85)+100</f>
        <v>100</v>
      </c>
      <c r="I14" s="532"/>
      <c r="J14" s="255">
        <f>SUMIF(84:84,I14,85:85)-SUMIF(84:84,C14,85:85)+100</f>
        <v>100</v>
      </c>
      <c r="K14" s="534"/>
      <c r="L14" s="2141"/>
      <c r="M14" s="2138"/>
      <c r="N14" s="2138"/>
      <c r="O14" s="2143"/>
      <c r="P14" s="3430"/>
      <c r="Q14" s="1151" t="str">
        <f t="shared" si="6"/>
        <v>配建</v>
      </c>
      <c r="R14" s="1570" t="s">
        <v>8</v>
      </c>
      <c r="S14" s="1571">
        <f t="shared" si="0"/>
        <v>100</v>
      </c>
      <c r="T14" s="1570" t="s">
        <v>8</v>
      </c>
      <c r="U14" s="1571">
        <f t="shared" si="1"/>
        <v>100</v>
      </c>
      <c r="V14" s="1570" t="s">
        <v>8</v>
      </c>
      <c r="W14" s="1571">
        <f t="shared" si="2"/>
        <v>100</v>
      </c>
      <c r="X14" s="1572"/>
      <c r="Y14" s="3388"/>
      <c r="Z14" s="1150" t="str">
        <f t="shared" si="7"/>
        <v>配建</v>
      </c>
      <c r="AA14" s="1573">
        <f>D14/F14</f>
        <v>1</v>
      </c>
      <c r="AB14" s="1573">
        <f>D14/H14</f>
        <v>1</v>
      </c>
      <c r="AC14" s="1573">
        <f>D14/J14</f>
        <v>1</v>
      </c>
    </row>
    <row r="15" spans="1:30" ht="20.25" hidden="1">
      <c r="A15" s="2952"/>
      <c r="B15" s="2958"/>
      <c r="C15" s="913"/>
      <c r="D15" s="543">
        <v>100</v>
      </c>
      <c r="E15" s="544"/>
      <c r="F15" s="255">
        <f>SUMIF(86:86,E15,87:87)-SUMIF(86:86,C15,87:87)+100</f>
        <v>100</v>
      </c>
      <c r="G15" s="545"/>
      <c r="H15" s="543">
        <f>SUMIF(86:86,G15,87:87)-SUMIF(86:86,C15,87:87)+100</f>
        <v>100</v>
      </c>
      <c r="I15" s="545"/>
      <c r="J15" s="543">
        <f>SUMIF(86:86,I15,87:87)-SUMIF(86:86,C15,87:87)+100</f>
        <v>100</v>
      </c>
      <c r="K15" s="534"/>
      <c r="L15" s="2148"/>
      <c r="M15" s="2138"/>
      <c r="N15" s="2138"/>
      <c r="O15" s="2147"/>
      <c r="P15" s="3430"/>
      <c r="Q15" s="1151">
        <f t="shared" si="6"/>
        <v>0</v>
      </c>
      <c r="R15" s="1570" t="s">
        <v>8</v>
      </c>
      <c r="S15" s="1571">
        <f t="shared" si="0"/>
        <v>100</v>
      </c>
      <c r="T15" s="1570" t="s">
        <v>8</v>
      </c>
      <c r="U15" s="1571">
        <f t="shared" si="1"/>
        <v>100</v>
      </c>
      <c r="V15" s="1570" t="s">
        <v>8</v>
      </c>
      <c r="W15" s="1571">
        <f t="shared" si="2"/>
        <v>100</v>
      </c>
      <c r="X15" s="1572"/>
      <c r="Y15" s="3388"/>
      <c r="Z15" s="1150">
        <f t="shared" si="7"/>
        <v>0</v>
      </c>
      <c r="AA15" s="1573">
        <f>D15/F15</f>
        <v>1</v>
      </c>
      <c r="AB15" s="1573">
        <f>D15/H15</f>
        <v>1</v>
      </c>
      <c r="AC15" s="1573">
        <f>D15/J15</f>
        <v>1</v>
      </c>
    </row>
    <row r="16" spans="1:30" ht="21" hidden="1" thickBot="1">
      <c r="A16" s="2953"/>
      <c r="B16" s="2959"/>
      <c r="C16" s="916"/>
      <c r="D16" s="549">
        <v>100</v>
      </c>
      <c r="E16" s="544"/>
      <c r="F16" s="549">
        <f>SUMIF(88:88,E16,89:89)-SUMIF(88:88,C16,89:89)+100</f>
        <v>100</v>
      </c>
      <c r="G16" s="545"/>
      <c r="H16" s="549">
        <f>SUMIF(88:88,G16,89:89)-SUMIF(88:88,C16,89:89)+100</f>
        <v>100</v>
      </c>
      <c r="I16" s="545"/>
      <c r="J16" s="549">
        <f>SUMIF(88:88,I16,89:89)-SUMIF(88:88,C16,89:89)+100</f>
        <v>100</v>
      </c>
      <c r="K16" s="534"/>
      <c r="L16" s="2148"/>
      <c r="M16" s="2138"/>
      <c r="N16" s="2138"/>
      <c r="O16" s="2147"/>
      <c r="P16" s="3430"/>
      <c r="Q16" s="1151">
        <f t="shared" si="6"/>
        <v>0</v>
      </c>
      <c r="R16" s="1570" t="s">
        <v>8</v>
      </c>
      <c r="S16" s="1571">
        <f t="shared" si="0"/>
        <v>100</v>
      </c>
      <c r="T16" s="1570" t="s">
        <v>8</v>
      </c>
      <c r="U16" s="1571">
        <f t="shared" si="1"/>
        <v>100</v>
      </c>
      <c r="V16" s="1570" t="s">
        <v>8</v>
      </c>
      <c r="W16" s="1571">
        <f t="shared" si="2"/>
        <v>100</v>
      </c>
      <c r="X16" s="1572"/>
      <c r="Y16" s="3388"/>
      <c r="Z16" s="1150">
        <f t="shared" si="7"/>
        <v>0</v>
      </c>
      <c r="AA16" s="1573">
        <f>D16/F16</f>
        <v>1</v>
      </c>
      <c r="AB16" s="1573">
        <f>D16/H16</f>
        <v>1</v>
      </c>
      <c r="AC16" s="1573">
        <f>D16/J16</f>
        <v>1</v>
      </c>
    </row>
    <row r="17" spans="1:29" ht="142.5">
      <c r="A17" s="2945" t="s">
        <v>2769</v>
      </c>
      <c r="B17" s="581" t="s">
        <v>295</v>
      </c>
      <c r="C17" s="551" t="str">
        <f>估价对象房地状况!C15</f>
        <v>估价对象周边有皇家公馆、草塘花园、嘉盈名苑等居住社区，居住用地比例较大、居住小区规模和社区发展完善程度好，综合评价居住社区成熟度好。</v>
      </c>
      <c r="D17" s="554">
        <v>100</v>
      </c>
      <c r="E17" s="3163" t="s">
        <v>3240</v>
      </c>
      <c r="F17" s="552">
        <f>SUMIF(90:90,E18,91:91)-SUMIF(90:90,C18,91:91)+100</f>
        <v>98</v>
      </c>
      <c r="G17" s="3163" t="s">
        <v>3248</v>
      </c>
      <c r="H17" s="552">
        <f>SUMIF(90:90,G18,91:91)-SUMIF(90:90,C18,91:91)+100</f>
        <v>96</v>
      </c>
      <c r="I17" s="3163" t="s">
        <v>3254</v>
      </c>
      <c r="J17" s="552">
        <f>SUMIF(90:90,I18,91:91)-SUMIF(90:90,C18,91:91)+100</f>
        <v>98</v>
      </c>
      <c r="K17" s="538">
        <v>2</v>
      </c>
      <c r="L17" s="2148"/>
      <c r="M17" s="2138"/>
      <c r="N17" s="2138"/>
      <c r="O17" s="2147"/>
      <c r="P17" s="3432" t="s">
        <v>541</v>
      </c>
      <c r="Q17" s="1574" t="str">
        <f t="shared" si="6"/>
        <v>居住社区成熟度</v>
      </c>
      <c r="R17" s="1575" t="s">
        <v>8</v>
      </c>
      <c r="S17" s="1576">
        <f t="shared" si="0"/>
        <v>98</v>
      </c>
      <c r="T17" s="1575" t="s">
        <v>8</v>
      </c>
      <c r="U17" s="1576">
        <f t="shared" si="1"/>
        <v>96</v>
      </c>
      <c r="V17" s="1575" t="s">
        <v>8</v>
      </c>
      <c r="W17" s="1576">
        <f t="shared" si="2"/>
        <v>98</v>
      </c>
      <c r="X17" s="1569"/>
      <c r="Y17" s="3432" t="s">
        <v>541</v>
      </c>
      <c r="Z17" s="1577" t="str">
        <f t="shared" si="7"/>
        <v>居住社区成熟度</v>
      </c>
      <c r="AA17" s="1578">
        <f t="shared" si="3"/>
        <v>1.0204081632653061</v>
      </c>
      <c r="AB17" s="1578">
        <f t="shared" si="4"/>
        <v>1.0416666666666667</v>
      </c>
      <c r="AC17" s="1578">
        <f t="shared" si="5"/>
        <v>1.0204081632653061</v>
      </c>
    </row>
    <row r="18" spans="1:29" ht="21" thickBot="1">
      <c r="A18" s="535"/>
      <c r="B18" s="556"/>
      <c r="C18" s="557" t="s">
        <v>3088</v>
      </c>
      <c r="D18" s="560"/>
      <c r="E18" s="561" t="s">
        <v>3000</v>
      </c>
      <c r="F18" s="558"/>
      <c r="G18" s="559" t="s">
        <v>3086</v>
      </c>
      <c r="H18" s="562"/>
      <c r="I18" s="561" t="s">
        <v>3000</v>
      </c>
      <c r="J18" s="558"/>
      <c r="K18" s="534"/>
      <c r="L18" s="2148"/>
      <c r="M18" s="2138"/>
      <c r="N18" s="2138"/>
      <c r="O18" s="2147"/>
      <c r="P18" s="3433"/>
      <c r="Q18" s="1574"/>
      <c r="R18" s="1575"/>
      <c r="S18" s="1576"/>
      <c r="T18" s="1575"/>
      <c r="U18" s="1576"/>
      <c r="V18" s="1575"/>
      <c r="W18" s="1576"/>
      <c r="X18" s="1569"/>
      <c r="Y18" s="3433"/>
      <c r="Z18" s="1577"/>
      <c r="AA18" s="1578">
        <v>1</v>
      </c>
      <c r="AB18" s="1578">
        <v>1</v>
      </c>
      <c r="AC18" s="1578">
        <v>1</v>
      </c>
    </row>
    <row r="19" spans="1:29" ht="85.5">
      <c r="A19" s="535"/>
      <c r="B19" s="563" t="s">
        <v>542</v>
      </c>
      <c r="C19" s="564" t="str">
        <f>估价对象房地状况!C16</f>
        <v>估价对象位于东坑镇中心城区，周边商业氛围成熟，人流量较大，商业繁华度较好。</v>
      </c>
      <c r="D19" s="566">
        <v>100</v>
      </c>
      <c r="E19" s="3163" t="s">
        <v>3258</v>
      </c>
      <c r="F19" s="562">
        <f>SUMIF(92:92,E20,93:93)-SUMIF(92:92,C20,93:93)+100</f>
        <v>100</v>
      </c>
      <c r="G19" s="3163" t="s">
        <v>3249</v>
      </c>
      <c r="H19" s="568">
        <f>SUMIF(92:92,G20,93:93)-SUMIF(92:92,C20,93:93)+100</f>
        <v>98</v>
      </c>
      <c r="I19" s="3163" t="s">
        <v>3249</v>
      </c>
      <c r="J19" s="568">
        <f>SUMIF(92:92,I20,93:93)-SUMIF(92:92,C20,93:93)+100</f>
        <v>98</v>
      </c>
      <c r="K19" s="538">
        <v>2</v>
      </c>
      <c r="L19" s="2148"/>
      <c r="M19" s="2138"/>
      <c r="N19" s="2138"/>
      <c r="O19" s="2147"/>
      <c r="P19" s="3433"/>
      <c r="Q19" s="1574" t="str">
        <f>B19</f>
        <v>商业繁华度</v>
      </c>
      <c r="R19" s="1575" t="s">
        <v>8</v>
      </c>
      <c r="S19" s="1576">
        <f>F19</f>
        <v>100</v>
      </c>
      <c r="T19" s="1575" t="s">
        <v>8</v>
      </c>
      <c r="U19" s="1576">
        <f>H19</f>
        <v>98</v>
      </c>
      <c r="V19" s="1575" t="s">
        <v>8</v>
      </c>
      <c r="W19" s="1576">
        <f>J19</f>
        <v>98</v>
      </c>
      <c r="X19" s="1569"/>
      <c r="Y19" s="3433"/>
      <c r="Z19" s="1577" t="str">
        <f>Q19</f>
        <v>商业繁华度</v>
      </c>
      <c r="AA19" s="1578">
        <f t="shared" si="3"/>
        <v>1</v>
      </c>
      <c r="AB19" s="1578">
        <f t="shared" si="4"/>
        <v>1.0204081632653061</v>
      </c>
      <c r="AC19" s="1578">
        <f t="shared" si="5"/>
        <v>1.0204081632653061</v>
      </c>
    </row>
    <row r="20" spans="1:29" ht="20.25">
      <c r="A20" s="535"/>
      <c r="B20" s="569"/>
      <c r="C20" s="570" t="s">
        <v>3000</v>
      </c>
      <c r="D20" s="566"/>
      <c r="E20" s="572" t="s">
        <v>3000</v>
      </c>
      <c r="F20" s="562"/>
      <c r="G20" s="571" t="s">
        <v>3086</v>
      </c>
      <c r="H20" s="558"/>
      <c r="I20" s="572" t="s">
        <v>3086</v>
      </c>
      <c r="J20" s="558"/>
      <c r="K20" s="534"/>
      <c r="L20" s="2148"/>
      <c r="M20" s="2138"/>
      <c r="N20" s="2138"/>
      <c r="O20" s="2147"/>
      <c r="P20" s="3433"/>
      <c r="Q20" s="1574"/>
      <c r="R20" s="1575"/>
      <c r="S20" s="1576"/>
      <c r="T20" s="1575"/>
      <c r="U20" s="1576"/>
      <c r="V20" s="1575"/>
      <c r="W20" s="1576"/>
      <c r="X20" s="1569"/>
      <c r="Y20" s="3433"/>
      <c r="Z20" s="1577"/>
      <c r="AA20" s="1578">
        <v>1</v>
      </c>
      <c r="AB20" s="1578">
        <v>1</v>
      </c>
      <c r="AC20" s="1578">
        <v>1</v>
      </c>
    </row>
    <row r="21" spans="1:29" ht="20.25" hidden="1">
      <c r="A21" s="535"/>
      <c r="B21" s="563" t="s">
        <v>543</v>
      </c>
      <c r="C21" s="564" t="str">
        <f>估价对象房地状况!C17</f>
        <v>——</v>
      </c>
      <c r="D21" s="574">
        <v>100</v>
      </c>
      <c r="E21" s="575"/>
      <c r="F21" s="568">
        <f>SUMIF(94:94,E22,95:95)-SUMIF(94:94,C22,95:95)+100</f>
        <v>100</v>
      </c>
      <c r="G21" s="573"/>
      <c r="H21" s="562">
        <f>SUMIF(94:94,G22,95:95)-SUMIF(94:94,C22,95:95)+100</f>
        <v>100</v>
      </c>
      <c r="I21" s="575"/>
      <c r="J21" s="562">
        <f>SUMIF(94:94,I22,95:95)-SUMIF(94:94,C22,95:95)+100</f>
        <v>100</v>
      </c>
      <c r="K21" s="538"/>
      <c r="L21" s="2148"/>
      <c r="M21" s="2138"/>
      <c r="N21" s="2138"/>
      <c r="O21" s="2147"/>
      <c r="P21" s="3433"/>
      <c r="Q21" s="1574" t="str">
        <f>B21</f>
        <v>办公集聚程度</v>
      </c>
      <c r="R21" s="1575" t="s">
        <v>8</v>
      </c>
      <c r="S21" s="1576">
        <f>F21</f>
        <v>100</v>
      </c>
      <c r="T21" s="1575" t="s">
        <v>8</v>
      </c>
      <c r="U21" s="1576">
        <f>H21</f>
        <v>100</v>
      </c>
      <c r="V21" s="1575" t="s">
        <v>8</v>
      </c>
      <c r="W21" s="1576">
        <f>J21</f>
        <v>100</v>
      </c>
      <c r="X21" s="1569"/>
      <c r="Y21" s="3433"/>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8"/>
      <c r="M22" s="2138"/>
      <c r="N22" s="2138"/>
      <c r="O22" s="2147"/>
      <c r="P22" s="3433"/>
      <c r="Q22" s="1574"/>
      <c r="R22" s="1575"/>
      <c r="S22" s="1576"/>
      <c r="T22" s="1575"/>
      <c r="U22" s="1576"/>
      <c r="V22" s="1575"/>
      <c r="W22" s="1576"/>
      <c r="X22" s="1569"/>
      <c r="Y22" s="3433"/>
      <c r="Z22" s="1577"/>
      <c r="AA22" s="1578">
        <v>1</v>
      </c>
      <c r="AB22" s="1578">
        <v>1</v>
      </c>
      <c r="AC22" s="1578">
        <v>1</v>
      </c>
    </row>
    <row r="23" spans="1:29" ht="142.5">
      <c r="A23" s="535"/>
      <c r="B23" s="563" t="s">
        <v>544</v>
      </c>
      <c r="C23" s="576" t="str">
        <f>估价对象房地状况!C18</f>
        <v>估价对象周边有811路、829路、东坑1路等多条公交线路，区域内有城市次干道东兴中路，路网较密集，停车便捷程度较好，综合评价交通便捷度较好。</v>
      </c>
      <c r="D23" s="566">
        <v>100</v>
      </c>
      <c r="E23" s="565" t="s">
        <v>3241</v>
      </c>
      <c r="F23" s="568">
        <f>SUMIF(96:96,E24,97:97)-SUMIF(96:96,C24,97:97)+100</f>
        <v>100</v>
      </c>
      <c r="G23" s="565" t="s">
        <v>3250</v>
      </c>
      <c r="H23" s="562">
        <f>SUMIF(96:96,G24,97:97)-SUMIF(96:96,C24,97:97)+100</f>
        <v>100</v>
      </c>
      <c r="I23" s="565" t="s">
        <v>3255</v>
      </c>
      <c r="J23" s="562">
        <f>SUMIF(96:96,I24,97:97)-SUMIF(96:96,C24,97:97)+100</f>
        <v>100</v>
      </c>
      <c r="K23" s="538">
        <v>2</v>
      </c>
      <c r="L23" s="2148"/>
      <c r="M23" s="2138"/>
      <c r="N23" s="2138"/>
      <c r="O23" s="2147"/>
      <c r="P23" s="3433"/>
      <c r="Q23" s="1574" t="str">
        <f>B23</f>
        <v>交通便捷度</v>
      </c>
      <c r="R23" s="1575" t="s">
        <v>8</v>
      </c>
      <c r="S23" s="1576">
        <f>F23</f>
        <v>100</v>
      </c>
      <c r="T23" s="1575" t="s">
        <v>8</v>
      </c>
      <c r="U23" s="1576">
        <f>H23</f>
        <v>100</v>
      </c>
      <c r="V23" s="1575" t="s">
        <v>8</v>
      </c>
      <c r="W23" s="1576">
        <f>J23</f>
        <v>100</v>
      </c>
      <c r="X23" s="1569"/>
      <c r="Y23" s="3433"/>
      <c r="Z23" s="1577" t="str">
        <f>Q23</f>
        <v>交通便捷度</v>
      </c>
      <c r="AA23" s="1578">
        <f t="shared" si="3"/>
        <v>1</v>
      </c>
      <c r="AB23" s="1578">
        <f t="shared" si="4"/>
        <v>1</v>
      </c>
      <c r="AC23" s="1578">
        <f t="shared" si="5"/>
        <v>1</v>
      </c>
    </row>
    <row r="24" spans="1:29" ht="20.25">
      <c r="A24" s="535"/>
      <c r="B24" s="581"/>
      <c r="C24" s="557" t="s">
        <v>3000</v>
      </c>
      <c r="D24" s="560"/>
      <c r="E24" s="561" t="s">
        <v>3000</v>
      </c>
      <c r="F24" s="558"/>
      <c r="G24" s="559" t="s">
        <v>3000</v>
      </c>
      <c r="H24" s="558"/>
      <c r="I24" s="561" t="s">
        <v>3000</v>
      </c>
      <c r="J24" s="558"/>
      <c r="K24" s="534"/>
      <c r="L24" s="2148"/>
      <c r="M24" s="2138"/>
      <c r="N24" s="2138"/>
      <c r="O24" s="2147"/>
      <c r="P24" s="3433"/>
      <c r="Q24" s="1574"/>
      <c r="R24" s="1575"/>
      <c r="S24" s="1576"/>
      <c r="T24" s="1575"/>
      <c r="U24" s="1576"/>
      <c r="V24" s="1575"/>
      <c r="W24" s="1576"/>
      <c r="X24" s="1569"/>
      <c r="Y24" s="3433"/>
      <c r="Z24" s="1577"/>
      <c r="AA24" s="1578">
        <v>1</v>
      </c>
      <c r="AB24" s="1578">
        <v>1</v>
      </c>
      <c r="AC24" s="1578">
        <v>1</v>
      </c>
    </row>
    <row r="25" spans="1:29" ht="71.25">
      <c r="A25" s="518"/>
      <c r="B25" s="259" t="s">
        <v>545</v>
      </c>
      <c r="C25" s="576" t="str">
        <f>估价对象房地状况!C19</f>
        <v>零星有其他用地，对本宗地无不利影响，区域土地利用方向较好。</v>
      </c>
      <c r="D25" s="566">
        <v>100</v>
      </c>
      <c r="E25" s="3235" t="s">
        <v>3242</v>
      </c>
      <c r="F25" s="568">
        <f>SUMIF(98:98,E26,99:99)-SUMIF(98:98,C26,99:99)+100</f>
        <v>100</v>
      </c>
      <c r="G25" s="3235" t="s">
        <v>3242</v>
      </c>
      <c r="H25" s="562">
        <f>SUMIF(98:98,G26,99:99)-SUMIF(98:98,C26,99:99)+100</f>
        <v>100</v>
      </c>
      <c r="I25" s="3235" t="s">
        <v>3242</v>
      </c>
      <c r="J25" s="562">
        <f>SUMIF(98:98,I26,99:99)-SUMIF(98:98,C26,99:99)+100</f>
        <v>100</v>
      </c>
      <c r="K25" s="538">
        <v>2</v>
      </c>
      <c r="L25" s="2148"/>
      <c r="M25" s="2138"/>
      <c r="N25" s="2138"/>
      <c r="O25" s="2147"/>
      <c r="P25" s="3433"/>
      <c r="Q25" s="1574" t="str">
        <f t="shared" ref="Q25:Q39" si="8">B25</f>
        <v>区域土地利用方向</v>
      </c>
      <c r="R25" s="1575" t="s">
        <v>8</v>
      </c>
      <c r="S25" s="1576">
        <f>F25</f>
        <v>100</v>
      </c>
      <c r="T25" s="1575" t="s">
        <v>8</v>
      </c>
      <c r="U25" s="1576">
        <f>H25</f>
        <v>100</v>
      </c>
      <c r="V25" s="1575" t="s">
        <v>8</v>
      </c>
      <c r="W25" s="1576">
        <f>J25</f>
        <v>100</v>
      </c>
      <c r="X25" s="1569"/>
      <c r="Y25" s="3433"/>
      <c r="Z25" s="1577" t="str">
        <f>Q25</f>
        <v>区域土地利用方向</v>
      </c>
      <c r="AA25" s="1578">
        <f t="shared" si="3"/>
        <v>1</v>
      </c>
      <c r="AB25" s="1578">
        <f t="shared" si="4"/>
        <v>1</v>
      </c>
      <c r="AC25" s="1578">
        <f t="shared" si="5"/>
        <v>1</v>
      </c>
    </row>
    <row r="26" spans="1:29" ht="20.25">
      <c r="A26" s="518"/>
      <c r="B26" s="1007"/>
      <c r="C26" s="557" t="s">
        <v>3000</v>
      </c>
      <c r="D26" s="560"/>
      <c r="E26" s="561" t="s">
        <v>3000</v>
      </c>
      <c r="F26" s="558"/>
      <c r="G26" s="559" t="s">
        <v>3000</v>
      </c>
      <c r="H26" s="558"/>
      <c r="I26" s="561" t="s">
        <v>3000</v>
      </c>
      <c r="J26" s="558"/>
      <c r="K26" s="534"/>
      <c r="L26" s="2148"/>
      <c r="M26" s="2138"/>
      <c r="N26" s="2138"/>
      <c r="O26" s="2147"/>
      <c r="P26" s="3433"/>
      <c r="Q26" s="1574"/>
      <c r="R26" s="1575"/>
      <c r="S26" s="1576"/>
      <c r="T26" s="1575"/>
      <c r="U26" s="1576"/>
      <c r="V26" s="1575"/>
      <c r="W26" s="1576"/>
      <c r="X26" s="1569"/>
      <c r="Y26" s="3433"/>
      <c r="Z26" s="1577"/>
      <c r="AA26" s="1578"/>
      <c r="AB26" s="1578"/>
      <c r="AC26" s="1578"/>
    </row>
    <row r="27" spans="1:29" ht="142.5">
      <c r="A27" s="518"/>
      <c r="B27" s="581" t="s">
        <v>546</v>
      </c>
      <c r="C27" s="564" t="str">
        <f>估价对象房地状况!C20</f>
        <v>估价对象所在区有鹰岭公园，绿化较好，自然环境较好；所在区域有东莞市广播大学东坑分校等设施，人文环境较好；综合评价自然及人文环境较好。</v>
      </c>
      <c r="D27" s="566">
        <v>100</v>
      </c>
      <c r="E27" s="3148" t="s">
        <v>3244</v>
      </c>
      <c r="F27" s="562">
        <f>SUMIF(100:100,E28,101:101)-SUMIF(100:100,C28,101:101)+100</f>
        <v>100</v>
      </c>
      <c r="G27" s="3148" t="s">
        <v>3251</v>
      </c>
      <c r="H27" s="562">
        <f>SUMIF(100:100,G28,101:101)-SUMIF(100:100,C28,101:101)+100</f>
        <v>98</v>
      </c>
      <c r="I27" s="3148" t="s">
        <v>3244</v>
      </c>
      <c r="J27" s="562">
        <f>SUMIF(100:100,I28,101:101)-SUMIF(100:100,C28,101:101)+100</f>
        <v>100</v>
      </c>
      <c r="K27" s="538">
        <v>2</v>
      </c>
      <c r="L27" s="2148"/>
      <c r="M27" s="2138"/>
      <c r="N27" s="2138"/>
      <c r="O27" s="2147"/>
      <c r="P27" s="3433"/>
      <c r="Q27" s="1574" t="str">
        <f t="shared" si="8"/>
        <v>自然及人文环境状况</v>
      </c>
      <c r="R27" s="1575" t="s">
        <v>8</v>
      </c>
      <c r="S27" s="1576">
        <f>F27</f>
        <v>100</v>
      </c>
      <c r="T27" s="1575" t="s">
        <v>8</v>
      </c>
      <c r="U27" s="1576">
        <f>H27</f>
        <v>98</v>
      </c>
      <c r="V27" s="1575" t="s">
        <v>8</v>
      </c>
      <c r="W27" s="1576">
        <f>J27</f>
        <v>100</v>
      </c>
      <c r="X27" s="1569"/>
      <c r="Y27" s="3433"/>
      <c r="Z27" s="1577" t="str">
        <f>Q27</f>
        <v>自然及人文环境状况</v>
      </c>
      <c r="AA27" s="1578">
        <f t="shared" si="3"/>
        <v>1</v>
      </c>
      <c r="AB27" s="1578">
        <f t="shared" si="4"/>
        <v>1.0204081632653061</v>
      </c>
      <c r="AC27" s="1578">
        <f t="shared" si="5"/>
        <v>1</v>
      </c>
    </row>
    <row r="28" spans="1:29" ht="20.25">
      <c r="A28" s="518"/>
      <c r="B28" s="569"/>
      <c r="C28" s="557" t="s">
        <v>3000</v>
      </c>
      <c r="D28" s="560"/>
      <c r="E28" s="579" t="s">
        <v>3000</v>
      </c>
      <c r="F28" s="558"/>
      <c r="G28" s="557" t="s">
        <v>3086</v>
      </c>
      <c r="H28" s="558"/>
      <c r="I28" s="579" t="s">
        <v>3000</v>
      </c>
      <c r="J28" s="558"/>
      <c r="K28" s="534"/>
      <c r="L28" s="2148"/>
      <c r="M28" s="2138"/>
      <c r="N28" s="2138"/>
      <c r="O28" s="2147"/>
      <c r="P28" s="3433"/>
      <c r="Q28" s="1574"/>
      <c r="R28" s="1575"/>
      <c r="S28" s="1576"/>
      <c r="T28" s="1575"/>
      <c r="U28" s="1576"/>
      <c r="V28" s="1575"/>
      <c r="W28" s="1576"/>
      <c r="X28" s="1569"/>
      <c r="Y28" s="3433"/>
      <c r="Z28" s="1577"/>
      <c r="AA28" s="1578">
        <v>1</v>
      </c>
      <c r="AB28" s="1578">
        <v>1</v>
      </c>
      <c r="AC28" s="1578">
        <v>1</v>
      </c>
    </row>
    <row r="29" spans="1:29" s="1220" customFormat="1" ht="185.25">
      <c r="A29" s="580"/>
      <c r="B29" s="2622" t="s">
        <v>2560</v>
      </c>
      <c r="C29" s="576" t="str">
        <f>估价对象房地状况!C21</f>
        <v>估价对象所在区域有银行（东莞市农村商业银行(东坑新市镇分理处)）、医院（东莞市东坑医院）、超市（美惠佳连锁超市）、学校（东莞市东坑镇群英小学）及餐饮等设施，公共配套设施齐备情况较好。</v>
      </c>
      <c r="D29" s="566">
        <v>100</v>
      </c>
      <c r="E29" s="3164" t="s">
        <v>3243</v>
      </c>
      <c r="F29" s="562">
        <f>SUMIF(102:102,E30,103:103)-SUMIF(102:102,C30,103:103)+100</f>
        <v>100</v>
      </c>
      <c r="G29" s="3164" t="s">
        <v>3252</v>
      </c>
      <c r="H29" s="562">
        <f>SUMIF(102:102,G30,103:103)-SUMIF(102:102,C30,103:103)+100</f>
        <v>100</v>
      </c>
      <c r="I29" s="3164" t="s">
        <v>3256</v>
      </c>
      <c r="J29" s="562">
        <f>SUMIF(102:102,I30,103:103)-SUMIF(102:102,C30,103:103)+100</f>
        <v>100</v>
      </c>
      <c r="K29" s="538">
        <v>2</v>
      </c>
      <c r="L29" s="2141"/>
      <c r="M29" s="2138"/>
      <c r="N29" s="2138"/>
      <c r="O29" s="2143"/>
      <c r="P29" s="3433"/>
      <c r="Q29" s="1151" t="str">
        <f t="shared" si="8"/>
        <v>公共配套设施</v>
      </c>
      <c r="R29" s="1570" t="s">
        <v>8</v>
      </c>
      <c r="S29" s="1571">
        <f>F29</f>
        <v>100</v>
      </c>
      <c r="T29" s="1570" t="s">
        <v>8</v>
      </c>
      <c r="U29" s="1571">
        <f>H29</f>
        <v>100</v>
      </c>
      <c r="V29" s="1570" t="s">
        <v>8</v>
      </c>
      <c r="W29" s="1571">
        <f>J29</f>
        <v>100</v>
      </c>
      <c r="X29" s="1572"/>
      <c r="Y29" s="3433"/>
      <c r="Z29" s="1150" t="str">
        <f>Q29</f>
        <v>公共配套设施</v>
      </c>
      <c r="AA29" s="1578">
        <f>D29/F29</f>
        <v>1</v>
      </c>
      <c r="AB29" s="1578">
        <f>D29/H29</f>
        <v>1</v>
      </c>
      <c r="AC29" s="1578">
        <f>D29/J29</f>
        <v>1</v>
      </c>
    </row>
    <row r="30" spans="1:29" s="1220" customFormat="1" ht="20.25">
      <c r="A30" s="580"/>
      <c r="B30" s="569"/>
      <c r="C30" s="582" t="s">
        <v>3000</v>
      </c>
      <c r="D30" s="560"/>
      <c r="E30" s="579" t="s">
        <v>3000</v>
      </c>
      <c r="F30" s="558"/>
      <c r="G30" s="557" t="s">
        <v>3000</v>
      </c>
      <c r="H30" s="558"/>
      <c r="I30" s="579" t="s">
        <v>3000</v>
      </c>
      <c r="J30" s="558"/>
      <c r="K30" s="534"/>
      <c r="L30" s="2141"/>
      <c r="M30" s="2138"/>
      <c r="N30" s="2138"/>
      <c r="O30" s="2143"/>
      <c r="P30" s="3433"/>
      <c r="Q30" s="1151"/>
      <c r="R30" s="1570"/>
      <c r="S30" s="1571"/>
      <c r="T30" s="1570"/>
      <c r="U30" s="1571"/>
      <c r="V30" s="1570"/>
      <c r="W30" s="1571"/>
      <c r="X30" s="1572"/>
      <c r="Y30" s="3433"/>
      <c r="Z30" s="1150"/>
      <c r="AA30" s="1578">
        <v>1</v>
      </c>
      <c r="AB30" s="1578">
        <v>1</v>
      </c>
      <c r="AC30" s="1578">
        <v>1</v>
      </c>
    </row>
    <row r="31" spans="1:29" s="1220" customFormat="1" ht="42.75">
      <c r="A31" s="580"/>
      <c r="B31" s="2622" t="s">
        <v>2561</v>
      </c>
      <c r="C31" s="576" t="str">
        <f>估价对象房地状况!C22</f>
        <v>估价对象所在区域基础设施水平达“六通”。</v>
      </c>
      <c r="D31" s="566">
        <v>100</v>
      </c>
      <c r="E31" s="575" t="s">
        <v>3245</v>
      </c>
      <c r="F31" s="562">
        <f>SUMIF(104:104,E32,105:105)-SUMIF(104:104,C32,105:105)+100</f>
        <v>100</v>
      </c>
      <c r="G31" s="575" t="s">
        <v>3080</v>
      </c>
      <c r="H31" s="562">
        <f>SUMIF(104:104,G32,105:105)-SUMIF(104:104,C32,105:105)+100</f>
        <v>100</v>
      </c>
      <c r="I31" s="575" t="s">
        <v>3080</v>
      </c>
      <c r="J31" s="562">
        <f>SUMIF(104:104,I32,105:105)-SUMIF(104:104,C32,105:105)+100</f>
        <v>100</v>
      </c>
      <c r="K31" s="538">
        <v>2</v>
      </c>
      <c r="L31" s="2141"/>
      <c r="M31" s="2138"/>
      <c r="N31" s="2138"/>
      <c r="O31" s="2143"/>
      <c r="P31" s="3433"/>
      <c r="Q31" s="2609" t="str">
        <f t="shared" ref="Q31" si="9">B31</f>
        <v>基础设施水平</v>
      </c>
      <c r="R31" s="1570" t="s">
        <v>8</v>
      </c>
      <c r="S31" s="1571">
        <f>F31</f>
        <v>100</v>
      </c>
      <c r="T31" s="1570" t="s">
        <v>8</v>
      </c>
      <c r="U31" s="1571">
        <f>H31</f>
        <v>100</v>
      </c>
      <c r="V31" s="1570" t="s">
        <v>8</v>
      </c>
      <c r="W31" s="1571">
        <f>J31</f>
        <v>100</v>
      </c>
      <c r="X31" s="1572"/>
      <c r="Y31" s="3433"/>
      <c r="Z31" s="2606" t="str">
        <f>Q31</f>
        <v>基础设施水平</v>
      </c>
      <c r="AA31" s="1578">
        <f>D31/F31</f>
        <v>1</v>
      </c>
      <c r="AB31" s="1578">
        <f>D31/H31</f>
        <v>1</v>
      </c>
      <c r="AC31" s="1578">
        <f>D31/J31</f>
        <v>1</v>
      </c>
    </row>
    <row r="32" spans="1:29" s="1220" customFormat="1" ht="20.25">
      <c r="A32" s="580"/>
      <c r="B32" s="569"/>
      <c r="C32" s="582" t="s">
        <v>3001</v>
      </c>
      <c r="D32" s="560"/>
      <c r="E32" s="2623" t="s">
        <v>3001</v>
      </c>
      <c r="F32" s="558"/>
      <c r="G32" s="582" t="s">
        <v>3001</v>
      </c>
      <c r="H32" s="558"/>
      <c r="I32" s="582" t="s">
        <v>3001</v>
      </c>
      <c r="J32" s="558"/>
      <c r="K32" s="534"/>
      <c r="L32" s="2141"/>
      <c r="M32" s="2138"/>
      <c r="N32" s="2138"/>
      <c r="O32" s="2143"/>
      <c r="P32" s="3433"/>
      <c r="Q32" s="2609"/>
      <c r="R32" s="1570"/>
      <c r="S32" s="1571"/>
      <c r="T32" s="1570"/>
      <c r="U32" s="1571"/>
      <c r="V32" s="1570"/>
      <c r="W32" s="1571"/>
      <c r="X32" s="1572"/>
      <c r="Y32" s="3433"/>
      <c r="Z32" s="2606"/>
      <c r="AA32" s="1578">
        <v>1</v>
      </c>
      <c r="AB32" s="1578">
        <v>1</v>
      </c>
      <c r="AC32" s="1578">
        <v>1</v>
      </c>
    </row>
    <row r="33" spans="1:29" ht="20.25">
      <c r="A33" s="535"/>
      <c r="B33" s="569" t="s">
        <v>548</v>
      </c>
      <c r="C33" s="583" t="s">
        <v>2994</v>
      </c>
      <c r="D33" s="578">
        <v>100</v>
      </c>
      <c r="E33" s="586" t="s">
        <v>3093</v>
      </c>
      <c r="F33" s="543">
        <f>SUMIF(106:106,E33,107:107)-SUMIF(106:106,C33,107:107)+100</f>
        <v>96</v>
      </c>
      <c r="G33" s="583" t="s">
        <v>3214</v>
      </c>
      <c r="H33" s="543">
        <f>SUMIF(106:106,G33,107:107)-SUMIF(106:106,C33,107:107)+100</f>
        <v>98</v>
      </c>
      <c r="I33" s="583" t="s">
        <v>3214</v>
      </c>
      <c r="J33" s="543">
        <f>SUMIF(106:106,I33,107:107)-SUMIF(106:106,C33,107:107)+100</f>
        <v>98</v>
      </c>
      <c r="K33" s="538">
        <v>2</v>
      </c>
      <c r="L33" s="2148"/>
      <c r="M33" s="2138"/>
      <c r="N33" s="2138"/>
      <c r="O33" s="2147"/>
      <c r="P33" s="3433"/>
      <c r="Q33" s="1574" t="str">
        <f t="shared" si="8"/>
        <v>临街状况</v>
      </c>
      <c r="R33" s="1575" t="s">
        <v>8</v>
      </c>
      <c r="S33" s="1576">
        <f t="shared" ref="S33:S47" si="10">F33</f>
        <v>96</v>
      </c>
      <c r="T33" s="1575" t="s">
        <v>8</v>
      </c>
      <c r="U33" s="1576">
        <f t="shared" ref="U33:U47" si="11">H33</f>
        <v>98</v>
      </c>
      <c r="V33" s="1575" t="s">
        <v>8</v>
      </c>
      <c r="W33" s="1576">
        <f t="shared" ref="W33:W47" si="12">J33</f>
        <v>98</v>
      </c>
      <c r="X33" s="1569"/>
      <c r="Y33" s="3433"/>
      <c r="Z33" s="1577" t="str">
        <f t="shared" ref="Z33:Z47" si="13">Q33</f>
        <v>临街状况</v>
      </c>
      <c r="AA33" s="1578">
        <f t="shared" si="3"/>
        <v>1.0416666666666667</v>
      </c>
      <c r="AB33" s="1578">
        <f t="shared" si="4"/>
        <v>1.0204081632653061</v>
      </c>
      <c r="AC33" s="1578">
        <f t="shared" si="5"/>
        <v>1.0204081632653061</v>
      </c>
    </row>
    <row r="34" spans="1:29" ht="27">
      <c r="A34" s="535"/>
      <c r="B34" s="581" t="s">
        <v>549</v>
      </c>
      <c r="C34" s="3148" t="s">
        <v>3275</v>
      </c>
      <c r="D34" s="566">
        <v>100</v>
      </c>
      <c r="E34" s="3235" t="s">
        <v>3246</v>
      </c>
      <c r="F34" s="562">
        <f>SUMIF(108:108,E35,109:109)-SUMIF(108:108,C35,109:109)+100</f>
        <v>98</v>
      </c>
      <c r="G34" s="3148" t="s">
        <v>3281</v>
      </c>
      <c r="H34" s="562">
        <f>SUMIF(108:108,G35,109:109)-SUMIF(108:108,C35,109:109)+100</f>
        <v>102</v>
      </c>
      <c r="I34" s="3235" t="s">
        <v>3259</v>
      </c>
      <c r="J34" s="562">
        <f>SUMIF(108:108,I35,109:109)-SUMIF(108:108,C35,109:109)+100</f>
        <v>96</v>
      </c>
      <c r="K34" s="538">
        <v>2</v>
      </c>
      <c r="L34" s="2148"/>
      <c r="M34" s="2138"/>
      <c r="N34" s="2138"/>
      <c r="O34" s="2147"/>
      <c r="P34" s="3433"/>
      <c r="Q34" s="1574" t="str">
        <f t="shared" si="8"/>
        <v>毗邻道路的类型与等级</v>
      </c>
      <c r="R34" s="1575" t="s">
        <v>8</v>
      </c>
      <c r="S34" s="1576">
        <f t="shared" si="10"/>
        <v>98</v>
      </c>
      <c r="T34" s="1575" t="s">
        <v>8</v>
      </c>
      <c r="U34" s="1576">
        <f t="shared" si="11"/>
        <v>102</v>
      </c>
      <c r="V34" s="1575" t="s">
        <v>8</v>
      </c>
      <c r="W34" s="1576">
        <f t="shared" si="12"/>
        <v>96</v>
      </c>
      <c r="X34" s="1569"/>
      <c r="Y34" s="3433"/>
      <c r="Z34" s="1577" t="str">
        <f t="shared" si="13"/>
        <v>毗邻道路的类型与等级</v>
      </c>
      <c r="AA34" s="1578">
        <f t="shared" si="3"/>
        <v>1.0204081632653061</v>
      </c>
      <c r="AB34" s="1578">
        <f t="shared" si="4"/>
        <v>0.98039215686274506</v>
      </c>
      <c r="AC34" s="1578">
        <f t="shared" si="5"/>
        <v>1.0416666666666667</v>
      </c>
    </row>
    <row r="35" spans="1:29" ht="21" thickBot="1">
      <c r="A35" s="535"/>
      <c r="B35" s="569"/>
      <c r="C35" s="557" t="s">
        <v>3215</v>
      </c>
      <c r="D35" s="560"/>
      <c r="E35" s="579" t="s">
        <v>3238</v>
      </c>
      <c r="F35" s="558"/>
      <c r="G35" s="557" t="s">
        <v>3282</v>
      </c>
      <c r="H35" s="558"/>
      <c r="I35" s="579" t="s">
        <v>3216</v>
      </c>
      <c r="J35" s="558"/>
      <c r="K35" s="584"/>
      <c r="L35" s="2148"/>
      <c r="M35" s="2138"/>
      <c r="N35" s="2138"/>
      <c r="O35" s="2147"/>
      <c r="P35" s="3433"/>
      <c r="Q35" s="1574"/>
      <c r="R35" s="1575"/>
      <c r="S35" s="1576"/>
      <c r="T35" s="1575"/>
      <c r="U35" s="1576"/>
      <c r="V35" s="1575"/>
      <c r="W35" s="1576"/>
      <c r="X35" s="1569"/>
      <c r="Y35" s="3433"/>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48"/>
      <c r="M36" s="2138"/>
      <c r="N36" s="2138"/>
      <c r="O36" s="2147"/>
      <c r="P36" s="3433"/>
      <c r="Q36" s="1574" t="str">
        <f t="shared" si="8"/>
        <v>土地级别</v>
      </c>
      <c r="R36" s="1575" t="s">
        <v>8</v>
      </c>
      <c r="S36" s="1576">
        <f t="shared" si="10"/>
        <v>100</v>
      </c>
      <c r="T36" s="1575" t="s">
        <v>8</v>
      </c>
      <c r="U36" s="1576">
        <f t="shared" si="11"/>
        <v>100</v>
      </c>
      <c r="V36" s="1575" t="s">
        <v>8</v>
      </c>
      <c r="W36" s="1576">
        <f t="shared" si="12"/>
        <v>100</v>
      </c>
      <c r="X36" s="1569"/>
      <c r="Y36" s="3433"/>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8"/>
      <c r="M37" s="2138"/>
      <c r="N37" s="2138"/>
      <c r="O37" s="2147"/>
      <c r="P37" s="3433"/>
      <c r="Q37" s="1574">
        <f t="shared" si="8"/>
        <v>0</v>
      </c>
      <c r="R37" s="1575" t="s">
        <v>8</v>
      </c>
      <c r="S37" s="1576">
        <f t="shared" si="10"/>
        <v>100</v>
      </c>
      <c r="T37" s="1575" t="s">
        <v>8</v>
      </c>
      <c r="U37" s="1576">
        <f t="shared" si="11"/>
        <v>100</v>
      </c>
      <c r="V37" s="1575" t="s">
        <v>8</v>
      </c>
      <c r="W37" s="1576">
        <f t="shared" si="12"/>
        <v>100</v>
      </c>
      <c r="X37" s="1569"/>
      <c r="Y37" s="3433"/>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8"/>
      <c r="M38" s="2138"/>
      <c r="N38" s="2138"/>
      <c r="O38" s="2147"/>
      <c r="P38" s="3434" t="s">
        <v>551</v>
      </c>
      <c r="Q38" s="1574">
        <f t="shared" si="8"/>
        <v>0</v>
      </c>
      <c r="R38" s="1575" t="s">
        <v>8</v>
      </c>
      <c r="S38" s="1576">
        <f t="shared" si="10"/>
        <v>100</v>
      </c>
      <c r="T38" s="1575" t="s">
        <v>8</v>
      </c>
      <c r="U38" s="1576">
        <f t="shared" si="11"/>
        <v>100</v>
      </c>
      <c r="V38" s="1575" t="s">
        <v>8</v>
      </c>
      <c r="W38" s="1576">
        <f t="shared" si="12"/>
        <v>100</v>
      </c>
      <c r="X38" s="1569"/>
      <c r="Y38" s="3435" t="s">
        <v>551</v>
      </c>
      <c r="Z38" s="1577">
        <f t="shared" si="13"/>
        <v>0</v>
      </c>
      <c r="AA38" s="1578">
        <f t="shared" si="3"/>
        <v>1</v>
      </c>
      <c r="AB38" s="1578">
        <f t="shared" si="4"/>
        <v>1</v>
      </c>
      <c r="AC38" s="1578">
        <f t="shared" si="5"/>
        <v>1</v>
      </c>
    </row>
    <row r="39" spans="1:29" s="1339"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6"/>
      <c r="M39" s="2138"/>
      <c r="N39" s="2138"/>
      <c r="O39" s="2149"/>
      <c r="P39" s="3435"/>
      <c r="Q39" s="1574">
        <f t="shared" si="8"/>
        <v>0</v>
      </c>
      <c r="R39" s="1579" t="s">
        <v>8</v>
      </c>
      <c r="S39" s="1580">
        <f t="shared" si="10"/>
        <v>100</v>
      </c>
      <c r="T39" s="1579" t="s">
        <v>8</v>
      </c>
      <c r="U39" s="1580">
        <f t="shared" si="11"/>
        <v>100</v>
      </c>
      <c r="V39" s="1579" t="s">
        <v>8</v>
      </c>
      <c r="W39" s="1580">
        <f t="shared" si="12"/>
        <v>100</v>
      </c>
      <c r="X39" s="1581"/>
      <c r="Y39" s="3435"/>
      <c r="Z39" s="1582">
        <f t="shared" si="13"/>
        <v>0</v>
      </c>
      <c r="AA39" s="1578">
        <f t="shared" si="3"/>
        <v>1</v>
      </c>
      <c r="AB39" s="1578">
        <f t="shared" si="4"/>
        <v>1</v>
      </c>
      <c r="AC39" s="1578">
        <f t="shared" si="5"/>
        <v>1</v>
      </c>
    </row>
    <row r="40" spans="1:29" ht="20.25">
      <c r="A40" s="2942" t="s">
        <v>2770</v>
      </c>
      <c r="B40" s="598" t="s">
        <v>553</v>
      </c>
      <c r="C40" s="599">
        <f>'数据-基础表'!A3</f>
        <v>47552.7</v>
      </c>
      <c r="D40" s="600">
        <v>100</v>
      </c>
      <c r="E40" s="599">
        <v>31033.31</v>
      </c>
      <c r="F40" s="600">
        <f>LOOKUP(E40,119:119,120:120)-LOOKUP(C40,119:119,120:120)+100</f>
        <v>98</v>
      </c>
      <c r="G40" s="599">
        <v>79751.86</v>
      </c>
      <c r="H40" s="600">
        <f>LOOKUP(G40,119:119,120:120)-LOOKUP(C40,119:119,120:120)+100</f>
        <v>102</v>
      </c>
      <c r="I40" s="601">
        <v>79190.11</v>
      </c>
      <c r="J40" s="600">
        <f>LOOKUP(I40,119:119,120:120)-LOOKUP(C40,119:119,120:120)+100</f>
        <v>102</v>
      </c>
      <c r="K40" s="584"/>
      <c r="L40" s="2148"/>
      <c r="M40" s="2138"/>
      <c r="N40" s="2138"/>
      <c r="O40" s="2147"/>
      <c r="P40" s="3435"/>
      <c r="Q40" s="1574" t="str">
        <f>B40</f>
        <v>宗地面积</v>
      </c>
      <c r="R40" s="1575" t="s">
        <v>8</v>
      </c>
      <c r="S40" s="1576">
        <f t="shared" si="10"/>
        <v>98</v>
      </c>
      <c r="T40" s="1575" t="s">
        <v>8</v>
      </c>
      <c r="U40" s="1576">
        <f t="shared" si="11"/>
        <v>102</v>
      </c>
      <c r="V40" s="1575" t="s">
        <v>8</v>
      </c>
      <c r="W40" s="1576">
        <f t="shared" si="12"/>
        <v>102</v>
      </c>
      <c r="X40" s="1569"/>
      <c r="Y40" s="3435"/>
      <c r="Z40" s="1577" t="str">
        <f t="shared" si="13"/>
        <v>宗地面积</v>
      </c>
      <c r="AA40" s="1578">
        <f t="shared" si="3"/>
        <v>1.0204081632653061</v>
      </c>
      <c r="AB40" s="1578">
        <f t="shared" si="4"/>
        <v>0.98039215686274506</v>
      </c>
      <c r="AC40" s="1578">
        <f t="shared" si="5"/>
        <v>0.98039215686274506</v>
      </c>
    </row>
    <row r="41" spans="1:29" ht="20.25">
      <c r="A41" s="597"/>
      <c r="B41" s="530" t="s">
        <v>554</v>
      </c>
      <c r="C41" s="602" t="s">
        <v>3009</v>
      </c>
      <c r="D41" s="543">
        <v>100</v>
      </c>
      <c r="E41" s="602" t="s">
        <v>3009</v>
      </c>
      <c r="F41" s="543">
        <f>SUMIF(121:121,E41,122:122)-SUMIF(121:121,C41,122:122)+100</f>
        <v>100</v>
      </c>
      <c r="G41" s="602" t="s">
        <v>3009</v>
      </c>
      <c r="H41" s="543">
        <f>SUMIF(121:121,G41,122:122)-SUMIF(121:121,C41,122:122)+100</f>
        <v>100</v>
      </c>
      <c r="I41" s="602" t="s">
        <v>3221</v>
      </c>
      <c r="J41" s="543">
        <f>SUMIF(121:121,I41,122:122)-SUMIF(121:121,C41,122:122)+100</f>
        <v>102</v>
      </c>
      <c r="K41" s="587">
        <v>2</v>
      </c>
      <c r="L41" s="2148"/>
      <c r="M41" s="2138"/>
      <c r="N41" s="2138"/>
      <c r="O41" s="2147"/>
      <c r="P41" s="3435"/>
      <c r="Q41" s="1574" t="str">
        <f t="shared" ref="Q41:Q47" si="14">B41</f>
        <v>宗地形状</v>
      </c>
      <c r="R41" s="1575" t="s">
        <v>8</v>
      </c>
      <c r="S41" s="1576">
        <f t="shared" si="10"/>
        <v>100</v>
      </c>
      <c r="T41" s="1575" t="s">
        <v>8</v>
      </c>
      <c r="U41" s="1576">
        <f t="shared" si="11"/>
        <v>100</v>
      </c>
      <c r="V41" s="1575" t="s">
        <v>8</v>
      </c>
      <c r="W41" s="1576">
        <f t="shared" si="12"/>
        <v>102</v>
      </c>
      <c r="X41" s="1569"/>
      <c r="Y41" s="3435"/>
      <c r="Z41" s="1577" t="str">
        <f t="shared" si="13"/>
        <v>宗地形状</v>
      </c>
      <c r="AA41" s="1578">
        <f t="shared" si="3"/>
        <v>1</v>
      </c>
      <c r="AB41" s="1578">
        <f t="shared" si="4"/>
        <v>1</v>
      </c>
      <c r="AC41" s="1578">
        <f t="shared" si="5"/>
        <v>0.98039215686274506</v>
      </c>
    </row>
    <row r="42" spans="1:29" ht="20.25">
      <c r="A42" s="597"/>
      <c r="B42" s="530" t="s">
        <v>555</v>
      </c>
      <c r="C42" s="602" t="s">
        <v>3013</v>
      </c>
      <c r="D42" s="543">
        <v>100</v>
      </c>
      <c r="E42" s="602" t="s">
        <v>3013</v>
      </c>
      <c r="F42" s="543">
        <f>SUMIF(123:123,E42,124:124)-SUMIF(123:123,C42,124:124)+100</f>
        <v>100</v>
      </c>
      <c r="G42" s="602" t="s">
        <v>3013</v>
      </c>
      <c r="H42" s="543">
        <f>SUMIF(123:123,G42,124:124)-SUMIF(123:123,C42,124:124)+100</f>
        <v>100</v>
      </c>
      <c r="I42" s="602" t="s">
        <v>3013</v>
      </c>
      <c r="J42" s="543">
        <f>SUMIF(123:123,I42,124:124)-SUMIF(123:123,C42,124:124)+100</f>
        <v>100</v>
      </c>
      <c r="K42" s="587">
        <v>2</v>
      </c>
      <c r="L42" s="2148"/>
      <c r="M42" s="2138"/>
      <c r="N42" s="2138"/>
      <c r="O42" s="2147"/>
      <c r="P42" s="3435"/>
      <c r="Q42" s="1574" t="str">
        <f t="shared" si="14"/>
        <v>临街宽度及深度</v>
      </c>
      <c r="R42" s="1575" t="s">
        <v>8</v>
      </c>
      <c r="S42" s="1576">
        <f t="shared" si="10"/>
        <v>100</v>
      </c>
      <c r="T42" s="1575" t="s">
        <v>8</v>
      </c>
      <c r="U42" s="1576">
        <f t="shared" si="11"/>
        <v>100</v>
      </c>
      <c r="V42" s="1575" t="s">
        <v>8</v>
      </c>
      <c r="W42" s="1576">
        <f t="shared" si="12"/>
        <v>100</v>
      </c>
      <c r="X42" s="1569"/>
      <c r="Y42" s="3435"/>
      <c r="Z42" s="1577" t="str">
        <f t="shared" si="13"/>
        <v>临街宽度及深度</v>
      </c>
      <c r="AA42" s="1578">
        <f t="shared" si="3"/>
        <v>1</v>
      </c>
      <c r="AB42" s="1578">
        <f t="shared" si="4"/>
        <v>1</v>
      </c>
      <c r="AC42" s="1578">
        <f t="shared" si="5"/>
        <v>1</v>
      </c>
    </row>
    <row r="43" spans="1:29" s="1220" customFormat="1" ht="20.25">
      <c r="A43" s="603"/>
      <c r="B43" s="1898" t="s">
        <v>2434</v>
      </c>
      <c r="C43" s="604" t="s">
        <v>3017</v>
      </c>
      <c r="D43" s="255">
        <v>100</v>
      </c>
      <c r="E43" s="604" t="s">
        <v>3017</v>
      </c>
      <c r="F43" s="543">
        <f>SUMIF(125:125,E43,126:126)-SUMIF(125:125,C43,126:126)+100</f>
        <v>100</v>
      </c>
      <c r="G43" s="604" t="s">
        <v>3017</v>
      </c>
      <c r="H43" s="543">
        <f>SUMIF(125:125,G43,126:126)-SUMIF(125:125,C43,126:126)+100</f>
        <v>100</v>
      </c>
      <c r="I43" s="604" t="s">
        <v>3017</v>
      </c>
      <c r="J43" s="543">
        <f>SUMIF(125:125,I43,126:126)-SUMIF(125:125,C43,126:126)+100</f>
        <v>100</v>
      </c>
      <c r="K43" s="587">
        <v>2</v>
      </c>
      <c r="L43" s="2141"/>
      <c r="M43" s="2138"/>
      <c r="N43" s="2138"/>
      <c r="O43" s="2143"/>
      <c r="P43" s="3435"/>
      <c r="Q43" s="1574" t="str">
        <f t="shared" si="14"/>
        <v>宗地开发程度</v>
      </c>
      <c r="R43" s="1570" t="s">
        <v>8</v>
      </c>
      <c r="S43" s="1571">
        <f t="shared" si="10"/>
        <v>100</v>
      </c>
      <c r="T43" s="1570" t="s">
        <v>8</v>
      </c>
      <c r="U43" s="1571">
        <f t="shared" si="11"/>
        <v>100</v>
      </c>
      <c r="V43" s="1570" t="s">
        <v>8</v>
      </c>
      <c r="W43" s="1571">
        <f t="shared" si="12"/>
        <v>100</v>
      </c>
      <c r="X43" s="1572"/>
      <c r="Y43" s="3435"/>
      <c r="Z43" s="1150" t="str">
        <f t="shared" si="13"/>
        <v>宗地开发程度</v>
      </c>
      <c r="AA43" s="1573">
        <f t="shared" si="3"/>
        <v>1</v>
      </c>
      <c r="AB43" s="1573">
        <f t="shared" si="4"/>
        <v>1</v>
      </c>
      <c r="AC43" s="1573">
        <f t="shared" si="5"/>
        <v>1</v>
      </c>
    </row>
    <row r="44" spans="1:29" ht="21" thickBot="1">
      <c r="A44" s="597"/>
      <c r="B44" s="530" t="s">
        <v>556</v>
      </c>
      <c r="C44" s="602" t="s">
        <v>3000</v>
      </c>
      <c r="D44" s="543">
        <v>100</v>
      </c>
      <c r="E44" s="602" t="s">
        <v>3000</v>
      </c>
      <c r="F44" s="543">
        <f>SUMIF(127:127,E44,128:128)-SUMIF(127:127,C44,128:128)+100</f>
        <v>100</v>
      </c>
      <c r="G44" s="602" t="s">
        <v>3000</v>
      </c>
      <c r="H44" s="543">
        <f>SUMIF(127:127,G44,128:128)-SUMIF(127:127,C44,128:128)+100</f>
        <v>100</v>
      </c>
      <c r="I44" s="602" t="s">
        <v>3000</v>
      </c>
      <c r="J44" s="543">
        <f>SUMIF(127:127,I44,128:128)-SUMIF(127:127,C44,128:128)+100</f>
        <v>100</v>
      </c>
      <c r="K44" s="587">
        <v>2</v>
      </c>
      <c r="L44" s="2148"/>
      <c r="M44" s="2138"/>
      <c r="N44" s="2138"/>
      <c r="O44" s="2147"/>
      <c r="P44" s="3435" t="s">
        <v>551</v>
      </c>
      <c r="Q44" s="1574" t="str">
        <f t="shared" si="14"/>
        <v>工程地质条件</v>
      </c>
      <c r="R44" s="1575" t="s">
        <v>8</v>
      </c>
      <c r="S44" s="1576">
        <f t="shared" si="10"/>
        <v>100</v>
      </c>
      <c r="T44" s="1575" t="s">
        <v>8</v>
      </c>
      <c r="U44" s="1576">
        <f t="shared" si="11"/>
        <v>100</v>
      </c>
      <c r="V44" s="1575" t="s">
        <v>8</v>
      </c>
      <c r="W44" s="1576">
        <f t="shared" si="12"/>
        <v>100</v>
      </c>
      <c r="X44" s="1569"/>
      <c r="Y44" s="3435"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8"/>
      <c r="M45" s="2138"/>
      <c r="N45" s="2138"/>
      <c r="O45" s="2147"/>
      <c r="P45" s="3435"/>
      <c r="Q45" s="1574">
        <f t="shared" si="14"/>
        <v>0</v>
      </c>
      <c r="R45" s="1575" t="s">
        <v>8</v>
      </c>
      <c r="S45" s="1576">
        <f t="shared" si="10"/>
        <v>100</v>
      </c>
      <c r="T45" s="1575" t="s">
        <v>8</v>
      </c>
      <c r="U45" s="1576">
        <f t="shared" si="11"/>
        <v>100</v>
      </c>
      <c r="V45" s="1575" t="s">
        <v>8</v>
      </c>
      <c r="W45" s="1576">
        <f t="shared" si="12"/>
        <v>100</v>
      </c>
      <c r="X45" s="1569"/>
      <c r="Y45" s="3435"/>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8"/>
      <c r="M46" s="2138"/>
      <c r="N46" s="2138"/>
      <c r="O46" s="2147"/>
      <c r="P46" s="3435"/>
      <c r="Q46" s="1574">
        <f t="shared" si="14"/>
        <v>0</v>
      </c>
      <c r="R46" s="1575" t="s">
        <v>8</v>
      </c>
      <c r="S46" s="1576">
        <f t="shared" si="10"/>
        <v>100</v>
      </c>
      <c r="T46" s="1575" t="s">
        <v>8</v>
      </c>
      <c r="U46" s="1576">
        <f t="shared" si="11"/>
        <v>100</v>
      </c>
      <c r="V46" s="1575" t="s">
        <v>8</v>
      </c>
      <c r="W46" s="1576">
        <f t="shared" si="12"/>
        <v>100</v>
      </c>
      <c r="X46" s="1569"/>
      <c r="Y46" s="3435"/>
      <c r="Z46" s="1577">
        <f t="shared" si="13"/>
        <v>0</v>
      </c>
      <c r="AA46" s="1578">
        <f t="shared" si="3"/>
        <v>1</v>
      </c>
      <c r="AB46" s="1578">
        <f t="shared" si="4"/>
        <v>1</v>
      </c>
      <c r="AC46" s="1578">
        <f t="shared" si="5"/>
        <v>1</v>
      </c>
    </row>
    <row r="47" spans="1:29" s="1339"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6"/>
      <c r="M47" s="2138"/>
      <c r="N47" s="2138"/>
      <c r="O47" s="2149"/>
      <c r="P47" s="3435"/>
      <c r="Q47" s="1574">
        <f t="shared" si="14"/>
        <v>0</v>
      </c>
      <c r="R47" s="1579" t="s">
        <v>8</v>
      </c>
      <c r="S47" s="1580">
        <f t="shared" si="10"/>
        <v>100</v>
      </c>
      <c r="T47" s="1579" t="s">
        <v>8</v>
      </c>
      <c r="U47" s="1580">
        <f t="shared" si="11"/>
        <v>100</v>
      </c>
      <c r="V47" s="1579" t="s">
        <v>8</v>
      </c>
      <c r="W47" s="1580">
        <f t="shared" si="12"/>
        <v>100</v>
      </c>
      <c r="X47" s="1581"/>
      <c r="Y47" s="3435"/>
      <c r="Z47" s="1582">
        <f t="shared" si="13"/>
        <v>0</v>
      </c>
      <c r="AA47" s="1578">
        <f t="shared" si="3"/>
        <v>1</v>
      </c>
      <c r="AB47" s="1578">
        <f t="shared" si="4"/>
        <v>1</v>
      </c>
      <c r="AC47" s="1578">
        <f t="shared" si="5"/>
        <v>1</v>
      </c>
    </row>
    <row r="48" spans="1:29" ht="20.25">
      <c r="A48" s="610" t="s">
        <v>557</v>
      </c>
      <c r="B48" s="611" t="s">
        <v>3237</v>
      </c>
      <c r="C48" s="612" t="s">
        <v>1</v>
      </c>
      <c r="D48" s="613"/>
      <c r="E48" s="614">
        <v>9397</v>
      </c>
      <c r="F48" s="615"/>
      <c r="G48" s="616">
        <v>8685</v>
      </c>
      <c r="H48" s="617"/>
      <c r="I48" s="614">
        <v>9928</v>
      </c>
      <c r="J48" s="617"/>
      <c r="K48" s="1340"/>
      <c r="L48" s="2150"/>
      <c r="M48" s="2138"/>
      <c r="N48" s="2138"/>
      <c r="O48" s="2151"/>
      <c r="P48" s="3430" t="str">
        <f>A48</f>
        <v>成交单价</v>
      </c>
      <c r="Q48" s="3430"/>
      <c r="R48" s="3444">
        <f>E48</f>
        <v>9397</v>
      </c>
      <c r="S48" s="3444"/>
      <c r="T48" s="3444">
        <f>G48</f>
        <v>8685</v>
      </c>
      <c r="U48" s="3444"/>
      <c r="V48" s="3444">
        <f>I48</f>
        <v>9928</v>
      </c>
      <c r="W48" s="3444"/>
      <c r="X48" s="1561"/>
      <c r="Y48" s="1583"/>
      <c r="Z48" s="1561"/>
      <c r="AA48" s="1561"/>
      <c r="AB48" s="1561"/>
      <c r="AC48" s="1561"/>
    </row>
    <row r="49" spans="1:29" ht="21" thickBot="1">
      <c r="A49" s="618" t="s">
        <v>2708</v>
      </c>
      <c r="B49" s="619"/>
      <c r="C49" s="620">
        <f>R50</f>
        <v>10108</v>
      </c>
      <c r="D49" s="621"/>
      <c r="E49" s="620">
        <f>R49</f>
        <v>10617</v>
      </c>
      <c r="F49" s="622"/>
      <c r="G49" s="623">
        <f>T49</f>
        <v>9243</v>
      </c>
      <c r="H49" s="621"/>
      <c r="I49" s="620">
        <f>V49</f>
        <v>10465</v>
      </c>
      <c r="J49" s="621"/>
      <c r="K49" s="1341"/>
      <c r="L49" s="2150"/>
      <c r="M49" s="2138"/>
      <c r="N49" s="2138"/>
      <c r="O49" s="2151"/>
      <c r="P49" s="3430" t="str">
        <f>A49</f>
        <v>比较价格（元/平方米）</v>
      </c>
      <c r="Q49" s="3430"/>
      <c r="R49" s="3455">
        <f>ROUND(PRODUCT(R48,AA9:AA47),0)</f>
        <v>10617</v>
      </c>
      <c r="S49" s="3455"/>
      <c r="T49" s="3455">
        <f>ROUND(PRODUCT(T48,AB9:AB47),0)</f>
        <v>9243</v>
      </c>
      <c r="U49" s="3455"/>
      <c r="V49" s="3455">
        <f>ROUND(PRODUCT(V48,AC9:AC47),0)</f>
        <v>10465</v>
      </c>
      <c r="W49" s="3455"/>
      <c r="X49" s="1561"/>
      <c r="Y49" s="1561"/>
      <c r="Z49" s="1561"/>
      <c r="AA49" s="1561"/>
      <c r="AB49" s="1561"/>
      <c r="AC49" s="1561"/>
    </row>
    <row r="50" spans="1:29" ht="21" thickBot="1">
      <c r="A50" s="624" t="s">
        <v>2941</v>
      </c>
      <c r="B50" s="625"/>
      <c r="C50" s="626">
        <f>R50</f>
        <v>10108</v>
      </c>
      <c r="D50" s="626"/>
      <c r="E50" s="626"/>
      <c r="F50" s="626"/>
      <c r="G50" s="626"/>
      <c r="H50" s="626"/>
      <c r="I50" s="626"/>
      <c r="J50" s="626"/>
      <c r="K50" s="1342"/>
      <c r="L50" s="2150"/>
      <c r="M50" s="2138"/>
      <c r="N50" s="2138"/>
      <c r="O50" s="2151"/>
      <c r="P50" s="3452" t="str">
        <f>A50</f>
        <v>估价对象XX用房的比较价格（楼面单价，元/平方米）</v>
      </c>
      <c r="Q50" s="3453"/>
      <c r="R50" s="3454">
        <f>ROUND(AVERAGE(R49:V49),0)</f>
        <v>10108</v>
      </c>
      <c r="S50" s="3454"/>
      <c r="T50" s="3454"/>
      <c r="U50" s="3454"/>
      <c r="V50" s="3454"/>
      <c r="W50" s="3454"/>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f>IF(E48&lt;E49,E49/E48-1,E48/E49-1)</f>
        <v>0.12982866872406085</v>
      </c>
      <c r="F53" s="630" t="str">
        <f>IF(OR(E53&gt;=0.3,E53&lt;=-0.3),"超过30%","")</f>
        <v/>
      </c>
      <c r="G53" s="629">
        <f>IF(G48&lt;G49,G49/G48-1,G48/G49-1)</f>
        <v>6.424870466321253E-2</v>
      </c>
      <c r="H53" s="630" t="str">
        <f>IF(OR(G53&gt;=0.3,G53&lt;=-0.3),"超过30%","")</f>
        <v/>
      </c>
      <c r="I53" s="629">
        <f>IF(I48&lt;I49,I49/I48-1,I48/I49-1)</f>
        <v>5.4089443996776732E-2</v>
      </c>
      <c r="J53" s="630"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f>IF(E49&lt;G49,G49/E49-1,E49/G49-1)</f>
        <v>0.14865303472898406</v>
      </c>
      <c r="F54" s="630" t="str">
        <f>IF(OR(E54&gt;=0.2,E54&lt;=-0.2),"超过20%","")</f>
        <v/>
      </c>
      <c r="G54" s="629">
        <f>IF(G49&lt;I49,I49/G49-1,G49/I49-1)</f>
        <v>0.13220815752461323</v>
      </c>
      <c r="H54" s="630" t="str">
        <f>IF(OR(G54&gt;=0.2,G54&lt;=-0.2),"超过20%","")</f>
        <v/>
      </c>
      <c r="I54" s="629">
        <f>IF(I49&lt;E49,E49/I49-1,I49/E49-1)</f>
        <v>1.4524605828953652E-2</v>
      </c>
      <c r="J54" s="630"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f>IF(E48&lt;G48,G48/E48-1,E48/G48-1)</f>
        <v>8.1980426021876829E-2</v>
      </c>
      <c r="F55" s="630" t="str">
        <f>IF(OR(E55&gt;=0.3,E55&lt;=-0.3),"超过30%","")</f>
        <v/>
      </c>
      <c r="G55" s="629">
        <f>IF(G48&lt;I48,I48/G48-1,G48/I48-1)</f>
        <v>0.14312032239493377</v>
      </c>
      <c r="H55" s="630" t="str">
        <f>IF(OR(G55&gt;=0.3,G55&lt;=-0.3),"超过30%","")</f>
        <v/>
      </c>
      <c r="I55" s="629">
        <f>IF(I48&lt;E48,E48/I48-1,I48/E48-1)</f>
        <v>5.650739597743959E-2</v>
      </c>
      <c r="J55" s="630"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2" t="s">
        <v>561</v>
      </c>
      <c r="B57" s="633" t="s">
        <v>562</v>
      </c>
      <c r="C57" s="1562" t="s">
        <v>3280</v>
      </c>
      <c r="D57" s="2233" t="s">
        <v>2303</v>
      </c>
      <c r="E57" s="634" t="s">
        <v>563</v>
      </c>
      <c r="F57" s="635" t="s">
        <v>564</v>
      </c>
      <c r="G57" s="3414" t="s">
        <v>2291</v>
      </c>
      <c r="H57" s="3415"/>
      <c r="I57" s="1557" t="s">
        <v>1726</v>
      </c>
      <c r="J57" s="1557" t="str">
        <f>项目基本情况!F41</f>
        <v>广东省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6" t="s">
        <v>565</v>
      </c>
      <c r="B58" s="637">
        <f>C50</f>
        <v>10108</v>
      </c>
      <c r="C58" s="638">
        <v>1</v>
      </c>
      <c r="D58" s="2234">
        <v>1</v>
      </c>
      <c r="E58" s="638">
        <f>'数据-汇总表'!E8+'数据-汇总表'!E9</f>
        <v>109377.36</v>
      </c>
      <c r="F58" s="639">
        <f t="shared" ref="F58:F67" si="15">ROUND(B58*E58/10000,0)</f>
        <v>110559</v>
      </c>
      <c r="G58" s="3416"/>
      <c r="H58" s="3417"/>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566</v>
      </c>
      <c r="B59" s="641">
        <f>ROUND($C$50*C59*D59,0)</f>
        <v>0</v>
      </c>
      <c r="C59" s="381">
        <f t="shared" ref="C59:C67" si="16">IF($C$57="北京市系数",I59,J59)</f>
        <v>0</v>
      </c>
      <c r="D59" s="2235">
        <v>0.25</v>
      </c>
      <c r="E59" s="642">
        <v>0</v>
      </c>
      <c r="F59" s="639">
        <f t="shared" si="15"/>
        <v>0</v>
      </c>
      <c r="G59" s="3418" t="s">
        <v>2292</v>
      </c>
      <c r="H59" s="1951">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567</v>
      </c>
      <c r="B60" s="641">
        <f t="shared" ref="B60:B67" si="17">ROUND($C$50*C60*D60,0)</f>
        <v>0</v>
      </c>
      <c r="C60" s="381">
        <f t="shared" si="16"/>
        <v>0</v>
      </c>
      <c r="D60" s="2235">
        <v>0.25</v>
      </c>
      <c r="E60" s="642">
        <v>0</v>
      </c>
      <c r="F60" s="639">
        <f t="shared" si="15"/>
        <v>0</v>
      </c>
      <c r="G60" s="3418"/>
      <c r="H60" s="1951">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568</v>
      </c>
      <c r="B61" s="641">
        <f t="shared" si="17"/>
        <v>0</v>
      </c>
      <c r="C61" s="381">
        <f t="shared" si="16"/>
        <v>0</v>
      </c>
      <c r="D61" s="2235">
        <v>0.25</v>
      </c>
      <c r="E61" s="642">
        <v>0</v>
      </c>
      <c r="F61" s="639">
        <f t="shared" si="15"/>
        <v>0</v>
      </c>
      <c r="G61" s="3418"/>
      <c r="H61" s="1951">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40" t="s">
        <v>569</v>
      </c>
      <c r="B62" s="641">
        <f t="shared" si="17"/>
        <v>0</v>
      </c>
      <c r="C62" s="381">
        <f t="shared" si="16"/>
        <v>0</v>
      </c>
      <c r="D62" s="2235">
        <v>0.25</v>
      </c>
      <c r="E62" s="642">
        <v>0</v>
      </c>
      <c r="F62" s="639">
        <f t="shared" si="15"/>
        <v>0</v>
      </c>
      <c r="G62" s="3418"/>
      <c r="H62" s="1951">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2337</v>
      </c>
      <c r="B63" s="641">
        <f t="shared" si="17"/>
        <v>0</v>
      </c>
      <c r="C63" s="381">
        <f t="shared" si="16"/>
        <v>0</v>
      </c>
      <c r="D63" s="2235">
        <v>0.25</v>
      </c>
      <c r="E63" s="644">
        <f>'数据-汇总表'!E11</f>
        <v>0</v>
      </c>
      <c r="F63" s="639">
        <f t="shared" si="15"/>
        <v>0</v>
      </c>
      <c r="G63" s="1948" t="s">
        <v>2293</v>
      </c>
      <c r="H63" s="1951">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40" t="s">
        <v>570</v>
      </c>
      <c r="B64" s="641">
        <f t="shared" si="17"/>
        <v>0</v>
      </c>
      <c r="C64" s="381">
        <f t="shared" si="16"/>
        <v>0</v>
      </c>
      <c r="D64" s="2235">
        <v>0.25</v>
      </c>
      <c r="E64" s="644">
        <f>'数据-汇总表'!E12</f>
        <v>0</v>
      </c>
      <c r="F64" s="639">
        <f t="shared" si="15"/>
        <v>0</v>
      </c>
      <c r="G64" s="1949" t="s">
        <v>1681</v>
      </c>
      <c r="H64" s="1947">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40" t="s">
        <v>571</v>
      </c>
      <c r="B65" s="641">
        <f t="shared" si="17"/>
        <v>0</v>
      </c>
      <c r="C65" s="381">
        <f t="shared" si="16"/>
        <v>0</v>
      </c>
      <c r="D65" s="2235">
        <v>0.25</v>
      </c>
      <c r="E65" s="644">
        <f>'数据-汇总表'!E13</f>
        <v>14833.519999999997</v>
      </c>
      <c r="F65" s="639">
        <f t="shared" si="15"/>
        <v>0</v>
      </c>
      <c r="G65" s="1949" t="s">
        <v>926</v>
      </c>
      <c r="H65" s="1947">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40" t="s">
        <v>572</v>
      </c>
      <c r="B66" s="641">
        <f t="shared" si="17"/>
        <v>0</v>
      </c>
      <c r="C66" s="381">
        <f t="shared" si="16"/>
        <v>0</v>
      </c>
      <c r="D66" s="2235">
        <v>0.25</v>
      </c>
      <c r="E66" s="644">
        <f>'数据-汇总表'!E14</f>
        <v>0</v>
      </c>
      <c r="F66" s="639">
        <f t="shared" si="15"/>
        <v>0</v>
      </c>
      <c r="G66" s="1948" t="s">
        <v>2292</v>
      </c>
      <c r="H66" s="1951">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40" t="s">
        <v>573</v>
      </c>
      <c r="B67" s="641">
        <f t="shared" si="17"/>
        <v>0</v>
      </c>
      <c r="C67" s="381">
        <f t="shared" si="16"/>
        <v>0</v>
      </c>
      <c r="D67" s="2235">
        <v>0.25</v>
      </c>
      <c r="E67" s="644">
        <f>'数据-汇总表'!E15</f>
        <v>0</v>
      </c>
      <c r="F67" s="639">
        <f t="shared" si="15"/>
        <v>0</v>
      </c>
      <c r="G67" s="1950" t="s">
        <v>2293</v>
      </c>
      <c r="H67" s="1952">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5" t="s">
        <v>574</v>
      </c>
      <c r="B68" s="646" t="s">
        <v>17</v>
      </c>
      <c r="C68" s="646" t="s">
        <v>18</v>
      </c>
      <c r="D68" s="646" t="s">
        <v>2304</v>
      </c>
      <c r="E68" s="646">
        <f>IF(B48="楼面地价",SUM(E58:E67),'数据-汇总表'!D3)</f>
        <v>124210.88</v>
      </c>
      <c r="F68" s="647">
        <f>IF(B48="楼面地价",SUM(F58:F67),ROUND(C50*E68/10000,0))</f>
        <v>110559</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2017-6-1</v>
      </c>
      <c r="D70" s="2834">
        <f>EDATE(C70,-3)</f>
        <v>42795</v>
      </c>
      <c r="E70" s="2834">
        <f t="shared" ref="E70:N70" si="18">EDATE(D70,-3)</f>
        <v>42705</v>
      </c>
      <c r="F70" s="2834">
        <f t="shared" si="18"/>
        <v>42614</v>
      </c>
      <c r="G70" s="2834">
        <f t="shared" si="18"/>
        <v>42522</v>
      </c>
      <c r="H70" s="2834">
        <f t="shared" si="18"/>
        <v>42430</v>
      </c>
      <c r="I70" s="2834">
        <f t="shared" si="18"/>
        <v>42339</v>
      </c>
      <c r="J70" s="2834">
        <f t="shared" si="18"/>
        <v>42248</v>
      </c>
      <c r="K70" s="2834">
        <f t="shared" si="18"/>
        <v>42156</v>
      </c>
      <c r="L70" s="2834">
        <f t="shared" si="18"/>
        <v>42064</v>
      </c>
      <c r="M70" s="2834">
        <f t="shared" si="18"/>
        <v>41974</v>
      </c>
      <c r="N70" s="2834">
        <f t="shared" si="18"/>
        <v>41883</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9" t="s">
        <v>2544</v>
      </c>
      <c r="B72" s="2600"/>
      <c r="C72" s="2829" t="str">
        <f>YEAR(C70)&amp;"-"&amp;ROUNDUP(MONTH(C70)/3,0)</f>
        <v>2017-2</v>
      </c>
      <c r="D72" s="2836" t="str">
        <f>YEAR(D70)&amp;"-"&amp;ROUNDUP(MONTH(D70)/3,0)</f>
        <v>2017-1</v>
      </c>
      <c r="E72" s="2836" t="str">
        <f t="shared" ref="E72:N72" si="19">YEAR(E70)&amp;"-"&amp;ROUNDUP(MONTH(E70)/3,0)</f>
        <v>2016-4</v>
      </c>
      <c r="F72" s="2836" t="str">
        <f t="shared" si="19"/>
        <v>2016-3</v>
      </c>
      <c r="G72" s="2836" t="str">
        <f t="shared" si="19"/>
        <v>2016-2</v>
      </c>
      <c r="H72" s="2836" t="str">
        <f t="shared" si="19"/>
        <v>2016-1</v>
      </c>
      <c r="I72" s="2836" t="str">
        <f t="shared" si="19"/>
        <v>2015-4</v>
      </c>
      <c r="J72" s="2836" t="str">
        <f t="shared" si="19"/>
        <v>2015-3</v>
      </c>
      <c r="K72" s="2836" t="str">
        <f t="shared" si="19"/>
        <v>2015-2</v>
      </c>
      <c r="L72" s="2836" t="str">
        <f t="shared" si="19"/>
        <v>2015-1</v>
      </c>
      <c r="M72" s="2836" t="str">
        <f t="shared" si="19"/>
        <v>2014-4</v>
      </c>
      <c r="N72" s="2836" t="str">
        <f t="shared" si="19"/>
        <v>2014-3</v>
      </c>
      <c r="O72" s="2165"/>
      <c r="P72" s="2166"/>
      <c r="Q72" s="2167"/>
      <c r="R72" s="2167"/>
      <c r="S72" s="2167"/>
      <c r="T72" s="2167"/>
      <c r="U72" s="2167"/>
      <c r="V72" s="2167"/>
      <c r="W72" s="2167"/>
      <c r="X72" s="2167"/>
      <c r="Y72" s="2167"/>
      <c r="Z72" s="2167"/>
      <c r="AA72" s="2167"/>
      <c r="AB72" s="2167"/>
      <c r="AC72" s="2167"/>
    </row>
    <row r="73" spans="1:29" s="1220" customFormat="1" ht="27" customHeight="1">
      <c r="A73" s="2841"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733">
        <v>90</v>
      </c>
      <c r="N73" s="733">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2" t="s">
        <v>532</v>
      </c>
      <c r="B75" s="651"/>
      <c r="C75" s="663" t="s">
        <v>577</v>
      </c>
      <c r="D75" s="664"/>
      <c r="E75" s="664"/>
      <c r="F75" s="664"/>
      <c r="G75" s="664"/>
      <c r="H75" s="664"/>
      <c r="I75" s="664"/>
      <c r="J75" s="664"/>
      <c r="K75" s="664"/>
      <c r="L75" s="665"/>
      <c r="M75" s="666"/>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2"/>
      <c r="B76" s="651"/>
      <c r="C76" s="652">
        <v>100</v>
      </c>
      <c r="D76" s="653"/>
      <c r="E76" s="653"/>
      <c r="F76" s="653"/>
      <c r="G76" s="653"/>
      <c r="H76" s="653"/>
      <c r="I76" s="653"/>
      <c r="J76" s="653"/>
      <c r="K76" s="653"/>
      <c r="L76" s="653"/>
      <c r="M76" s="655"/>
      <c r="N76" s="2168"/>
      <c r="O76" s="2168"/>
      <c r="P76" s="2164"/>
      <c r="Q76" s="2164"/>
      <c r="R76" s="1995"/>
      <c r="S76" s="1995"/>
      <c r="T76" s="1995"/>
      <c r="U76" s="1995"/>
      <c r="V76" s="1995"/>
      <c r="W76" s="1995"/>
      <c r="X76" s="1995"/>
      <c r="Y76" s="1995"/>
      <c r="Z76" s="1995"/>
      <c r="AA76" s="1995"/>
      <c r="AB76" s="1995"/>
      <c r="AC76" s="1995"/>
    </row>
    <row r="77" spans="1:29">
      <c r="A77" s="667" t="s">
        <v>578</v>
      </c>
      <c r="B77" s="668" t="s">
        <v>535</v>
      </c>
      <c r="C77" s="3145" t="s">
        <v>2997</v>
      </c>
      <c r="D77" s="3145" t="s">
        <v>2998</v>
      </c>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74">
        <v>100</v>
      </c>
      <c r="D78" s="674">
        <v>102</v>
      </c>
      <c r="E78" s="674"/>
      <c r="F78" s="674"/>
      <c r="G78" s="674"/>
      <c r="H78" s="674"/>
      <c r="I78" s="674"/>
      <c r="J78" s="674"/>
      <c r="K78" s="674"/>
      <c r="L78" s="674"/>
      <c r="M78" s="675"/>
      <c r="N78" s="2172"/>
      <c r="O78" s="2172"/>
      <c r="P78" s="2171"/>
      <c r="Q78" s="2164"/>
      <c r="R78" s="2151"/>
      <c r="S78" s="2151"/>
      <c r="T78" s="2151"/>
      <c r="U78" s="2151"/>
      <c r="V78" s="2151"/>
      <c r="W78" s="2151"/>
      <c r="X78" s="2151"/>
      <c r="Y78" s="2151"/>
      <c r="Z78" s="2151"/>
      <c r="AA78" s="2151"/>
      <c r="AB78" s="2151"/>
      <c r="AC78" s="2151"/>
    </row>
    <row r="79" spans="1:29" ht="27.75" thickTop="1">
      <c r="A79" s="672"/>
      <c r="B79" s="676" t="s">
        <v>538</v>
      </c>
      <c r="C79" s="677"/>
      <c r="D79" s="677"/>
      <c r="E79" s="677"/>
      <c r="F79" s="677"/>
      <c r="G79" s="677"/>
      <c r="H79" s="677"/>
      <c r="I79" s="677"/>
      <c r="J79" s="677"/>
      <c r="K79" s="678"/>
      <c r="L79" s="679"/>
      <c r="M79" s="680"/>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c r="D80" s="682"/>
      <c r="E80" s="682"/>
      <c r="F80" s="682"/>
      <c r="G80" s="682"/>
      <c r="H80" s="682"/>
      <c r="I80" s="682"/>
      <c r="J80" s="682"/>
      <c r="K80" s="682"/>
      <c r="L80" s="682"/>
      <c r="M80" s="683"/>
      <c r="N80" s="2172"/>
      <c r="O80" s="2172"/>
      <c r="P80" s="2171"/>
      <c r="Q80" s="2164"/>
      <c r="R80" s="2151"/>
      <c r="S80" s="2151"/>
      <c r="T80" s="2151"/>
      <c r="U80" s="2151"/>
      <c r="V80" s="2151"/>
      <c r="W80" s="2151"/>
      <c r="X80" s="2151"/>
      <c r="Y80" s="2151"/>
      <c r="Z80" s="2151"/>
      <c r="AA80" s="2151"/>
      <c r="AB80" s="2151"/>
      <c r="AC80" s="2151"/>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2"/>
      <c r="B82" s="686"/>
      <c r="C82" s="544">
        <v>0</v>
      </c>
      <c r="D82" s="544">
        <v>1</v>
      </c>
      <c r="E82" s="544">
        <v>2</v>
      </c>
      <c r="F82" s="544">
        <v>3</v>
      </c>
      <c r="G82" s="544">
        <v>4</v>
      </c>
      <c r="H82" s="544"/>
      <c r="I82" s="544"/>
      <c r="J82" s="544"/>
      <c r="K82" s="687"/>
      <c r="L82" s="688"/>
      <c r="M82" s="689"/>
      <c r="N82" s="2170"/>
      <c r="O82" s="2170"/>
      <c r="P82" s="2171"/>
      <c r="Q82" s="2164"/>
      <c r="R82" s="2151"/>
      <c r="S82" s="2151"/>
      <c r="T82" s="2151"/>
      <c r="U82" s="2151"/>
      <c r="V82" s="2151"/>
      <c r="W82" s="2151"/>
      <c r="X82" s="2151"/>
      <c r="Y82" s="2151"/>
      <c r="Z82" s="2151"/>
      <c r="AA82" s="2151"/>
      <c r="AB82" s="2151"/>
      <c r="AC82" s="2151"/>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90"/>
      <c r="B84" s="676" t="str">
        <f>B14</f>
        <v>配建</v>
      </c>
      <c r="C84" s="691"/>
      <c r="D84" s="1376"/>
      <c r="E84" s="1377"/>
      <c r="F84" s="691"/>
      <c r="G84" s="691"/>
      <c r="H84" s="692"/>
      <c r="I84" s="692"/>
      <c r="J84" s="692"/>
      <c r="K84" s="692"/>
      <c r="L84" s="693"/>
      <c r="M84" s="6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2"/>
      <c r="O85" s="2172"/>
      <c r="P85" s="2174"/>
      <c r="Q85" s="2175"/>
      <c r="R85" s="2176"/>
      <c r="S85" s="2176"/>
      <c r="T85" s="2176"/>
      <c r="U85" s="2176"/>
      <c r="V85" s="2176"/>
      <c r="W85" s="2176"/>
      <c r="X85" s="2176"/>
      <c r="Y85" s="2176"/>
      <c r="Z85" s="2176"/>
      <c r="AA85" s="2176"/>
      <c r="AB85" s="2176"/>
      <c r="AC85" s="2176"/>
    </row>
    <row r="86" spans="1:29" s="1339" customFormat="1" ht="15.75" thickTop="1">
      <c r="A86" s="690"/>
      <c r="B86" s="676">
        <f>B15</f>
        <v>0</v>
      </c>
      <c r="C86" s="691"/>
      <c r="D86" s="691"/>
      <c r="E86" s="691"/>
      <c r="F86" s="691"/>
      <c r="G86" s="691"/>
      <c r="H86" s="692"/>
      <c r="I86" s="692"/>
      <c r="J86" s="692"/>
      <c r="K86" s="692"/>
      <c r="L86" s="693"/>
      <c r="M86" s="694"/>
      <c r="N86" s="2173"/>
      <c r="O86" s="2173"/>
      <c r="P86" s="2177"/>
      <c r="Q86" s="2178"/>
      <c r="R86" s="2176"/>
      <c r="S86" s="2176"/>
      <c r="T86" s="2176"/>
      <c r="U86" s="2176"/>
      <c r="V86" s="2176"/>
      <c r="W86" s="2176"/>
      <c r="X86" s="2176"/>
      <c r="Y86" s="2176"/>
      <c r="Z86" s="2176"/>
      <c r="AA86" s="2176"/>
      <c r="AB86" s="2176"/>
      <c r="AC86" s="2176"/>
    </row>
    <row r="87" spans="1:29" s="1339" customFormat="1" ht="15.75" thickBot="1">
      <c r="A87" s="690"/>
      <c r="B87" s="681"/>
      <c r="C87" s="695"/>
      <c r="D87" s="695"/>
      <c r="E87" s="695"/>
      <c r="F87" s="695"/>
      <c r="G87" s="695"/>
      <c r="H87" s="696"/>
      <c r="I87" s="696"/>
      <c r="J87" s="696"/>
      <c r="K87" s="696"/>
      <c r="L87" s="696"/>
      <c r="M87" s="697"/>
      <c r="N87" s="2173"/>
      <c r="O87" s="2173"/>
      <c r="P87" s="2174"/>
      <c r="Q87" s="2175"/>
      <c r="R87" s="2176"/>
      <c r="S87" s="2176"/>
      <c r="T87" s="2176"/>
      <c r="U87" s="2176"/>
      <c r="V87" s="2176"/>
      <c r="W87" s="2176"/>
      <c r="X87" s="2176"/>
      <c r="Y87" s="2176"/>
      <c r="Z87" s="2176"/>
      <c r="AA87" s="2176"/>
      <c r="AB87" s="2176"/>
      <c r="AC87" s="2176"/>
    </row>
    <row r="88" spans="1:29" s="1339" customFormat="1" ht="15.75" thickTop="1">
      <c r="A88" s="690"/>
      <c r="B88" s="684">
        <f>B16</f>
        <v>0</v>
      </c>
      <c r="C88" s="664"/>
      <c r="D88" s="664"/>
      <c r="E88" s="664"/>
      <c r="F88" s="664"/>
      <c r="G88" s="664"/>
      <c r="H88" s="698"/>
      <c r="I88" s="698"/>
      <c r="J88" s="698"/>
      <c r="K88" s="698"/>
      <c r="L88" s="699"/>
      <c r="M88" s="700"/>
      <c r="N88" s="2173"/>
      <c r="O88" s="2173"/>
      <c r="P88" s="2179"/>
      <c r="Q88" s="2175"/>
      <c r="R88" s="2176"/>
      <c r="S88" s="2176"/>
      <c r="T88" s="2176"/>
      <c r="U88" s="2176"/>
      <c r="V88" s="2176"/>
      <c r="W88" s="2176"/>
      <c r="X88" s="2176"/>
      <c r="Y88" s="2176"/>
      <c r="Z88" s="2176"/>
      <c r="AA88" s="2176"/>
      <c r="AB88" s="2176"/>
      <c r="AC88" s="2176"/>
    </row>
    <row r="89" spans="1:29" s="1339" customFormat="1" ht="15.75" thickBot="1">
      <c r="A89" s="701"/>
      <c r="B89" s="702"/>
      <c r="C89" s="703"/>
      <c r="D89" s="703"/>
      <c r="E89" s="703"/>
      <c r="F89" s="703"/>
      <c r="G89" s="703"/>
      <c r="H89" s="704"/>
      <c r="I89" s="704"/>
      <c r="J89" s="704"/>
      <c r="K89" s="704"/>
      <c r="L89" s="704"/>
      <c r="M89" s="705"/>
      <c r="N89" s="2173"/>
      <c r="O89" s="2173"/>
      <c r="P89" s="2174"/>
      <c r="Q89" s="2175"/>
      <c r="R89" s="2176"/>
      <c r="S89" s="2176"/>
      <c r="T89" s="2176"/>
      <c r="U89" s="2176"/>
      <c r="V89" s="2176"/>
      <c r="W89" s="2176"/>
      <c r="X89" s="2176"/>
      <c r="Y89" s="2176"/>
      <c r="Z89" s="2176"/>
      <c r="AA89" s="2176"/>
      <c r="AB89" s="2176"/>
      <c r="AC89" s="2176"/>
    </row>
    <row r="90" spans="1:29">
      <c r="A90" s="667" t="s">
        <v>540</v>
      </c>
      <c r="B90" s="668" t="s">
        <v>579</v>
      </c>
      <c r="C90" s="706" t="s">
        <v>580</v>
      </c>
      <c r="D90" s="706" t="s">
        <v>581</v>
      </c>
      <c r="E90" s="706" t="s">
        <v>582</v>
      </c>
      <c r="F90" s="706" t="s">
        <v>583</v>
      </c>
      <c r="G90" s="706" t="s">
        <v>584</v>
      </c>
      <c r="H90" s="707"/>
      <c r="I90" s="707"/>
      <c r="J90" s="707"/>
      <c r="K90" s="708"/>
      <c r="L90" s="709"/>
      <c r="M90" s="710"/>
      <c r="N90" s="2170"/>
      <c r="O90" s="2170"/>
      <c r="P90" s="2180"/>
      <c r="Q90" s="2164"/>
      <c r="R90" s="2151"/>
      <c r="S90" s="2151"/>
      <c r="T90" s="2151"/>
      <c r="U90" s="2151"/>
      <c r="V90" s="2151"/>
      <c r="W90" s="2151"/>
      <c r="X90" s="2151"/>
      <c r="Y90" s="2151"/>
      <c r="Z90" s="2151"/>
      <c r="AA90" s="2151"/>
      <c r="AB90" s="2151"/>
      <c r="AC90" s="2151"/>
    </row>
    <row r="91" spans="1:29" ht="15.75" thickBot="1">
      <c r="A91" s="672"/>
      <c r="B91" s="681"/>
      <c r="C91" s="682">
        <v>100</v>
      </c>
      <c r="D91" s="682">
        <f>C91-$K17</f>
        <v>98</v>
      </c>
      <c r="E91" s="682">
        <f>D91-$K17</f>
        <v>96</v>
      </c>
      <c r="F91" s="682">
        <f>E91-$K17</f>
        <v>94</v>
      </c>
      <c r="G91" s="682">
        <f>F91-$K17</f>
        <v>92</v>
      </c>
      <c r="H91" s="682"/>
      <c r="I91" s="682"/>
      <c r="J91" s="682"/>
      <c r="K91" s="682"/>
      <c r="L91" s="682"/>
      <c r="M91" s="683"/>
      <c r="N91" s="2172"/>
      <c r="O91" s="2172"/>
      <c r="P91" s="2171"/>
      <c r="Q91" s="2164"/>
      <c r="R91" s="2151"/>
      <c r="S91" s="2151"/>
      <c r="T91" s="2151"/>
      <c r="U91" s="2151"/>
      <c r="V91" s="2151"/>
      <c r="W91" s="2151"/>
      <c r="X91" s="2151"/>
      <c r="Y91" s="2151"/>
      <c r="Z91" s="2151"/>
      <c r="AA91" s="2151"/>
      <c r="AB91" s="2151"/>
      <c r="AC91" s="2151"/>
    </row>
    <row r="92" spans="1:29" ht="15.75" thickTop="1">
      <c r="A92" s="672"/>
      <c r="B92" s="676" t="s">
        <v>585</v>
      </c>
      <c r="C92" s="711" t="s">
        <v>580</v>
      </c>
      <c r="D92" s="711" t="s">
        <v>581</v>
      </c>
      <c r="E92" s="711" t="s">
        <v>582</v>
      </c>
      <c r="F92" s="711" t="s">
        <v>583</v>
      </c>
      <c r="G92" s="711" t="s">
        <v>584</v>
      </c>
      <c r="H92" s="677"/>
      <c r="I92" s="677"/>
      <c r="J92" s="677"/>
      <c r="K92" s="678"/>
      <c r="L92" s="679"/>
      <c r="M92" s="680"/>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82">
        <v>100</v>
      </c>
      <c r="D93" s="682">
        <f>C93-$K19</f>
        <v>98</v>
      </c>
      <c r="E93" s="682">
        <f>D93-$K19</f>
        <v>96</v>
      </c>
      <c r="F93" s="682">
        <f>E93-$K19</f>
        <v>94</v>
      </c>
      <c r="G93" s="682">
        <f>F93-$K19</f>
        <v>92</v>
      </c>
      <c r="H93" s="682"/>
      <c r="I93" s="682"/>
      <c r="J93" s="682"/>
      <c r="K93" s="682"/>
      <c r="L93" s="682"/>
      <c r="M93" s="683"/>
      <c r="N93" s="2172"/>
      <c r="O93" s="2172"/>
      <c r="P93" s="2171"/>
      <c r="Q93" s="2164"/>
      <c r="R93" s="2151"/>
      <c r="S93" s="2151"/>
      <c r="T93" s="2151"/>
      <c r="U93" s="2151"/>
      <c r="V93" s="2151"/>
      <c r="W93" s="2151"/>
      <c r="X93" s="2151"/>
      <c r="Y93" s="2151"/>
      <c r="Z93" s="2151"/>
      <c r="AA93" s="2151"/>
      <c r="AB93" s="2151"/>
      <c r="AC93" s="2151"/>
    </row>
    <row r="94" spans="1:29" ht="15.75" thickTop="1">
      <c r="A94" s="672"/>
      <c r="B94" s="676" t="s">
        <v>586</v>
      </c>
      <c r="C94" s="711" t="s">
        <v>580</v>
      </c>
      <c r="D94" s="711" t="s">
        <v>581</v>
      </c>
      <c r="E94" s="711" t="s">
        <v>582</v>
      </c>
      <c r="F94" s="711" t="s">
        <v>583</v>
      </c>
      <c r="G94" s="711" t="s">
        <v>584</v>
      </c>
      <c r="H94" s="677"/>
      <c r="I94" s="677"/>
      <c r="J94" s="677"/>
      <c r="K94" s="678"/>
      <c r="L94" s="679"/>
      <c r="M94" s="680"/>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2"/>
      <c r="O95" s="2172"/>
      <c r="P95" s="2171"/>
      <c r="Q95" s="2164"/>
      <c r="R95" s="2151"/>
      <c r="S95" s="2151"/>
      <c r="T95" s="2151"/>
      <c r="U95" s="2151"/>
      <c r="V95" s="2151"/>
      <c r="W95" s="2151"/>
      <c r="X95" s="2151"/>
      <c r="Y95" s="2151"/>
      <c r="Z95" s="2151"/>
      <c r="AA95" s="2151"/>
      <c r="AB95" s="2151"/>
      <c r="AC95" s="2151"/>
    </row>
    <row r="96" spans="1:29" ht="15.75" thickTop="1">
      <c r="A96" s="672"/>
      <c r="B96" s="676" t="s">
        <v>587</v>
      </c>
      <c r="C96" s="711" t="s">
        <v>580</v>
      </c>
      <c r="D96" s="711" t="s">
        <v>581</v>
      </c>
      <c r="E96" s="711" t="s">
        <v>582</v>
      </c>
      <c r="F96" s="711" t="s">
        <v>583</v>
      </c>
      <c r="G96" s="711" t="s">
        <v>584</v>
      </c>
      <c r="H96" s="677"/>
      <c r="I96" s="677"/>
      <c r="J96" s="677"/>
      <c r="K96" s="678"/>
      <c r="L96" s="679"/>
      <c r="M96" s="680"/>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82">
        <v>100</v>
      </c>
      <c r="D97" s="682">
        <f>C97-$K23</f>
        <v>98</v>
      </c>
      <c r="E97" s="682">
        <f>D97-$K23</f>
        <v>96</v>
      </c>
      <c r="F97" s="682">
        <f>E97-$K23</f>
        <v>94</v>
      </c>
      <c r="G97" s="682">
        <f>F97-$K23</f>
        <v>92</v>
      </c>
      <c r="H97" s="682"/>
      <c r="I97" s="682"/>
      <c r="J97" s="682"/>
      <c r="K97" s="682"/>
      <c r="L97" s="682"/>
      <c r="M97" s="683"/>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2"/>
      <c r="B98" s="676" t="s">
        <v>588</v>
      </c>
      <c r="C98" s="711" t="s">
        <v>580</v>
      </c>
      <c r="D98" s="711" t="s">
        <v>581</v>
      </c>
      <c r="E98" s="711" t="s">
        <v>582</v>
      </c>
      <c r="F98" s="711" t="s">
        <v>583</v>
      </c>
      <c r="G98" s="711" t="s">
        <v>584</v>
      </c>
      <c r="H98" s="711"/>
      <c r="I98" s="711"/>
      <c r="J98" s="711"/>
      <c r="K98" s="711"/>
      <c r="L98" s="713"/>
      <c r="M98" s="714"/>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2"/>
      <c r="B99" s="681"/>
      <c r="C99" s="715">
        <v>100</v>
      </c>
      <c r="D99" s="682">
        <f>C99-$K25</f>
        <v>98</v>
      </c>
      <c r="E99" s="682">
        <f>D99-$K25</f>
        <v>96</v>
      </c>
      <c r="F99" s="682">
        <f>E99-$K25</f>
        <v>94</v>
      </c>
      <c r="G99" s="682">
        <f>F99-$K25</f>
        <v>92</v>
      </c>
      <c r="H99" s="682"/>
      <c r="I99" s="682"/>
      <c r="J99" s="682"/>
      <c r="K99" s="682"/>
      <c r="L99" s="682"/>
      <c r="M99" s="683"/>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2"/>
      <c r="B100" s="676" t="s">
        <v>589</v>
      </c>
      <c r="C100" s="706" t="s">
        <v>580</v>
      </c>
      <c r="D100" s="706" t="s">
        <v>581</v>
      </c>
      <c r="E100" s="706" t="s">
        <v>582</v>
      </c>
      <c r="F100" s="706" t="s">
        <v>583</v>
      </c>
      <c r="G100" s="706" t="s">
        <v>584</v>
      </c>
      <c r="H100" s="711"/>
      <c r="I100" s="711"/>
      <c r="J100" s="711"/>
      <c r="K100" s="711"/>
      <c r="L100" s="711"/>
      <c r="M100" s="714"/>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90"/>
      <c r="B102" s="1899" t="s">
        <v>2560</v>
      </c>
      <c r="C102" s="706" t="s">
        <v>580</v>
      </c>
      <c r="D102" s="706" t="s">
        <v>581</v>
      </c>
      <c r="E102" s="706" t="s">
        <v>582</v>
      </c>
      <c r="F102" s="706" t="s">
        <v>583</v>
      </c>
      <c r="G102" s="706" t="s">
        <v>584</v>
      </c>
      <c r="H102" s="716"/>
      <c r="I102" s="716"/>
      <c r="J102" s="716"/>
      <c r="K102" s="716"/>
      <c r="L102" s="717"/>
      <c r="M102" s="718"/>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90"/>
      <c r="B104" s="2628" t="s">
        <v>2562</v>
      </c>
      <c r="C104" s="2629" t="s">
        <v>2563</v>
      </c>
      <c r="D104" s="2629" t="s">
        <v>2564</v>
      </c>
      <c r="E104" s="2629" t="s">
        <v>2565</v>
      </c>
      <c r="F104" s="2629" t="s">
        <v>2566</v>
      </c>
      <c r="G104" s="2629" t="s">
        <v>2567</v>
      </c>
      <c r="H104" s="716"/>
      <c r="I104" s="716"/>
      <c r="J104" s="716"/>
      <c r="K104" s="716"/>
      <c r="L104" s="716"/>
      <c r="M104" s="718"/>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90"/>
      <c r="B105" s="684"/>
      <c r="C105" s="682">
        <v>100</v>
      </c>
      <c r="D105" s="682">
        <f>C105-$K31</f>
        <v>98</v>
      </c>
      <c r="E105" s="682">
        <f>D105-$K31</f>
        <v>96</v>
      </c>
      <c r="F105" s="682">
        <f>E105-$K31</f>
        <v>94</v>
      </c>
      <c r="G105" s="682">
        <f>F105-$K31</f>
        <v>92</v>
      </c>
      <c r="H105" s="686"/>
      <c r="I105" s="686"/>
      <c r="J105" s="686"/>
      <c r="K105" s="686"/>
      <c r="L105" s="686"/>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0"/>
      <c r="O106" s="2170"/>
      <c r="P106" s="2171"/>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2"/>
      <c r="B108" s="676" t="s">
        <v>549</v>
      </c>
      <c r="C108" s="3146" t="s">
        <v>3002</v>
      </c>
      <c r="D108" s="3146" t="s">
        <v>3003</v>
      </c>
      <c r="E108" s="3146" t="s">
        <v>3004</v>
      </c>
      <c r="F108" s="3146" t="s">
        <v>3005</v>
      </c>
      <c r="G108" s="3146" t="s">
        <v>3006</v>
      </c>
      <c r="H108" s="721"/>
      <c r="I108" s="721"/>
      <c r="J108" s="721"/>
      <c r="K108" s="722"/>
      <c r="L108" s="723"/>
      <c r="M108" s="724"/>
      <c r="N108" s="2170"/>
      <c r="O108" s="2170"/>
      <c r="P108" s="2171"/>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2"/>
      <c r="B110" s="676" t="s">
        <v>550</v>
      </c>
      <c r="C110" s="721"/>
      <c r="D110" s="721"/>
      <c r="E110" s="721"/>
      <c r="F110" s="721"/>
      <c r="G110" s="721"/>
      <c r="H110" s="721"/>
      <c r="I110" s="721"/>
      <c r="J110" s="721"/>
      <c r="K110" s="722"/>
      <c r="L110" s="723"/>
      <c r="M110" s="72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2"/>
      <c r="B112" s="684">
        <f>B37</f>
        <v>0</v>
      </c>
      <c r="C112" s="691"/>
      <c r="D112" s="691"/>
      <c r="E112" s="691"/>
      <c r="F112" s="691"/>
      <c r="G112" s="725"/>
      <c r="H112" s="725"/>
      <c r="I112" s="725"/>
      <c r="J112" s="725"/>
      <c r="K112" s="726"/>
      <c r="L112" s="727"/>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702"/>
      <c r="C113" s="695"/>
      <c r="D113" s="695"/>
      <c r="E113" s="695"/>
      <c r="F113" s="695"/>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ht="15" thickTop="1">
      <c r="A114" s="590"/>
      <c r="B114" s="676">
        <f>B38</f>
        <v>0</v>
      </c>
      <c r="C114" s="664"/>
      <c r="D114" s="664"/>
      <c r="E114" s="664"/>
      <c r="F114" s="664"/>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703"/>
      <c r="D115" s="703"/>
      <c r="E115" s="703"/>
      <c r="F115" s="703"/>
      <c r="G115" s="674"/>
      <c r="H115" s="674"/>
      <c r="I115" s="674"/>
      <c r="J115" s="674"/>
      <c r="K115" s="674"/>
      <c r="L115" s="674"/>
      <c r="M115" s="675"/>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31"/>
      <c r="B116" s="732">
        <f>B39</f>
        <v>0</v>
      </c>
      <c r="C116" s="733"/>
      <c r="D116" s="733"/>
      <c r="E116" s="733"/>
      <c r="F116" s="733"/>
      <c r="G116" s="733"/>
      <c r="H116" s="733"/>
      <c r="I116" s="733"/>
      <c r="J116" s="734"/>
      <c r="K116" s="734"/>
      <c r="L116" s="735"/>
      <c r="M116" s="736"/>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90"/>
      <c r="B117" s="684"/>
      <c r="C117" s="653"/>
      <c r="D117" s="595"/>
      <c r="E117" s="595"/>
      <c r="F117" s="595"/>
      <c r="G117" s="595"/>
      <c r="H117" s="595"/>
      <c r="I117" s="595"/>
      <c r="J117" s="595"/>
      <c r="K117" s="595"/>
      <c r="L117" s="595"/>
      <c r="M117" s="737"/>
      <c r="N117" s="2172"/>
      <c r="O117" s="2172"/>
      <c r="P117" s="2174"/>
      <c r="Q117" s="2175"/>
      <c r="R117" s="2176"/>
      <c r="S117" s="2176"/>
      <c r="T117" s="2176"/>
      <c r="U117" s="2176"/>
      <c r="V117" s="2176"/>
      <c r="W117" s="2176"/>
      <c r="X117" s="2176"/>
      <c r="Y117" s="2176"/>
      <c r="Z117" s="2176"/>
      <c r="AA117" s="2176"/>
      <c r="AB117" s="2176"/>
      <c r="AC117" s="2176"/>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2"/>
      <c r="B119" s="684"/>
      <c r="C119" s="733">
        <v>0</v>
      </c>
      <c r="D119" s="733">
        <v>20000</v>
      </c>
      <c r="E119" s="733">
        <v>40000</v>
      </c>
      <c r="F119" s="733">
        <v>60000</v>
      </c>
      <c r="G119" s="733">
        <v>80000</v>
      </c>
      <c r="H119" s="733"/>
      <c r="I119" s="733"/>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2"/>
      <c r="B120" s="681"/>
      <c r="C120" s="703">
        <v>100</v>
      </c>
      <c r="D120" s="729">
        <v>102</v>
      </c>
      <c r="E120" s="703">
        <v>104</v>
      </c>
      <c r="F120" s="729">
        <v>106</v>
      </c>
      <c r="G120" s="703">
        <v>108</v>
      </c>
      <c r="H120" s="729"/>
      <c r="I120" s="729"/>
      <c r="J120" s="729"/>
      <c r="K120" s="729"/>
      <c r="L120" s="729"/>
      <c r="M120" s="730"/>
      <c r="N120" s="2172"/>
      <c r="O120" s="2172"/>
      <c r="P120" s="2171"/>
      <c r="Q120" s="2164"/>
      <c r="R120" s="2151"/>
      <c r="S120" s="2151"/>
      <c r="T120" s="2151"/>
      <c r="U120" s="2151"/>
      <c r="V120" s="2151"/>
      <c r="W120" s="2151"/>
      <c r="X120" s="2151"/>
      <c r="Y120" s="2151"/>
      <c r="Z120" s="2151"/>
      <c r="AA120" s="2151"/>
      <c r="AB120" s="2151"/>
      <c r="AC120" s="2151"/>
    </row>
    <row r="121" spans="1:29" ht="15" thickTop="1">
      <c r="A121" s="738"/>
      <c r="B121" s="676" t="s">
        <v>595</v>
      </c>
      <c r="C121" s="3147" t="s">
        <v>3007</v>
      </c>
      <c r="D121" s="3147" t="s">
        <v>3008</v>
      </c>
      <c r="E121" s="3147" t="s">
        <v>3010</v>
      </c>
      <c r="F121" s="3147" t="s">
        <v>3011</v>
      </c>
      <c r="G121" s="721"/>
      <c r="H121" s="721"/>
      <c r="I121" s="721"/>
      <c r="J121" s="721"/>
      <c r="K121" s="722"/>
      <c r="L121" s="723"/>
      <c r="M121" s="724"/>
      <c r="N121" s="2170"/>
      <c r="O121" s="2170"/>
      <c r="P121" s="2171"/>
      <c r="Q121" s="2164"/>
      <c r="R121" s="2151"/>
      <c r="S121" s="2151"/>
      <c r="T121" s="2151"/>
      <c r="U121" s="2151"/>
      <c r="V121" s="2151"/>
      <c r="W121" s="2151"/>
      <c r="X121" s="2151"/>
      <c r="Y121" s="2151"/>
      <c r="Z121" s="2151"/>
      <c r="AA121" s="2151"/>
      <c r="AB121" s="2151"/>
      <c r="AC121" s="2151"/>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8"/>
      <c r="B123" s="676" t="s">
        <v>596</v>
      </c>
      <c r="C123" s="3146" t="s">
        <v>3012</v>
      </c>
      <c r="D123" s="3146" t="s">
        <v>3014</v>
      </c>
      <c r="E123" s="3146" t="s">
        <v>3015</v>
      </c>
      <c r="F123" s="3147" t="s">
        <v>3016</v>
      </c>
      <c r="G123" s="721"/>
      <c r="H123" s="721"/>
      <c r="I123" s="721"/>
      <c r="J123" s="721"/>
      <c r="K123" s="722"/>
      <c r="L123" s="723"/>
      <c r="M123" s="724"/>
      <c r="N123" s="2170"/>
      <c r="O123" s="2170"/>
      <c r="P123" s="2171"/>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1"/>
      <c r="B125" s="1899" t="s">
        <v>2435</v>
      </c>
      <c r="C125" s="1376" t="s">
        <v>3019</v>
      </c>
      <c r="D125" s="1376" t="s">
        <v>3020</v>
      </c>
      <c r="E125" s="1376" t="s">
        <v>3021</v>
      </c>
      <c r="F125" s="1376" t="s">
        <v>3018</v>
      </c>
      <c r="G125" s="1376" t="s">
        <v>3022</v>
      </c>
      <c r="H125" s="721"/>
      <c r="I125" s="721"/>
      <c r="J125" s="721"/>
      <c r="K125" s="722"/>
      <c r="L125" s="723"/>
      <c r="M125" s="724"/>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8"/>
      <c r="B127" s="676" t="s">
        <v>597</v>
      </c>
      <c r="C127" s="3146" t="s">
        <v>3023</v>
      </c>
      <c r="D127" s="3146" t="s">
        <v>3024</v>
      </c>
      <c r="E127" s="3147" t="s">
        <v>3025</v>
      </c>
      <c r="F127" s="3147" t="s">
        <v>3026</v>
      </c>
      <c r="G127" s="3147" t="s">
        <v>3027</v>
      </c>
      <c r="H127" s="721"/>
      <c r="I127" s="721"/>
      <c r="J127" s="721"/>
      <c r="K127" s="722"/>
      <c r="L127" s="723"/>
      <c r="M127" s="724"/>
      <c r="N127" s="2170"/>
      <c r="O127" s="2170"/>
      <c r="P127" s="2171"/>
      <c r="Q127" s="2164"/>
      <c r="R127" s="2151"/>
      <c r="S127" s="2151"/>
      <c r="T127" s="2151"/>
      <c r="U127" s="2151"/>
      <c r="V127" s="2151"/>
      <c r="W127" s="2151"/>
      <c r="X127" s="2151"/>
      <c r="Y127" s="2151"/>
      <c r="Z127" s="2151"/>
      <c r="AA127" s="2151"/>
      <c r="AB127" s="2151"/>
      <c r="AC127" s="2151"/>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8"/>
      <c r="B129" s="676">
        <f>B45</f>
        <v>0</v>
      </c>
      <c r="C129" s="691"/>
      <c r="D129" s="691"/>
      <c r="E129" s="691"/>
      <c r="F129" s="691"/>
      <c r="G129" s="691"/>
      <c r="H129" s="721"/>
      <c r="I129" s="721"/>
      <c r="J129" s="721"/>
      <c r="K129" s="722"/>
      <c r="L129" s="723"/>
      <c r="M129" s="724"/>
      <c r="N129" s="2170"/>
      <c r="O129" s="2170"/>
      <c r="P129" s="2171"/>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171"/>
      <c r="Q130" s="2164"/>
      <c r="R130" s="2151"/>
      <c r="S130" s="2151"/>
      <c r="T130" s="2151"/>
      <c r="U130" s="2151"/>
      <c r="V130" s="2151"/>
      <c r="W130" s="2151"/>
      <c r="X130" s="2151"/>
      <c r="Y130" s="2151"/>
      <c r="Z130" s="2151"/>
      <c r="AA130" s="2151"/>
      <c r="AB130" s="2151"/>
      <c r="AC130" s="2151"/>
    </row>
    <row r="131" spans="1:29" ht="15" thickTop="1">
      <c r="A131" s="738"/>
      <c r="B131" s="676">
        <f>B46</f>
        <v>0</v>
      </c>
      <c r="C131" s="664"/>
      <c r="D131" s="664"/>
      <c r="E131" s="664"/>
      <c r="F131" s="664"/>
      <c r="G131" s="721"/>
      <c r="H131" s="721"/>
      <c r="I131" s="721"/>
      <c r="J131" s="721"/>
      <c r="K131" s="722"/>
      <c r="L131" s="723"/>
      <c r="M131" s="724"/>
      <c r="N131" s="2170"/>
      <c r="O131" s="2170"/>
      <c r="P131" s="2171"/>
      <c r="Q131" s="2164"/>
      <c r="R131" s="2151"/>
      <c r="S131" s="2151"/>
      <c r="T131" s="2151"/>
      <c r="U131" s="2151"/>
      <c r="V131" s="2151"/>
      <c r="W131" s="2151"/>
      <c r="X131" s="2151"/>
      <c r="Y131" s="2151"/>
      <c r="Z131" s="2151"/>
      <c r="AA131" s="2151"/>
      <c r="AB131" s="2151"/>
      <c r="AC131" s="2151"/>
    </row>
    <row r="132" spans="1:29" ht="15.75" thickBot="1">
      <c r="A132" s="672"/>
      <c r="B132" s="681"/>
      <c r="C132" s="703"/>
      <c r="D132" s="703"/>
      <c r="E132" s="703"/>
      <c r="F132" s="703"/>
      <c r="G132" s="674"/>
      <c r="H132" s="674"/>
      <c r="I132" s="674"/>
      <c r="J132" s="674"/>
      <c r="K132" s="674"/>
      <c r="L132" s="674"/>
      <c r="M132" s="675"/>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31"/>
      <c r="B133" s="676">
        <f>B47</f>
        <v>0</v>
      </c>
      <c r="C133" s="664"/>
      <c r="D133" s="664"/>
      <c r="E133" s="664"/>
      <c r="F133" s="664"/>
      <c r="G133" s="692"/>
      <c r="H133" s="692"/>
      <c r="I133" s="692"/>
      <c r="J133" s="692"/>
      <c r="K133" s="692"/>
      <c r="L133" s="693"/>
      <c r="M133" s="694"/>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701"/>
      <c r="B134" s="739"/>
      <c r="C134" s="703"/>
      <c r="D134" s="703"/>
      <c r="E134" s="703"/>
      <c r="F134" s="703"/>
      <c r="G134" s="729"/>
      <c r="H134" s="729"/>
      <c r="I134" s="729"/>
      <c r="J134" s="729"/>
      <c r="K134" s="729"/>
      <c r="L134" s="729"/>
      <c r="M134" s="730"/>
      <c r="N134" s="2173"/>
      <c r="O134" s="2173"/>
      <c r="P134" s="2174"/>
      <c r="Q134" s="2175"/>
      <c r="R134" s="2176"/>
      <c r="S134" s="2176"/>
      <c r="T134" s="2176"/>
      <c r="U134" s="2176"/>
      <c r="V134" s="2176"/>
      <c r="W134" s="2176"/>
      <c r="X134" s="2176"/>
      <c r="Y134" s="2176"/>
      <c r="Z134" s="2176"/>
      <c r="AA134" s="2176"/>
      <c r="AB134" s="2176"/>
      <c r="AC134" s="2176"/>
    </row>
    <row r="135" spans="1:29" s="1589"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511"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3"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1"/>
      <c r="AC3" s="431"/>
    </row>
    <row r="4" spans="1:29" s="1336"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29" s="1336"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1"/>
    </row>
    <row r="6" spans="1:29" ht="15">
      <c r="A6" s="515" t="s">
        <v>522</v>
      </c>
      <c r="B6" s="516"/>
      <c r="C6" s="3436" t="s">
        <v>523</v>
      </c>
      <c r="D6" s="3437"/>
      <c r="E6" s="3461" t="s">
        <v>524</v>
      </c>
      <c r="F6" s="3462"/>
      <c r="G6" s="3436" t="s">
        <v>525</v>
      </c>
      <c r="H6" s="3437"/>
      <c r="I6" s="3436" t="s">
        <v>526</v>
      </c>
      <c r="J6" s="3437"/>
      <c r="K6" s="517" t="s">
        <v>527</v>
      </c>
      <c r="L6" s="2139"/>
      <c r="M6" s="2140"/>
      <c r="N6" s="2140"/>
      <c r="O6" s="2140"/>
      <c r="P6" s="3438" t="s">
        <v>528</v>
      </c>
      <c r="Q6" s="3439"/>
      <c r="R6" s="3424" t="s">
        <v>524</v>
      </c>
      <c r="S6" s="3425"/>
      <c r="T6" s="3424" t="s">
        <v>525</v>
      </c>
      <c r="U6" s="3425"/>
      <c r="V6" s="3444" t="s">
        <v>526</v>
      </c>
      <c r="W6" s="3444"/>
      <c r="X6" s="1569"/>
      <c r="Y6" s="3424" t="s">
        <v>528</v>
      </c>
      <c r="Z6" s="3425"/>
      <c r="AA6" s="3419" t="s">
        <v>524</v>
      </c>
      <c r="AB6" s="3420" t="s">
        <v>525</v>
      </c>
      <c r="AC6" s="3419" t="s">
        <v>526</v>
      </c>
    </row>
    <row r="7" spans="1:29" ht="15">
      <c r="A7" s="518"/>
      <c r="B7" s="519"/>
      <c r="C7" s="3447" t="s">
        <v>2935</v>
      </c>
      <c r="D7" s="3448"/>
      <c r="E7" s="3463" t="s">
        <v>2936</v>
      </c>
      <c r="F7" s="3464"/>
      <c r="G7" s="3447" t="s">
        <v>2937</v>
      </c>
      <c r="H7" s="3448"/>
      <c r="I7" s="3447" t="s">
        <v>2938</v>
      </c>
      <c r="J7" s="3448"/>
      <c r="K7" s="517"/>
      <c r="L7" s="2139"/>
      <c r="M7" s="2140"/>
      <c r="N7" s="2140"/>
      <c r="O7" s="2140"/>
      <c r="P7" s="3440"/>
      <c r="Q7" s="3441"/>
      <c r="R7" s="3426"/>
      <c r="S7" s="3427"/>
      <c r="T7" s="3426"/>
      <c r="U7" s="3427"/>
      <c r="V7" s="3444"/>
      <c r="W7" s="3444"/>
      <c r="X7" s="1569"/>
      <c r="Y7" s="3426"/>
      <c r="Z7" s="3427"/>
      <c r="AA7" s="3420"/>
      <c r="AB7" s="3420"/>
      <c r="AC7" s="3420"/>
    </row>
    <row r="8" spans="1:29" ht="15.75" thickBot="1">
      <c r="A8" s="520"/>
      <c r="B8" s="521"/>
      <c r="C8" s="3465" t="s">
        <v>2939</v>
      </c>
      <c r="D8" s="3446"/>
      <c r="E8" s="3466" t="s">
        <v>2939</v>
      </c>
      <c r="F8" s="3467"/>
      <c r="G8" s="3465" t="s">
        <v>2939</v>
      </c>
      <c r="H8" s="3446"/>
      <c r="I8" s="3465" t="s">
        <v>2939</v>
      </c>
      <c r="J8" s="3446"/>
      <c r="K8" s="517" t="s">
        <v>529</v>
      </c>
      <c r="L8" s="2139"/>
      <c r="M8" s="2140"/>
      <c r="N8" s="2140"/>
      <c r="O8" s="2140"/>
      <c r="P8" s="3442"/>
      <c r="Q8" s="3443"/>
      <c r="R8" s="3426"/>
      <c r="S8" s="3427"/>
      <c r="T8" s="3428"/>
      <c r="U8" s="3429"/>
      <c r="V8" s="3444"/>
      <c r="W8" s="3444"/>
      <c r="X8" s="1569"/>
      <c r="Y8" s="3428"/>
      <c r="Z8" s="3429"/>
      <c r="AA8" s="3421"/>
      <c r="AB8" s="3421"/>
      <c r="AC8" s="3421"/>
    </row>
    <row r="9" spans="1:29" s="1220" customFormat="1" ht="15.75" thickBot="1">
      <c r="A9" s="2947"/>
      <c r="B9" s="2954"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22" t="s">
        <v>531</v>
      </c>
      <c r="Q9" s="3431"/>
      <c r="R9" s="1570" t="s">
        <v>8</v>
      </c>
      <c r="S9" s="1571">
        <f t="shared" ref="S9:S17" si="0">F9</f>
        <v>0</v>
      </c>
      <c r="T9" s="1570" t="s">
        <v>8</v>
      </c>
      <c r="U9" s="1571">
        <f t="shared" ref="U9:U17" si="1">H9</f>
        <v>0</v>
      </c>
      <c r="V9" s="1570" t="s">
        <v>8</v>
      </c>
      <c r="W9" s="1571">
        <f t="shared" ref="W9:W17" si="2">J9</f>
        <v>0</v>
      </c>
      <c r="X9" s="1572"/>
      <c r="Y9" s="3422" t="s">
        <v>531</v>
      </c>
      <c r="Z9" s="3423"/>
      <c r="AA9" s="1573" t="e">
        <f>D9/F9</f>
        <v>#DIV/0!</v>
      </c>
      <c r="AB9" s="1573" t="e">
        <f>D9/H9</f>
        <v>#DIV/0!</v>
      </c>
      <c r="AC9" s="1573" t="e">
        <f>D9/J9</f>
        <v>#DIV/0!</v>
      </c>
    </row>
    <row r="10" spans="1:29" s="1220"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22" t="s">
        <v>534</v>
      </c>
      <c r="Q10" s="3423"/>
      <c r="R10" s="1570" t="s">
        <v>8</v>
      </c>
      <c r="S10" s="1571">
        <f t="shared" si="0"/>
        <v>0</v>
      </c>
      <c r="T10" s="1570" t="s">
        <v>8</v>
      </c>
      <c r="U10" s="1571">
        <f t="shared" si="1"/>
        <v>0</v>
      </c>
      <c r="V10" s="1570" t="s">
        <v>8</v>
      </c>
      <c r="W10" s="1571">
        <f t="shared" si="2"/>
        <v>0</v>
      </c>
      <c r="X10" s="1572"/>
      <c r="Y10" s="3422" t="s">
        <v>534</v>
      </c>
      <c r="Z10" s="3423"/>
      <c r="AA10" s="1573" t="e">
        <f t="shared" ref="AA10:AA42" si="3">D10/F10</f>
        <v>#DIV/0!</v>
      </c>
      <c r="AB10" s="1573" t="e">
        <f t="shared" ref="AB10:AB42" si="4">D10/H10</f>
        <v>#DIV/0!</v>
      </c>
      <c r="AC10" s="1573" t="e">
        <f t="shared" ref="AC10:AC42" si="5">D10/J10</f>
        <v>#DIV/0!</v>
      </c>
    </row>
    <row r="11" spans="1:29" s="1220"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430" t="s">
        <v>536</v>
      </c>
      <c r="Q11" s="1151" t="str">
        <f t="shared" ref="Q11:Q17" si="6">B11</f>
        <v>用途</v>
      </c>
      <c r="R11" s="1570" t="s">
        <v>8</v>
      </c>
      <c r="S11" s="1571">
        <f t="shared" si="0"/>
        <v>100</v>
      </c>
      <c r="T11" s="1570" t="s">
        <v>8</v>
      </c>
      <c r="U11" s="1571">
        <f t="shared" si="1"/>
        <v>100</v>
      </c>
      <c r="V11" s="1570" t="s">
        <v>8</v>
      </c>
      <c r="W11" s="1571">
        <f t="shared" si="2"/>
        <v>100</v>
      </c>
      <c r="X11" s="1572"/>
      <c r="Y11" s="3388" t="s">
        <v>537</v>
      </c>
      <c r="Z11" s="1150" t="str">
        <f t="shared" ref="Z11:Z17" si="7">Q11</f>
        <v>用途</v>
      </c>
      <c r="AA11" s="1573">
        <f t="shared" si="3"/>
        <v>1</v>
      </c>
      <c r="AB11" s="1573">
        <f t="shared" si="4"/>
        <v>1</v>
      </c>
      <c r="AC11" s="1573">
        <f t="shared" si="5"/>
        <v>1</v>
      </c>
    </row>
    <row r="12" spans="1:29" s="1338" customFormat="1" ht="27">
      <c r="A12" s="2950"/>
      <c r="B12" s="2955" t="s">
        <v>2772</v>
      </c>
      <c r="C12" s="531"/>
      <c r="D12" s="255">
        <v>100</v>
      </c>
      <c r="E12" s="531"/>
      <c r="F12" s="255">
        <f>ROUND(100/'数据-取费表'!G16,0)</f>
        <v>102</v>
      </c>
      <c r="G12" s="531"/>
      <c r="H12" s="255">
        <f>ROUND(100/'数据-取费表'!G16,0)</f>
        <v>102</v>
      </c>
      <c r="I12" s="531"/>
      <c r="J12" s="255">
        <f>ROUND(100/'数据-取费表'!G16,0)</f>
        <v>102</v>
      </c>
      <c r="K12" s="534"/>
      <c r="L12" s="2144"/>
      <c r="M12" s="2184"/>
      <c r="N12" s="2184"/>
      <c r="O12" s="2145"/>
      <c r="P12" s="3430"/>
      <c r="Q12" s="1151" t="str">
        <f t="shared" si="6"/>
        <v>土地使用年限（年）</v>
      </c>
      <c r="R12" s="1570" t="s">
        <v>8</v>
      </c>
      <c r="S12" s="1571">
        <f t="shared" si="0"/>
        <v>102</v>
      </c>
      <c r="T12" s="1570" t="s">
        <v>8</v>
      </c>
      <c r="U12" s="1571">
        <f t="shared" si="1"/>
        <v>102</v>
      </c>
      <c r="V12" s="1570" t="s">
        <v>8</v>
      </c>
      <c r="W12" s="1571">
        <f t="shared" si="2"/>
        <v>102</v>
      </c>
      <c r="X12" s="1572"/>
      <c r="Y12" s="3388"/>
      <c r="Z12" s="1150" t="str">
        <f t="shared" si="7"/>
        <v>土地使用年限（年）</v>
      </c>
      <c r="AA12" s="1573">
        <f t="shared" si="3"/>
        <v>0.98039215686274506</v>
      </c>
      <c r="AB12" s="1573">
        <f t="shared" si="4"/>
        <v>0.98039215686274506</v>
      </c>
      <c r="AC12" s="1573">
        <f t="shared" si="5"/>
        <v>0.98039215686274506</v>
      </c>
    </row>
    <row r="13" spans="1:29" ht="15">
      <c r="A13" s="2951"/>
      <c r="B13" s="2955"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6"/>
      <c r="M13" s="2140"/>
      <c r="N13" s="2140"/>
      <c r="O13" s="2147"/>
      <c r="P13" s="3430"/>
      <c r="Q13" s="1151" t="str">
        <f t="shared" si="6"/>
        <v>容积率</v>
      </c>
      <c r="R13" s="1570" t="s">
        <v>8</v>
      </c>
      <c r="S13" s="1571" t="e">
        <f t="shared" si="0"/>
        <v>#N/A</v>
      </c>
      <c r="T13" s="1570" t="s">
        <v>8</v>
      </c>
      <c r="U13" s="1571" t="e">
        <f t="shared" si="1"/>
        <v>#N/A</v>
      </c>
      <c r="V13" s="1570" t="s">
        <v>8</v>
      </c>
      <c r="W13" s="1571" t="e">
        <f t="shared" si="2"/>
        <v>#N/A</v>
      </c>
      <c r="X13" s="1572"/>
      <c r="Y13" s="3388"/>
      <c r="Z13" s="1150" t="str">
        <f t="shared" si="7"/>
        <v>容积率</v>
      </c>
      <c r="AA13" s="1573" t="e">
        <f t="shared" si="3"/>
        <v>#N/A</v>
      </c>
      <c r="AB13" s="1573" t="e">
        <f t="shared" si="4"/>
        <v>#N/A</v>
      </c>
      <c r="AC13" s="1573" t="e">
        <f t="shared" si="5"/>
        <v>#N/A</v>
      </c>
    </row>
    <row r="14" spans="1:29" s="1220" customFormat="1" ht="15">
      <c r="A14" s="2952"/>
      <c r="B14" s="2958">
        <v>111</v>
      </c>
      <c r="C14" s="531"/>
      <c r="D14" s="541">
        <v>100</v>
      </c>
      <c r="E14" s="544"/>
      <c r="F14" s="255">
        <f>SUMIF(79:79,E14,80:80)-SUMIF(79:79,C14,80:80)+100</f>
        <v>100</v>
      </c>
      <c r="G14" s="545"/>
      <c r="H14" s="255">
        <f>SUMIF(79:79,G14,80:80)-SUMIF(79:79,C14,80:80)+100</f>
        <v>100</v>
      </c>
      <c r="I14" s="544"/>
      <c r="J14" s="255">
        <f>SUMIF(79:79,I14,80:80)-SUMIF(79:79,C14,80:80)+100</f>
        <v>100</v>
      </c>
      <c r="K14" s="534"/>
      <c r="L14" s="2141"/>
      <c r="M14" s="2142"/>
      <c r="N14" s="2142"/>
      <c r="O14" s="2143"/>
      <c r="P14" s="3430"/>
      <c r="Q14" s="1151">
        <f t="shared" si="6"/>
        <v>111</v>
      </c>
      <c r="R14" s="1570" t="s">
        <v>8</v>
      </c>
      <c r="S14" s="1571">
        <f t="shared" si="0"/>
        <v>100</v>
      </c>
      <c r="T14" s="1570" t="s">
        <v>8</v>
      </c>
      <c r="U14" s="1571">
        <f t="shared" si="1"/>
        <v>100</v>
      </c>
      <c r="V14" s="1570" t="s">
        <v>8</v>
      </c>
      <c r="W14" s="1571">
        <f t="shared" si="2"/>
        <v>100</v>
      </c>
      <c r="X14" s="1572"/>
      <c r="Y14" s="3388"/>
      <c r="Z14" s="1150">
        <f t="shared" si="7"/>
        <v>111</v>
      </c>
      <c r="AA14" s="1573">
        <f>D14/F14</f>
        <v>1</v>
      </c>
      <c r="AB14" s="1573">
        <f>D14/H14</f>
        <v>1</v>
      </c>
      <c r="AC14" s="1573">
        <f>D14/J14</f>
        <v>1</v>
      </c>
    </row>
    <row r="15" spans="1:29" ht="15">
      <c r="A15" s="2952"/>
      <c r="B15" s="2958">
        <v>111</v>
      </c>
      <c r="C15" s="542"/>
      <c r="D15" s="543">
        <v>100</v>
      </c>
      <c r="E15" s="544"/>
      <c r="F15" s="255">
        <f>SUMIF(81:81,E15,82:82)-SUMIF(81:81,C15,82:82)+100</f>
        <v>100</v>
      </c>
      <c r="G15" s="545"/>
      <c r="H15" s="543">
        <f>SUMIF(81:81,G15,82:82)-SUMIF(81:81,C15,82:82)+100</f>
        <v>100</v>
      </c>
      <c r="I15" s="544"/>
      <c r="J15" s="543">
        <f>SUMIF(81:81,I15,82:82)-SUMIF(81:81,C15,82:82)+100</f>
        <v>100</v>
      </c>
      <c r="K15" s="534"/>
      <c r="L15" s="2148"/>
      <c r="M15" s="2140"/>
      <c r="N15" s="2140"/>
      <c r="O15" s="2147"/>
      <c r="P15" s="3430"/>
      <c r="Q15" s="1151">
        <f t="shared" si="6"/>
        <v>111</v>
      </c>
      <c r="R15" s="1570" t="s">
        <v>8</v>
      </c>
      <c r="S15" s="1571">
        <f t="shared" si="0"/>
        <v>100</v>
      </c>
      <c r="T15" s="1570" t="s">
        <v>8</v>
      </c>
      <c r="U15" s="1571">
        <f t="shared" si="1"/>
        <v>100</v>
      </c>
      <c r="V15" s="1570" t="s">
        <v>8</v>
      </c>
      <c r="W15" s="1571">
        <f t="shared" si="2"/>
        <v>100</v>
      </c>
      <c r="X15" s="1572"/>
      <c r="Y15" s="3388"/>
      <c r="Z15" s="1150">
        <f t="shared" si="7"/>
        <v>111</v>
      </c>
      <c r="AA15" s="1573">
        <f t="shared" si="3"/>
        <v>1</v>
      </c>
      <c r="AB15" s="1573">
        <f t="shared" si="4"/>
        <v>1</v>
      </c>
      <c r="AC15" s="1573">
        <f t="shared" si="5"/>
        <v>1</v>
      </c>
    </row>
    <row r="16" spans="1:29" ht="15.75" thickBot="1">
      <c r="A16" s="2953"/>
      <c r="B16" s="2959">
        <v>111</v>
      </c>
      <c r="C16" s="548"/>
      <c r="D16" s="549">
        <v>100</v>
      </c>
      <c r="E16" s="544"/>
      <c r="F16" s="549">
        <f>SUMIF(83:83,E16,84:84)-SUMIF(83:83,C16,84:84)+100</f>
        <v>100</v>
      </c>
      <c r="G16" s="545"/>
      <c r="H16" s="549">
        <f>SUMIF(83:83,G16,84:84)-SUMIF(83:83,C16,84:84)+100</f>
        <v>100</v>
      </c>
      <c r="I16" s="544"/>
      <c r="J16" s="549">
        <f>SUMIF(83:83,I16,84:84)-SUMIF(83:83,C16,84:84)+100</f>
        <v>100</v>
      </c>
      <c r="K16" s="534"/>
      <c r="L16" s="2148"/>
      <c r="M16" s="2140"/>
      <c r="N16" s="2140"/>
      <c r="O16" s="2147"/>
      <c r="P16" s="3430"/>
      <c r="Q16" s="1151">
        <f t="shared" si="6"/>
        <v>111</v>
      </c>
      <c r="R16" s="1570" t="s">
        <v>8</v>
      </c>
      <c r="S16" s="1571">
        <f t="shared" si="0"/>
        <v>100</v>
      </c>
      <c r="T16" s="1570" t="s">
        <v>8</v>
      </c>
      <c r="U16" s="1571">
        <f t="shared" si="1"/>
        <v>100</v>
      </c>
      <c r="V16" s="1570" t="s">
        <v>8</v>
      </c>
      <c r="W16" s="1571">
        <f t="shared" si="2"/>
        <v>100</v>
      </c>
      <c r="X16" s="1572"/>
      <c r="Y16" s="3388"/>
      <c r="Z16" s="1150">
        <f t="shared" si="7"/>
        <v>111</v>
      </c>
      <c r="AA16" s="1573">
        <f t="shared" si="3"/>
        <v>1</v>
      </c>
      <c r="AB16" s="1573">
        <f t="shared" si="4"/>
        <v>1</v>
      </c>
      <c r="AC16" s="1573">
        <f t="shared" si="5"/>
        <v>1</v>
      </c>
    </row>
    <row r="17" spans="1:29" ht="57">
      <c r="A17" s="2945" t="s">
        <v>2769</v>
      </c>
      <c r="B17" s="166" t="s">
        <v>599</v>
      </c>
      <c r="C17" s="922"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8"/>
      <c r="M17" s="2140"/>
      <c r="N17" s="2140"/>
      <c r="O17" s="2147"/>
      <c r="P17" s="3432" t="s">
        <v>541</v>
      </c>
      <c r="Q17" s="1574" t="str">
        <f t="shared" si="6"/>
        <v>产业集聚程度</v>
      </c>
      <c r="R17" s="1575" t="s">
        <v>8</v>
      </c>
      <c r="S17" s="1576">
        <f t="shared" si="0"/>
        <v>100</v>
      </c>
      <c r="T17" s="1575" t="s">
        <v>8</v>
      </c>
      <c r="U17" s="1576">
        <f t="shared" si="1"/>
        <v>100</v>
      </c>
      <c r="V17" s="1575" t="s">
        <v>8</v>
      </c>
      <c r="W17" s="1576">
        <f t="shared" si="2"/>
        <v>100</v>
      </c>
      <c r="X17" s="1569"/>
      <c r="Y17" s="3432"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8"/>
      <c r="M18" s="2140"/>
      <c r="N18" s="2140"/>
      <c r="O18" s="2147"/>
      <c r="P18" s="3433"/>
      <c r="Q18" s="1574"/>
      <c r="R18" s="1575"/>
      <c r="S18" s="1576"/>
      <c r="T18" s="1575"/>
      <c r="U18" s="1576"/>
      <c r="V18" s="1575"/>
      <c r="W18" s="1576"/>
      <c r="X18" s="1569"/>
      <c r="Y18" s="3433"/>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8"/>
      <c r="M19" s="2140"/>
      <c r="N19" s="2140"/>
      <c r="O19" s="2147"/>
      <c r="P19" s="3433"/>
      <c r="Q19" s="1574" t="str">
        <f>B19</f>
        <v>交通便捷度</v>
      </c>
      <c r="R19" s="1575" t="s">
        <v>8</v>
      </c>
      <c r="S19" s="1576">
        <f>F19</f>
        <v>100</v>
      </c>
      <c r="T19" s="1575" t="s">
        <v>8</v>
      </c>
      <c r="U19" s="1576">
        <f>H19</f>
        <v>100</v>
      </c>
      <c r="V19" s="1575" t="s">
        <v>8</v>
      </c>
      <c r="W19" s="1576">
        <f>J19</f>
        <v>100</v>
      </c>
      <c r="X19" s="1569"/>
      <c r="Y19" s="3433"/>
      <c r="Z19" s="1577" t="str">
        <f>Q19</f>
        <v>交通便捷度</v>
      </c>
      <c r="AA19" s="1578">
        <f t="shared" si="3"/>
        <v>1</v>
      </c>
      <c r="AB19" s="1578">
        <f t="shared" si="4"/>
        <v>1</v>
      </c>
      <c r="AC19" s="1578">
        <f t="shared" si="5"/>
        <v>1</v>
      </c>
    </row>
    <row r="20" spans="1:29" ht="15">
      <c r="A20" s="535"/>
      <c r="B20" s="923"/>
      <c r="C20" s="579"/>
      <c r="D20" s="558"/>
      <c r="E20" s="559"/>
      <c r="F20" s="558"/>
      <c r="G20" s="559"/>
      <c r="H20" s="558"/>
      <c r="I20" s="561"/>
      <c r="J20" s="558"/>
      <c r="K20" s="534"/>
      <c r="L20" s="2148"/>
      <c r="M20" s="2140"/>
      <c r="N20" s="2140"/>
      <c r="O20" s="2147"/>
      <c r="P20" s="3433"/>
      <c r="Q20" s="1574"/>
      <c r="R20" s="1575"/>
      <c r="S20" s="1576"/>
      <c r="T20" s="1575"/>
      <c r="U20" s="1576"/>
      <c r="V20" s="1575"/>
      <c r="W20" s="1576"/>
      <c r="X20" s="1569"/>
      <c r="Y20" s="3433"/>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8"/>
      <c r="L21" s="2148"/>
      <c r="M21" s="2140"/>
      <c r="N21" s="2140"/>
      <c r="O21" s="2147"/>
      <c r="P21" s="3433"/>
      <c r="Q21" s="1574" t="str">
        <f t="shared" ref="Q21:Q35" si="8">B21</f>
        <v>区域土地利用方向</v>
      </c>
      <c r="R21" s="1575" t="s">
        <v>8</v>
      </c>
      <c r="S21" s="1576">
        <f>F21</f>
        <v>100</v>
      </c>
      <c r="T21" s="1575" t="s">
        <v>8</v>
      </c>
      <c r="U21" s="1576">
        <f>H21</f>
        <v>100</v>
      </c>
      <c r="V21" s="1575" t="s">
        <v>8</v>
      </c>
      <c r="W21" s="1576">
        <f>J21</f>
        <v>100</v>
      </c>
      <c r="X21" s="1569"/>
      <c r="Y21" s="3433"/>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48"/>
      <c r="L22" s="2148"/>
      <c r="M22" s="2140"/>
      <c r="N22" s="2140"/>
      <c r="O22" s="2147"/>
      <c r="P22" s="3433"/>
      <c r="Q22" s="1574"/>
      <c r="R22" s="1575"/>
      <c r="S22" s="1576"/>
      <c r="T22" s="1575"/>
      <c r="U22" s="1576"/>
      <c r="V22" s="1575"/>
      <c r="W22" s="1576"/>
      <c r="X22" s="1569"/>
      <c r="Y22" s="3433"/>
      <c r="Z22" s="1577"/>
      <c r="AA22" s="1578"/>
      <c r="AB22" s="1578"/>
      <c r="AC22" s="1578"/>
    </row>
    <row r="23" spans="1:29" ht="71.25">
      <c r="A23" s="518"/>
      <c r="B23" s="923"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8"/>
      <c r="M23" s="2140"/>
      <c r="N23" s="2140"/>
      <c r="O23" s="2147"/>
      <c r="P23" s="3433"/>
      <c r="Q23" s="1574" t="str">
        <f t="shared" si="8"/>
        <v>环境状况</v>
      </c>
      <c r="R23" s="1575" t="s">
        <v>8</v>
      </c>
      <c r="S23" s="1576">
        <f>F23</f>
        <v>100</v>
      </c>
      <c r="T23" s="1575" t="s">
        <v>8</v>
      </c>
      <c r="U23" s="1576">
        <f>H23</f>
        <v>100</v>
      </c>
      <c r="V23" s="1575" t="s">
        <v>8</v>
      </c>
      <c r="W23" s="1576">
        <f>J23</f>
        <v>100</v>
      </c>
      <c r="X23" s="1569"/>
      <c r="Y23" s="3433"/>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8"/>
      <c r="M24" s="2140"/>
      <c r="N24" s="2140"/>
      <c r="O24" s="2147"/>
      <c r="P24" s="3433"/>
      <c r="Q24" s="1574"/>
      <c r="R24" s="1575"/>
      <c r="S24" s="1576"/>
      <c r="T24" s="1575"/>
      <c r="U24" s="1576"/>
      <c r="V24" s="1575"/>
      <c r="W24" s="1576"/>
      <c r="X24" s="1569"/>
      <c r="Y24" s="3433"/>
      <c r="Z24" s="1577"/>
      <c r="AA24" s="1578">
        <v>1</v>
      </c>
      <c r="AB24" s="1578">
        <v>1</v>
      </c>
      <c r="AC24" s="1578">
        <v>1</v>
      </c>
    </row>
    <row r="25" spans="1:29" s="1220" customFormat="1" ht="42.75">
      <c r="A25" s="580"/>
      <c r="B25" s="2624"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1"/>
      <c r="M25" s="2142"/>
      <c r="N25" s="2142"/>
      <c r="O25" s="2143"/>
      <c r="P25" s="3433"/>
      <c r="Q25" s="1151" t="str">
        <f t="shared" si="8"/>
        <v>公共配套设施</v>
      </c>
      <c r="R25" s="1570" t="s">
        <v>8</v>
      </c>
      <c r="S25" s="1571">
        <f>F25</f>
        <v>100</v>
      </c>
      <c r="T25" s="1570" t="s">
        <v>8</v>
      </c>
      <c r="U25" s="1571">
        <f>H25</f>
        <v>100</v>
      </c>
      <c r="V25" s="1570" t="s">
        <v>8</v>
      </c>
      <c r="W25" s="1571">
        <f>J25</f>
        <v>100</v>
      </c>
      <c r="X25" s="1572"/>
      <c r="Y25" s="3433"/>
      <c r="Z25" s="1150" t="str">
        <f>Q25</f>
        <v>公共配套设施</v>
      </c>
      <c r="AA25" s="1578">
        <f>D25/F25</f>
        <v>1</v>
      </c>
      <c r="AB25" s="1578">
        <f>D25/H25</f>
        <v>1</v>
      </c>
      <c r="AC25" s="1578">
        <f>D25/J25</f>
        <v>1</v>
      </c>
    </row>
    <row r="26" spans="1:29" s="1220" customFormat="1" ht="15">
      <c r="A26" s="580"/>
      <c r="B26" s="598"/>
      <c r="C26" s="2623"/>
      <c r="D26" s="558"/>
      <c r="E26" s="557"/>
      <c r="F26" s="558"/>
      <c r="G26" s="557"/>
      <c r="H26" s="558"/>
      <c r="I26" s="579"/>
      <c r="J26" s="558"/>
      <c r="K26" s="534"/>
      <c r="L26" s="2141"/>
      <c r="M26" s="2142"/>
      <c r="N26" s="2142"/>
      <c r="O26" s="2143"/>
      <c r="P26" s="3433"/>
      <c r="Q26" s="1151"/>
      <c r="R26" s="1570"/>
      <c r="S26" s="1571"/>
      <c r="T26" s="1570"/>
      <c r="U26" s="1571"/>
      <c r="V26" s="1570"/>
      <c r="W26" s="1571"/>
      <c r="X26" s="1572"/>
      <c r="Y26" s="3433"/>
      <c r="Z26" s="1150"/>
      <c r="AA26" s="1573">
        <v>1</v>
      </c>
      <c r="AB26" s="1573">
        <v>1</v>
      </c>
      <c r="AC26" s="1573">
        <v>1</v>
      </c>
    </row>
    <row r="27" spans="1:29" s="1220" customFormat="1" ht="28.5">
      <c r="A27" s="580"/>
      <c r="B27" s="2624"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1"/>
      <c r="M27" s="2142"/>
      <c r="N27" s="2142"/>
      <c r="O27" s="2143"/>
      <c r="P27" s="3433"/>
      <c r="Q27" s="2609" t="str">
        <f t="shared" ref="Q27" si="9">B27</f>
        <v>基础设施水平</v>
      </c>
      <c r="R27" s="1570" t="s">
        <v>8</v>
      </c>
      <c r="S27" s="1571">
        <f>F27</f>
        <v>100</v>
      </c>
      <c r="T27" s="1570" t="s">
        <v>8</v>
      </c>
      <c r="U27" s="1571">
        <f>H27</f>
        <v>100</v>
      </c>
      <c r="V27" s="1570" t="s">
        <v>8</v>
      </c>
      <c r="W27" s="1571">
        <f>J27</f>
        <v>100</v>
      </c>
      <c r="X27" s="1572"/>
      <c r="Y27" s="3433"/>
      <c r="Z27" s="2606" t="str">
        <f>Q27</f>
        <v>基础设施水平</v>
      </c>
      <c r="AA27" s="1578">
        <f>D27/F27</f>
        <v>1</v>
      </c>
      <c r="AB27" s="1578">
        <f>D27/H27</f>
        <v>1</v>
      </c>
      <c r="AC27" s="1578">
        <f>D27/J27</f>
        <v>1</v>
      </c>
    </row>
    <row r="28" spans="1:29" s="1220" customFormat="1" ht="15">
      <c r="A28" s="580"/>
      <c r="B28" s="598"/>
      <c r="C28" s="2623"/>
      <c r="D28" s="558"/>
      <c r="E28" s="582"/>
      <c r="F28" s="558"/>
      <c r="G28" s="582"/>
      <c r="H28" s="558"/>
      <c r="I28" s="582"/>
      <c r="J28" s="558"/>
      <c r="K28" s="534"/>
      <c r="L28" s="2141"/>
      <c r="M28" s="2142"/>
      <c r="N28" s="2142"/>
      <c r="O28" s="2143"/>
      <c r="P28" s="3433"/>
      <c r="Q28" s="2609"/>
      <c r="R28" s="1570"/>
      <c r="S28" s="1571"/>
      <c r="T28" s="1570"/>
      <c r="U28" s="1571"/>
      <c r="V28" s="1570"/>
      <c r="W28" s="1571"/>
      <c r="X28" s="1572"/>
      <c r="Y28" s="3433"/>
      <c r="Z28" s="2606"/>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8"/>
      <c r="M29" s="2140"/>
      <c r="N29" s="2140"/>
      <c r="O29" s="2147"/>
      <c r="P29" s="343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33"/>
      <c r="Z29" s="1577" t="str">
        <f t="shared" ref="Z29:Z42" si="13">Q29</f>
        <v>临街状况</v>
      </c>
      <c r="AA29" s="1578">
        <f t="shared" si="3"/>
        <v>1</v>
      </c>
      <c r="AB29" s="1578">
        <f t="shared" si="4"/>
        <v>1</v>
      </c>
      <c r="AC29" s="1578">
        <f t="shared" si="5"/>
        <v>1</v>
      </c>
    </row>
    <row r="30" spans="1:29" ht="27">
      <c r="A30" s="535"/>
      <c r="B30" s="923" t="s">
        <v>549</v>
      </c>
      <c r="C30" s="2626">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8"/>
      <c r="M30" s="2140"/>
      <c r="N30" s="2140"/>
      <c r="O30" s="2147"/>
      <c r="P30" s="3433"/>
      <c r="Q30" s="1574" t="str">
        <f t="shared" si="8"/>
        <v>毗邻道路的类型与等级</v>
      </c>
      <c r="R30" s="1575" t="s">
        <v>8</v>
      </c>
      <c r="S30" s="1576">
        <f t="shared" si="10"/>
        <v>100</v>
      </c>
      <c r="T30" s="1575" t="s">
        <v>8</v>
      </c>
      <c r="U30" s="1576">
        <f t="shared" si="11"/>
        <v>100</v>
      </c>
      <c r="V30" s="1575" t="s">
        <v>8</v>
      </c>
      <c r="W30" s="1576">
        <f t="shared" si="12"/>
        <v>100</v>
      </c>
      <c r="X30" s="1569"/>
      <c r="Y30" s="3433"/>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8"/>
      <c r="M31" s="2140"/>
      <c r="N31" s="2140"/>
      <c r="O31" s="2147"/>
      <c r="P31" s="3433"/>
      <c r="Q31" s="1574"/>
      <c r="R31" s="1575"/>
      <c r="S31" s="1576"/>
      <c r="T31" s="1575"/>
      <c r="U31" s="1576"/>
      <c r="V31" s="1575"/>
      <c r="W31" s="1576"/>
      <c r="X31" s="1569"/>
      <c r="Y31" s="3433"/>
      <c r="Z31" s="1577"/>
      <c r="AA31" s="1578">
        <v>1</v>
      </c>
      <c r="AB31" s="1578">
        <v>1</v>
      </c>
      <c r="AC31" s="1578">
        <v>1</v>
      </c>
    </row>
    <row r="32" spans="1:29" ht="15">
      <c r="A32" s="535"/>
      <c r="B32" s="530" t="s">
        <v>550</v>
      </c>
      <c r="C32" s="2627">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8"/>
      <c r="M32" s="2140"/>
      <c r="N32" s="2140"/>
      <c r="O32" s="2147"/>
      <c r="P32" s="3433"/>
      <c r="Q32" s="1574" t="str">
        <f t="shared" si="8"/>
        <v>土地级别</v>
      </c>
      <c r="R32" s="1575" t="s">
        <v>8</v>
      </c>
      <c r="S32" s="1576">
        <f t="shared" si="10"/>
        <v>100</v>
      </c>
      <c r="T32" s="1575" t="s">
        <v>8</v>
      </c>
      <c r="U32" s="1576">
        <f t="shared" si="11"/>
        <v>100</v>
      </c>
      <c r="V32" s="1575" t="s">
        <v>8</v>
      </c>
      <c r="W32" s="1576">
        <f t="shared" si="12"/>
        <v>100</v>
      </c>
      <c r="X32" s="1569"/>
      <c r="Y32" s="3433"/>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8"/>
      <c r="M33" s="2140"/>
      <c r="N33" s="2140"/>
      <c r="O33" s="2147"/>
      <c r="P33" s="3433"/>
      <c r="Q33" s="1574">
        <f t="shared" si="8"/>
        <v>111</v>
      </c>
      <c r="R33" s="1575" t="s">
        <v>8</v>
      </c>
      <c r="S33" s="1576">
        <f t="shared" si="10"/>
        <v>100</v>
      </c>
      <c r="T33" s="1575" t="s">
        <v>8</v>
      </c>
      <c r="U33" s="1576">
        <f t="shared" si="11"/>
        <v>100</v>
      </c>
      <c r="V33" s="1575" t="s">
        <v>8</v>
      </c>
      <c r="W33" s="1576">
        <f t="shared" si="12"/>
        <v>100</v>
      </c>
      <c r="X33" s="1569"/>
      <c r="Y33" s="3433"/>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8"/>
      <c r="M34" s="2140"/>
      <c r="N34" s="2140"/>
      <c r="O34" s="2147"/>
      <c r="P34" s="3434" t="s">
        <v>551</v>
      </c>
      <c r="Q34" s="1574">
        <f t="shared" si="8"/>
        <v>111</v>
      </c>
      <c r="R34" s="1575" t="s">
        <v>8</v>
      </c>
      <c r="S34" s="1576">
        <f t="shared" si="10"/>
        <v>100</v>
      </c>
      <c r="T34" s="1575" t="s">
        <v>8</v>
      </c>
      <c r="U34" s="1576">
        <f t="shared" si="11"/>
        <v>100</v>
      </c>
      <c r="V34" s="1575" t="s">
        <v>8</v>
      </c>
      <c r="W34" s="1576">
        <f t="shared" si="12"/>
        <v>100</v>
      </c>
      <c r="X34" s="1569"/>
      <c r="Y34" s="3435" t="s">
        <v>551</v>
      </c>
      <c r="Z34" s="1577">
        <f t="shared" si="13"/>
        <v>111</v>
      </c>
      <c r="AA34" s="1578">
        <f t="shared" si="3"/>
        <v>1</v>
      </c>
      <c r="AB34" s="1578">
        <f t="shared" si="4"/>
        <v>1</v>
      </c>
      <c r="AC34" s="1578">
        <f t="shared" si="5"/>
        <v>1</v>
      </c>
    </row>
    <row r="35" spans="1:29" s="1339" customFormat="1" ht="15.75" thickBot="1">
      <c r="A35" s="592"/>
      <c r="B35" s="2625">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6"/>
      <c r="M35" s="2177"/>
      <c r="N35" s="2177"/>
      <c r="O35" s="2149"/>
      <c r="P35" s="3435"/>
      <c r="Q35" s="1574">
        <f t="shared" si="8"/>
        <v>111</v>
      </c>
      <c r="R35" s="1579" t="s">
        <v>8</v>
      </c>
      <c r="S35" s="1580">
        <f t="shared" si="10"/>
        <v>100</v>
      </c>
      <c r="T35" s="1579" t="s">
        <v>8</v>
      </c>
      <c r="U35" s="1580">
        <f t="shared" si="11"/>
        <v>100</v>
      </c>
      <c r="V35" s="1579" t="s">
        <v>8</v>
      </c>
      <c r="W35" s="1580">
        <f t="shared" si="12"/>
        <v>100</v>
      </c>
      <c r="X35" s="1581"/>
      <c r="Y35" s="3435"/>
      <c r="Z35" s="1582">
        <f t="shared" si="13"/>
        <v>111</v>
      </c>
      <c r="AA35" s="1578">
        <f t="shared" si="3"/>
        <v>1</v>
      </c>
      <c r="AB35" s="1578">
        <f t="shared" si="4"/>
        <v>1</v>
      </c>
      <c r="AC35" s="1578">
        <f t="shared" si="5"/>
        <v>1</v>
      </c>
    </row>
    <row r="36" spans="1:29" ht="15">
      <c r="A36" s="2942"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8"/>
      <c r="M36" s="2140"/>
      <c r="N36" s="2140"/>
      <c r="O36" s="2147"/>
      <c r="P36" s="3435"/>
      <c r="Q36" s="1574" t="str">
        <f>B36</f>
        <v>宗地面积</v>
      </c>
      <c r="R36" s="1575" t="s">
        <v>8</v>
      </c>
      <c r="S36" s="1576" t="e">
        <f t="shared" si="10"/>
        <v>#N/A</v>
      </c>
      <c r="T36" s="1575" t="s">
        <v>8</v>
      </c>
      <c r="U36" s="1576" t="e">
        <f t="shared" si="11"/>
        <v>#N/A</v>
      </c>
      <c r="V36" s="1575" t="s">
        <v>8</v>
      </c>
      <c r="W36" s="1576" t="e">
        <f t="shared" si="12"/>
        <v>#N/A</v>
      </c>
      <c r="X36" s="1569"/>
      <c r="Y36" s="3435"/>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8"/>
      <c r="M37" s="2140"/>
      <c r="N37" s="2140"/>
      <c r="O37" s="2147"/>
      <c r="P37" s="3435"/>
      <c r="Q37" s="1574" t="str">
        <f t="shared" ref="Q37:Q42" si="14">B37</f>
        <v>宗地形状</v>
      </c>
      <c r="R37" s="1575" t="s">
        <v>8</v>
      </c>
      <c r="S37" s="1576">
        <f t="shared" si="10"/>
        <v>100</v>
      </c>
      <c r="T37" s="1575" t="s">
        <v>8</v>
      </c>
      <c r="U37" s="1576">
        <f t="shared" si="11"/>
        <v>100</v>
      </c>
      <c r="V37" s="1575" t="s">
        <v>8</v>
      </c>
      <c r="W37" s="1576">
        <f t="shared" si="12"/>
        <v>100</v>
      </c>
      <c r="X37" s="1569"/>
      <c r="Y37" s="3435"/>
      <c r="Z37" s="1577" t="str">
        <f t="shared" si="13"/>
        <v>宗地形状</v>
      </c>
      <c r="AA37" s="1578">
        <f t="shared" si="3"/>
        <v>1</v>
      </c>
      <c r="AB37" s="1578">
        <f t="shared" si="4"/>
        <v>1</v>
      </c>
      <c r="AC37" s="1578">
        <f t="shared" si="5"/>
        <v>1</v>
      </c>
    </row>
    <row r="38" spans="1:29" s="1220" customFormat="1" ht="15">
      <c r="A38" s="603"/>
      <c r="B38" s="1898"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1"/>
      <c r="M38" s="2142"/>
      <c r="N38" s="2142"/>
      <c r="O38" s="2143"/>
      <c r="P38" s="3435"/>
      <c r="Q38" s="1574" t="str">
        <f t="shared" si="14"/>
        <v>宗地开发程度</v>
      </c>
      <c r="R38" s="1570" t="s">
        <v>8</v>
      </c>
      <c r="S38" s="1571">
        <f t="shared" si="10"/>
        <v>100</v>
      </c>
      <c r="T38" s="1570" t="s">
        <v>8</v>
      </c>
      <c r="U38" s="1571">
        <f t="shared" si="11"/>
        <v>100</v>
      </c>
      <c r="V38" s="1570" t="s">
        <v>8</v>
      </c>
      <c r="W38" s="1571">
        <f t="shared" si="12"/>
        <v>100</v>
      </c>
      <c r="X38" s="1572"/>
      <c r="Y38" s="3435"/>
      <c r="Z38" s="1150"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8"/>
      <c r="M39" s="2140"/>
      <c r="N39" s="2140"/>
      <c r="O39" s="2147"/>
      <c r="P39" s="3435" t="s">
        <v>602</v>
      </c>
      <c r="Q39" s="1574" t="str">
        <f t="shared" si="14"/>
        <v>工程地质条件</v>
      </c>
      <c r="R39" s="1575" t="s">
        <v>8</v>
      </c>
      <c r="S39" s="1576">
        <f t="shared" si="10"/>
        <v>100</v>
      </c>
      <c r="T39" s="1575" t="s">
        <v>8</v>
      </c>
      <c r="U39" s="1576">
        <f t="shared" si="11"/>
        <v>100</v>
      </c>
      <c r="V39" s="1575" t="s">
        <v>8</v>
      </c>
      <c r="W39" s="1576">
        <f t="shared" si="12"/>
        <v>100</v>
      </c>
      <c r="X39" s="1569"/>
      <c r="Y39" s="3435"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8"/>
      <c r="M40" s="2140"/>
      <c r="N40" s="2140"/>
      <c r="O40" s="2147"/>
      <c r="P40" s="3435"/>
      <c r="Q40" s="1574">
        <f t="shared" si="14"/>
        <v>111</v>
      </c>
      <c r="R40" s="1575" t="s">
        <v>8</v>
      </c>
      <c r="S40" s="1576">
        <f t="shared" si="10"/>
        <v>100</v>
      </c>
      <c r="T40" s="1575" t="s">
        <v>8</v>
      </c>
      <c r="U40" s="1576">
        <f t="shared" si="11"/>
        <v>100</v>
      </c>
      <c r="V40" s="1575" t="s">
        <v>8</v>
      </c>
      <c r="W40" s="1576">
        <f t="shared" si="12"/>
        <v>100</v>
      </c>
      <c r="X40" s="1569"/>
      <c r="Y40" s="3435"/>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8"/>
      <c r="M41" s="2140"/>
      <c r="N41" s="2140"/>
      <c r="O41" s="2147"/>
      <c r="P41" s="3435"/>
      <c r="Q41" s="1574">
        <f t="shared" si="14"/>
        <v>111</v>
      </c>
      <c r="R41" s="1575" t="s">
        <v>8</v>
      </c>
      <c r="S41" s="1576">
        <f t="shared" si="10"/>
        <v>100</v>
      </c>
      <c r="T41" s="1575" t="s">
        <v>8</v>
      </c>
      <c r="U41" s="1576">
        <f t="shared" si="11"/>
        <v>100</v>
      </c>
      <c r="V41" s="1575" t="s">
        <v>8</v>
      </c>
      <c r="W41" s="1576">
        <f t="shared" si="12"/>
        <v>100</v>
      </c>
      <c r="X41" s="1569"/>
      <c r="Y41" s="3435"/>
      <c r="Z41" s="1577">
        <f t="shared" si="13"/>
        <v>111</v>
      </c>
      <c r="AA41" s="1578">
        <f t="shared" si="3"/>
        <v>1</v>
      </c>
      <c r="AB41" s="1578">
        <f t="shared" si="4"/>
        <v>1</v>
      </c>
      <c r="AC41" s="1578">
        <f t="shared" si="5"/>
        <v>1</v>
      </c>
    </row>
    <row r="42" spans="1:29" s="1339"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6"/>
      <c r="M42" s="2177"/>
      <c r="N42" s="2177"/>
      <c r="O42" s="2149"/>
      <c r="P42" s="3435"/>
      <c r="Q42" s="1574">
        <f t="shared" si="14"/>
        <v>111</v>
      </c>
      <c r="R42" s="1579" t="s">
        <v>8</v>
      </c>
      <c r="S42" s="1580">
        <f t="shared" si="10"/>
        <v>100</v>
      </c>
      <c r="T42" s="1579" t="s">
        <v>8</v>
      </c>
      <c r="U42" s="1580">
        <f t="shared" si="11"/>
        <v>100</v>
      </c>
      <c r="V42" s="1579" t="s">
        <v>8</v>
      </c>
      <c r="W42" s="1580">
        <f t="shared" si="12"/>
        <v>100</v>
      </c>
      <c r="X42" s="1581"/>
      <c r="Y42" s="3435"/>
      <c r="Z42" s="1582">
        <f t="shared" si="13"/>
        <v>111</v>
      </c>
      <c r="AA42" s="1578">
        <f t="shared" si="3"/>
        <v>1</v>
      </c>
      <c r="AB42" s="1578">
        <f t="shared" si="4"/>
        <v>1</v>
      </c>
      <c r="AC42" s="1578">
        <f t="shared" si="5"/>
        <v>1</v>
      </c>
    </row>
    <row r="43" spans="1:29" ht="15">
      <c r="A43" s="610" t="s">
        <v>557</v>
      </c>
      <c r="B43" s="611" t="s">
        <v>2940</v>
      </c>
      <c r="C43" s="612" t="s">
        <v>1</v>
      </c>
      <c r="D43" s="613"/>
      <c r="E43" s="614"/>
      <c r="F43" s="615"/>
      <c r="G43" s="616"/>
      <c r="H43" s="617"/>
      <c r="I43" s="614"/>
      <c r="J43" s="617"/>
      <c r="K43" s="1340"/>
      <c r="L43" s="2150"/>
      <c r="M43" s="2140"/>
      <c r="N43" s="2140"/>
      <c r="O43" s="2151"/>
      <c r="P43" s="3430" t="str">
        <f>A43</f>
        <v>成交单价</v>
      </c>
      <c r="Q43" s="3430"/>
      <c r="R43" s="3444">
        <f>E43</f>
        <v>0</v>
      </c>
      <c r="S43" s="3444"/>
      <c r="T43" s="3444">
        <f>G43</f>
        <v>0</v>
      </c>
      <c r="U43" s="3444"/>
      <c r="V43" s="3444">
        <f>I43</f>
        <v>0</v>
      </c>
      <c r="W43" s="3444"/>
      <c r="X43" s="1561"/>
      <c r="Y43" s="1583"/>
      <c r="Z43" s="1561"/>
      <c r="AA43" s="1561"/>
      <c r="AB43" s="1561"/>
      <c r="AC43" s="1561"/>
    </row>
    <row r="44" spans="1:29" ht="15.75" thickBot="1">
      <c r="A44" s="618" t="s">
        <v>2708</v>
      </c>
      <c r="B44" s="619"/>
      <c r="C44" s="620" t="e">
        <f>R45</f>
        <v>#DIV/0!</v>
      </c>
      <c r="D44" s="621"/>
      <c r="E44" s="620" t="e">
        <f>R44</f>
        <v>#DIV/0!</v>
      </c>
      <c r="F44" s="622"/>
      <c r="G44" s="623" t="e">
        <f>T44</f>
        <v>#DIV/0!</v>
      </c>
      <c r="H44" s="621"/>
      <c r="I44" s="620" t="e">
        <f>V44</f>
        <v>#DIV/0!</v>
      </c>
      <c r="J44" s="621"/>
      <c r="K44" s="1341"/>
      <c r="L44" s="2150"/>
      <c r="M44" s="2140"/>
      <c r="N44" s="2140"/>
      <c r="O44" s="2151"/>
      <c r="P44" s="3430" t="str">
        <f>A44</f>
        <v>比较价格（元/平方米）</v>
      </c>
      <c r="Q44" s="3430"/>
      <c r="R44" s="3455" t="e">
        <f>ROUND(PRODUCT(R43,AA9:AA42),0)</f>
        <v>#DIV/0!</v>
      </c>
      <c r="S44" s="3455"/>
      <c r="T44" s="3455" t="e">
        <f>ROUND(PRODUCT(T43,AB9:AB42),0)</f>
        <v>#DIV/0!</v>
      </c>
      <c r="U44" s="3455"/>
      <c r="V44" s="3455" t="e">
        <f>ROUND(PRODUCT(V43,AC9:AC42),0)</f>
        <v>#DIV/0!</v>
      </c>
      <c r="W44" s="3455"/>
      <c r="X44" s="1561"/>
      <c r="Y44" s="1561"/>
      <c r="Z44" s="1561"/>
      <c r="AA44" s="1561"/>
      <c r="AB44" s="1561"/>
      <c r="AC44" s="1561"/>
    </row>
    <row r="45" spans="1:29" ht="15.75" thickBot="1">
      <c r="A45" s="624" t="s">
        <v>2941</v>
      </c>
      <c r="B45" s="625"/>
      <c r="C45" s="626" t="e">
        <f>R45</f>
        <v>#DIV/0!</v>
      </c>
      <c r="D45" s="626"/>
      <c r="E45" s="626"/>
      <c r="F45" s="626"/>
      <c r="G45" s="626"/>
      <c r="H45" s="626"/>
      <c r="I45" s="626"/>
      <c r="J45" s="626"/>
      <c r="K45" s="1342"/>
      <c r="L45" s="2150"/>
      <c r="M45" s="2140"/>
      <c r="N45" s="2140"/>
      <c r="O45" s="2151"/>
      <c r="P45" s="3452" t="str">
        <f>A45</f>
        <v>估价对象XX用房的比较价格（楼面单价，元/平方米）</v>
      </c>
      <c r="Q45" s="3453"/>
      <c r="R45" s="3454" t="e">
        <f>ROUND(AVERAGE(R44:V44),0)</f>
        <v>#DIV/0!</v>
      </c>
      <c r="S45" s="3454"/>
      <c r="T45" s="3454"/>
      <c r="U45" s="3454"/>
      <c r="V45" s="3454"/>
      <c r="W45" s="3454"/>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2" t="s">
        <v>561</v>
      </c>
      <c r="B52" s="633" t="s">
        <v>562</v>
      </c>
      <c r="C52" s="1562" t="s">
        <v>1728</v>
      </c>
      <c r="D52" s="2233" t="s">
        <v>2303</v>
      </c>
      <c r="E52" s="634" t="s">
        <v>563</v>
      </c>
      <c r="F52" s="1954" t="s">
        <v>564</v>
      </c>
      <c r="G52" s="3456" t="s">
        <v>2294</v>
      </c>
      <c r="H52" s="3457"/>
      <c r="I52" s="1955" t="s">
        <v>1955</v>
      </c>
      <c r="J52" s="1557" t="str">
        <f>项目基本情况!F41</f>
        <v>广东省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6" t="s">
        <v>565</v>
      </c>
      <c r="B53" s="637" t="e">
        <f>C45</f>
        <v>#DIV/0!</v>
      </c>
      <c r="C53" s="638">
        <v>1</v>
      </c>
      <c r="D53" s="2234">
        <v>1</v>
      </c>
      <c r="E53" s="638">
        <f>'数据-汇总表'!E8+'数据-汇总表'!E9</f>
        <v>109377.36</v>
      </c>
      <c r="F53" s="1953" t="e">
        <f t="shared" ref="F53:F62" si="15">ROUND(B53*E53/10000,0)</f>
        <v>#DIV/0!</v>
      </c>
      <c r="G53" s="3458"/>
      <c r="H53" s="3459"/>
      <c r="I53" s="1956">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40" t="s">
        <v>566</v>
      </c>
      <c r="B54" s="641" t="e">
        <f>ROUND($C$45*C54*D54,0)</f>
        <v>#DIV/0!</v>
      </c>
      <c r="C54" s="381">
        <f t="shared" ref="C54:C62" si="16">IF($C$52="北京市系数",I54,J54)</f>
        <v>0</v>
      </c>
      <c r="D54" s="2235">
        <v>0.25</v>
      </c>
      <c r="E54" s="642"/>
      <c r="F54" s="1953" t="e">
        <f t="shared" si="15"/>
        <v>#DIV/0!</v>
      </c>
      <c r="G54" s="3460" t="s">
        <v>2295</v>
      </c>
      <c r="H54" s="1957">
        <f>项目基本情况!B43</f>
        <v>0</v>
      </c>
      <c r="I54" s="1956">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40" t="s">
        <v>567</v>
      </c>
      <c r="B55" s="641" t="e">
        <f t="shared" ref="B55:B62" si="17">ROUND($C$45*C55*D55,0)</f>
        <v>#DIV/0!</v>
      </c>
      <c r="C55" s="381">
        <f t="shared" si="16"/>
        <v>0</v>
      </c>
      <c r="D55" s="2235">
        <v>0.25</v>
      </c>
      <c r="E55" s="642"/>
      <c r="F55" s="1953" t="e">
        <f t="shared" si="15"/>
        <v>#DIV/0!</v>
      </c>
      <c r="G55" s="3460"/>
      <c r="H55" s="1958">
        <f>项目基本情况!B43</f>
        <v>0</v>
      </c>
      <c r="I55" s="1956">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40" t="s">
        <v>568</v>
      </c>
      <c r="B56" s="641" t="e">
        <f t="shared" si="17"/>
        <v>#DIV/0!</v>
      </c>
      <c r="C56" s="381">
        <f t="shared" si="16"/>
        <v>0</v>
      </c>
      <c r="D56" s="2235">
        <v>0.25</v>
      </c>
      <c r="E56" s="642"/>
      <c r="F56" s="1953" t="e">
        <f t="shared" si="15"/>
        <v>#DIV/0!</v>
      </c>
      <c r="G56" s="3460"/>
      <c r="H56" s="1958">
        <f>项目基本情况!B43</f>
        <v>0</v>
      </c>
      <c r="I56" s="1956">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40" t="s">
        <v>569</v>
      </c>
      <c r="B57" s="641" t="e">
        <f t="shared" si="17"/>
        <v>#DIV/0!</v>
      </c>
      <c r="C57" s="381">
        <f t="shared" si="16"/>
        <v>0</v>
      </c>
      <c r="D57" s="2235">
        <v>0.25</v>
      </c>
      <c r="E57" s="642"/>
      <c r="F57" s="1953" t="e">
        <f t="shared" si="15"/>
        <v>#DIV/0!</v>
      </c>
      <c r="G57" s="3460"/>
      <c r="H57" s="1958">
        <f>项目基本情况!B43</f>
        <v>0</v>
      </c>
      <c r="I57" s="1956">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2337</v>
      </c>
      <c r="B58" s="641" t="e">
        <f t="shared" si="17"/>
        <v>#DIV/0!</v>
      </c>
      <c r="C58" s="381">
        <f t="shared" si="16"/>
        <v>0</v>
      </c>
      <c r="D58" s="2235">
        <v>0.25</v>
      </c>
      <c r="E58" s="644">
        <f>'数据-汇总表'!E11</f>
        <v>0</v>
      </c>
      <c r="F58" s="1953" t="e">
        <f t="shared" si="15"/>
        <v>#DIV/0!</v>
      </c>
      <c r="G58" s="1959" t="s">
        <v>2296</v>
      </c>
      <c r="H58" s="1958">
        <f>项目基本情况!C43</f>
        <v>0</v>
      </c>
      <c r="I58" s="1956">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570</v>
      </c>
      <c r="B59" s="641" t="e">
        <f t="shared" si="17"/>
        <v>#DIV/0!</v>
      </c>
      <c r="C59" s="381">
        <f t="shared" si="16"/>
        <v>0</v>
      </c>
      <c r="D59" s="2235">
        <v>0.25</v>
      </c>
      <c r="E59" s="644">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571</v>
      </c>
      <c r="B60" s="641" t="e">
        <f t="shared" si="17"/>
        <v>#DIV/0!</v>
      </c>
      <c r="C60" s="381">
        <f t="shared" si="16"/>
        <v>0</v>
      </c>
      <c r="D60" s="2235">
        <v>0.25</v>
      </c>
      <c r="E60" s="644">
        <f>'数据-汇总表'!E13</f>
        <v>14833.519999999997</v>
      </c>
      <c r="F60" s="1953" t="e">
        <f t="shared" si="15"/>
        <v>#DIV/0!</v>
      </c>
      <c r="G60" s="1949" t="s">
        <v>926</v>
      </c>
      <c r="H60" s="1957">
        <f>IF(G60="商业",项目基本情况!B43,IF(G60="办公",项目基本情况!C43,IF(G60="住宅",项目基本情况!D43,项目基本情况!E43)))</f>
        <v>0</v>
      </c>
      <c r="I60" s="1956">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572</v>
      </c>
      <c r="B61" s="641" t="e">
        <f t="shared" si="17"/>
        <v>#DIV/0!</v>
      </c>
      <c r="C61" s="381">
        <f t="shared" si="16"/>
        <v>0</v>
      </c>
      <c r="D61" s="2235">
        <v>0.25</v>
      </c>
      <c r="E61" s="644">
        <f>'数据-汇总表'!E14</f>
        <v>0</v>
      </c>
      <c r="F61" s="1953" t="e">
        <f t="shared" si="15"/>
        <v>#DIV/0!</v>
      </c>
      <c r="G61" s="1959" t="s">
        <v>2295</v>
      </c>
      <c r="H61" s="1958">
        <f>项目基本情况!B43</f>
        <v>0</v>
      </c>
      <c r="I61" s="1956">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40" t="s">
        <v>573</v>
      </c>
      <c r="B62" s="641" t="e">
        <f t="shared" si="17"/>
        <v>#DIV/0!</v>
      </c>
      <c r="C62" s="381">
        <f t="shared" si="16"/>
        <v>0</v>
      </c>
      <c r="D62" s="2235">
        <v>0.25</v>
      </c>
      <c r="E62" s="644">
        <f>'数据-汇总表'!E15</f>
        <v>0</v>
      </c>
      <c r="F62" s="1953" t="e">
        <f t="shared" si="15"/>
        <v>#DIV/0!</v>
      </c>
      <c r="G62" s="1960" t="s">
        <v>2296</v>
      </c>
      <c r="H62" s="1961">
        <f>项目基本情况!C43</f>
        <v>0</v>
      </c>
      <c r="I62" s="1956">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5" t="s">
        <v>574</v>
      </c>
      <c r="B63" s="646" t="s">
        <v>17</v>
      </c>
      <c r="C63" s="646" t="s">
        <v>18</v>
      </c>
      <c r="D63" s="646" t="s">
        <v>2304</v>
      </c>
      <c r="E63" s="646">
        <f>IF(B43="楼面地价",SUM(E53:E62),'数据-汇总表'!D3)</f>
        <v>47552.7</v>
      </c>
      <c r="F63" s="647"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2017-6-1</v>
      </c>
      <c r="D65" s="2834">
        <f>EDATE(C65,-3)</f>
        <v>42795</v>
      </c>
      <c r="E65" s="2834">
        <f t="shared" ref="E65:N65" si="18">EDATE(D65,-3)</f>
        <v>42705</v>
      </c>
      <c r="F65" s="2834">
        <f t="shared" si="18"/>
        <v>42614</v>
      </c>
      <c r="G65" s="2834">
        <f t="shared" si="18"/>
        <v>42522</v>
      </c>
      <c r="H65" s="2834">
        <f t="shared" si="18"/>
        <v>42430</v>
      </c>
      <c r="I65" s="2834">
        <f t="shared" si="18"/>
        <v>42339</v>
      </c>
      <c r="J65" s="2834">
        <f t="shared" si="18"/>
        <v>42248</v>
      </c>
      <c r="K65" s="2834">
        <f t="shared" si="18"/>
        <v>42156</v>
      </c>
      <c r="L65" s="2834">
        <f t="shared" si="18"/>
        <v>42064</v>
      </c>
      <c r="M65" s="2834">
        <f t="shared" si="18"/>
        <v>41974</v>
      </c>
      <c r="N65" s="2834">
        <f t="shared" si="18"/>
        <v>41883</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9" t="s">
        <v>2545</v>
      </c>
      <c r="B67" s="649"/>
      <c r="C67" s="2829" t="str">
        <f>YEAR(C65)&amp;"-"&amp;ROUNDUP(MONTH(C65)/3,0)</f>
        <v>2017-2</v>
      </c>
      <c r="D67" s="2836" t="str">
        <f t="shared" ref="D67:N67" si="19">YEAR(D65)&amp;"-"&amp;ROUNDUP(MONTH(D65)/3,0)</f>
        <v>2017-1</v>
      </c>
      <c r="E67" s="2836" t="str">
        <f t="shared" si="19"/>
        <v>2016-4</v>
      </c>
      <c r="F67" s="2836" t="str">
        <f t="shared" si="19"/>
        <v>2016-3</v>
      </c>
      <c r="G67" s="2836" t="str">
        <f t="shared" si="19"/>
        <v>2016-2</v>
      </c>
      <c r="H67" s="2836" t="str">
        <f t="shared" si="19"/>
        <v>2016-1</v>
      </c>
      <c r="I67" s="2836" t="str">
        <f t="shared" si="19"/>
        <v>2015-4</v>
      </c>
      <c r="J67" s="2836" t="str">
        <f t="shared" si="19"/>
        <v>2015-3</v>
      </c>
      <c r="K67" s="2836" t="str">
        <f t="shared" si="19"/>
        <v>2015-2</v>
      </c>
      <c r="L67" s="2836" t="str">
        <f t="shared" si="19"/>
        <v>2015-1</v>
      </c>
      <c r="M67" s="2836" t="str">
        <f t="shared" si="19"/>
        <v>2014-4</v>
      </c>
      <c r="N67" s="2836" t="str">
        <f t="shared" si="19"/>
        <v>2014-3</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2664</v>
      </c>
      <c r="B68" s="482" t="str">
        <f>"北京市平均增长率"&amp;TEXT(基准地价!P24,"0.00%")</f>
        <v>北京市平均增长率1.34%</v>
      </c>
      <c r="C68" s="897">
        <v>100</v>
      </c>
      <c r="D68" s="733"/>
      <c r="E68" s="733"/>
      <c r="F68" s="733"/>
      <c r="G68" s="733"/>
      <c r="H68" s="733"/>
      <c r="I68" s="733"/>
      <c r="J68" s="733"/>
      <c r="K68" s="733"/>
      <c r="L68" s="733"/>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6" t="s">
        <v>576</v>
      </c>
      <c r="B69" s="657"/>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2" t="s">
        <v>532</v>
      </c>
      <c r="B70" s="651"/>
      <c r="C70" s="663" t="s">
        <v>577</v>
      </c>
      <c r="D70" s="664"/>
      <c r="E70" s="664"/>
      <c r="F70" s="664"/>
      <c r="G70" s="664"/>
      <c r="H70" s="664"/>
      <c r="I70" s="664"/>
      <c r="J70" s="664"/>
      <c r="K70" s="664"/>
      <c r="L70" s="665"/>
      <c r="M70" s="666"/>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2"/>
      <c r="B71" s="651"/>
      <c r="C71" s="652">
        <v>100</v>
      </c>
      <c r="D71" s="653"/>
      <c r="E71" s="653"/>
      <c r="F71" s="653"/>
      <c r="G71" s="653"/>
      <c r="H71" s="653"/>
      <c r="I71" s="653"/>
      <c r="J71" s="653"/>
      <c r="K71" s="653"/>
      <c r="L71" s="653"/>
      <c r="M71" s="655"/>
      <c r="N71" s="2168"/>
      <c r="O71" s="2168"/>
      <c r="P71" s="2164"/>
      <c r="Q71" s="2164"/>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70"/>
      <c r="O72" s="2170"/>
      <c r="P72" s="2171"/>
      <c r="Q72" s="2164"/>
      <c r="R72" s="2151"/>
      <c r="S72" s="2151"/>
      <c r="T72" s="2151"/>
      <c r="U72" s="2151"/>
      <c r="V72" s="2151"/>
      <c r="W72" s="2151"/>
      <c r="X72" s="2151"/>
      <c r="Y72" s="2151"/>
      <c r="Z72" s="2151"/>
      <c r="AA72" s="2151"/>
      <c r="AB72" s="2151"/>
      <c r="AC72" s="2151"/>
    </row>
    <row r="73" spans="1:29" ht="15.75" thickBot="1">
      <c r="A73" s="672"/>
      <c r="B73" s="673"/>
      <c r="C73" s="674"/>
      <c r="D73" s="674"/>
      <c r="E73" s="674"/>
      <c r="F73" s="674"/>
      <c r="G73" s="674"/>
      <c r="H73" s="674"/>
      <c r="I73" s="674"/>
      <c r="J73" s="674"/>
      <c r="K73" s="674"/>
      <c r="L73" s="674"/>
      <c r="M73" s="675"/>
      <c r="N73" s="2172"/>
      <c r="O73" s="2172"/>
      <c r="P73" s="2171"/>
      <c r="Q73" s="2164"/>
      <c r="R73" s="2151"/>
      <c r="S73" s="2151"/>
      <c r="T73" s="2151"/>
      <c r="U73" s="2151"/>
      <c r="V73" s="2151"/>
      <c r="W73" s="2151"/>
      <c r="X73" s="2151"/>
      <c r="Y73" s="2151"/>
      <c r="Z73" s="2151"/>
      <c r="AA73" s="2151"/>
      <c r="AB73" s="2151"/>
      <c r="AC73" s="2151"/>
    </row>
    <row r="74" spans="1:29" ht="27.75" thickTop="1">
      <c r="A74" s="672"/>
      <c r="B74" s="676" t="s">
        <v>538</v>
      </c>
      <c r="C74" s="677"/>
      <c r="D74" s="677"/>
      <c r="E74" s="677"/>
      <c r="F74" s="677"/>
      <c r="G74" s="677"/>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c r="D75" s="682"/>
      <c r="E75" s="682"/>
      <c r="F75" s="682"/>
      <c r="G75" s="682"/>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2"/>
      <c r="B77" s="686"/>
      <c r="C77" s="544"/>
      <c r="D77" s="544"/>
      <c r="E77" s="544"/>
      <c r="F77" s="544"/>
      <c r="G77" s="544"/>
      <c r="H77" s="544"/>
      <c r="I77" s="544"/>
      <c r="J77" s="544"/>
      <c r="K77" s="687"/>
      <c r="L77" s="688"/>
      <c r="M77" s="689"/>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90"/>
      <c r="B79" s="676">
        <f>B14</f>
        <v>111</v>
      </c>
      <c r="C79" s="691"/>
      <c r="D79" s="691"/>
      <c r="E79" s="691"/>
      <c r="F79" s="691"/>
      <c r="G79" s="691"/>
      <c r="H79" s="692"/>
      <c r="I79" s="692"/>
      <c r="J79" s="692"/>
      <c r="K79" s="692"/>
      <c r="L79" s="693"/>
      <c r="M79" s="694"/>
      <c r="N79" s="2173"/>
      <c r="O79" s="2173"/>
      <c r="P79" s="2174"/>
      <c r="Q79" s="2175"/>
      <c r="R79" s="2176"/>
      <c r="S79" s="2176"/>
      <c r="T79" s="2176"/>
      <c r="U79" s="2176"/>
      <c r="V79" s="2176"/>
      <c r="W79" s="2176"/>
      <c r="X79" s="2176"/>
      <c r="Y79" s="2176"/>
      <c r="Z79" s="2176"/>
      <c r="AA79" s="2176"/>
      <c r="AB79" s="2176"/>
      <c r="AC79" s="2176"/>
    </row>
    <row r="80" spans="1:29" s="1339" customFormat="1" ht="15.75" thickBot="1">
      <c r="A80" s="690"/>
      <c r="B80" s="681"/>
      <c r="C80" s="695"/>
      <c r="D80" s="674"/>
      <c r="E80" s="674"/>
      <c r="F80" s="674"/>
      <c r="G80" s="674"/>
      <c r="H80" s="674"/>
      <c r="I80" s="674"/>
      <c r="J80" s="674"/>
      <c r="K80" s="674"/>
      <c r="L80" s="674"/>
      <c r="M80" s="675"/>
      <c r="N80" s="2172"/>
      <c r="O80" s="2172"/>
      <c r="P80" s="2174"/>
      <c r="Q80" s="2175"/>
      <c r="R80" s="2176"/>
      <c r="S80" s="2176"/>
      <c r="T80" s="2176"/>
      <c r="U80" s="2176"/>
      <c r="V80" s="2176"/>
      <c r="W80" s="2176"/>
      <c r="X80" s="2176"/>
      <c r="Y80" s="2176"/>
      <c r="Z80" s="2176"/>
      <c r="AA80" s="2176"/>
      <c r="AB80" s="2176"/>
      <c r="AC80" s="2176"/>
    </row>
    <row r="81" spans="1:29" s="1339" customFormat="1" ht="15.75" thickTop="1">
      <c r="A81" s="690"/>
      <c r="B81" s="676">
        <f>B15</f>
        <v>111</v>
      </c>
      <c r="C81" s="691"/>
      <c r="D81" s="691"/>
      <c r="E81" s="691"/>
      <c r="F81" s="691"/>
      <c r="G81" s="691"/>
      <c r="H81" s="692"/>
      <c r="I81" s="692"/>
      <c r="J81" s="692"/>
      <c r="K81" s="692"/>
      <c r="L81" s="693"/>
      <c r="M81" s="694"/>
      <c r="N81" s="2173"/>
      <c r="O81" s="2173"/>
      <c r="P81" s="2177"/>
      <c r="Q81" s="2178"/>
      <c r="R81" s="2176"/>
      <c r="S81" s="2176"/>
      <c r="T81" s="2176"/>
      <c r="U81" s="2176"/>
      <c r="V81" s="2176"/>
      <c r="W81" s="2176"/>
      <c r="X81" s="2176"/>
      <c r="Y81" s="2176"/>
      <c r="Z81" s="2176"/>
      <c r="AA81" s="2176"/>
      <c r="AB81" s="2176"/>
      <c r="AC81" s="2176"/>
    </row>
    <row r="82" spans="1:29" s="1339" customFormat="1" ht="15.75" thickBot="1">
      <c r="A82" s="690"/>
      <c r="B82" s="681"/>
      <c r="C82" s="695"/>
      <c r="D82" s="695"/>
      <c r="E82" s="695"/>
      <c r="F82" s="695"/>
      <c r="G82" s="695"/>
      <c r="H82" s="696"/>
      <c r="I82" s="696"/>
      <c r="J82" s="696"/>
      <c r="K82" s="696"/>
      <c r="L82" s="696"/>
      <c r="M82" s="697"/>
      <c r="N82" s="2173"/>
      <c r="O82" s="2173"/>
      <c r="P82" s="2174"/>
      <c r="Q82" s="2175"/>
      <c r="R82" s="2176"/>
      <c r="S82" s="2176"/>
      <c r="T82" s="2176"/>
      <c r="U82" s="2176"/>
      <c r="V82" s="2176"/>
      <c r="W82" s="2176"/>
      <c r="X82" s="2176"/>
      <c r="Y82" s="2176"/>
      <c r="Z82" s="2176"/>
      <c r="AA82" s="2176"/>
      <c r="AB82" s="2176"/>
      <c r="AC82" s="2176"/>
    </row>
    <row r="83" spans="1:29" s="1339" customFormat="1" ht="15.75" thickTop="1">
      <c r="A83" s="690"/>
      <c r="B83" s="684">
        <f>B16</f>
        <v>111</v>
      </c>
      <c r="C83" s="664"/>
      <c r="D83" s="664"/>
      <c r="E83" s="664"/>
      <c r="F83" s="664"/>
      <c r="G83" s="664"/>
      <c r="H83" s="698"/>
      <c r="I83" s="698"/>
      <c r="J83" s="698"/>
      <c r="K83" s="698"/>
      <c r="L83" s="699"/>
      <c r="M83" s="700"/>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1"/>
      <c r="B84" s="702"/>
      <c r="C84" s="703"/>
      <c r="D84" s="703"/>
      <c r="E84" s="703"/>
      <c r="F84" s="703"/>
      <c r="G84" s="703"/>
      <c r="H84" s="704"/>
      <c r="I84" s="704"/>
      <c r="J84" s="704"/>
      <c r="K84" s="704"/>
      <c r="L84" s="704"/>
      <c r="M84" s="705"/>
      <c r="N84" s="2173"/>
      <c r="O84" s="2173"/>
      <c r="P84" s="2174"/>
      <c r="Q84" s="2175"/>
      <c r="R84" s="2176"/>
      <c r="S84" s="2176"/>
      <c r="T84" s="2176"/>
      <c r="U84" s="2176"/>
      <c r="V84" s="2176"/>
      <c r="W84" s="2176"/>
      <c r="X84" s="2176"/>
      <c r="Y84" s="2176"/>
      <c r="Z84" s="2176"/>
      <c r="AA84" s="2176"/>
      <c r="AB84" s="2176"/>
      <c r="AC84" s="2176"/>
    </row>
    <row r="85" spans="1:29">
      <c r="A85" s="667" t="s">
        <v>540</v>
      </c>
      <c r="B85" s="668" t="s">
        <v>603</v>
      </c>
      <c r="C85" s="706" t="s">
        <v>580</v>
      </c>
      <c r="D85" s="706" t="s">
        <v>581</v>
      </c>
      <c r="E85" s="706" t="s">
        <v>582</v>
      </c>
      <c r="F85" s="706" t="s">
        <v>583</v>
      </c>
      <c r="G85" s="706" t="s">
        <v>584</v>
      </c>
      <c r="H85" s="707"/>
      <c r="I85" s="707"/>
      <c r="J85" s="707"/>
      <c r="K85" s="708"/>
      <c r="L85" s="709"/>
      <c r="M85" s="710"/>
      <c r="N85" s="2170"/>
      <c r="O85" s="2170"/>
      <c r="P85" s="2180"/>
      <c r="Q85" s="2164"/>
      <c r="R85" s="2151"/>
      <c r="S85" s="2151"/>
      <c r="T85" s="2151"/>
      <c r="U85" s="2151"/>
      <c r="V85" s="2151"/>
      <c r="W85" s="2151"/>
      <c r="X85" s="2151"/>
      <c r="Y85" s="2151"/>
      <c r="Z85" s="2151"/>
      <c r="AA85" s="2151"/>
      <c r="AB85" s="2151"/>
      <c r="AC85" s="2151"/>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2"/>
      <c r="O86" s="2172"/>
      <c r="P86" s="2171"/>
      <c r="Q86" s="2164"/>
      <c r="R86" s="2151"/>
      <c r="S86" s="2151"/>
      <c r="T86" s="2151"/>
      <c r="U86" s="2151"/>
      <c r="V86" s="2151"/>
      <c r="W86" s="2151"/>
      <c r="X86" s="2151"/>
      <c r="Y86" s="2151"/>
      <c r="Z86" s="2151"/>
      <c r="AA86" s="2151"/>
      <c r="AB86" s="2151"/>
      <c r="AC86" s="2151"/>
    </row>
    <row r="87" spans="1:29" ht="15.75" thickTop="1">
      <c r="A87" s="672"/>
      <c r="B87" s="676" t="s">
        <v>587</v>
      </c>
      <c r="C87" s="711" t="s">
        <v>580</v>
      </c>
      <c r="D87" s="711" t="s">
        <v>581</v>
      </c>
      <c r="E87" s="711" t="s">
        <v>582</v>
      </c>
      <c r="F87" s="711" t="s">
        <v>583</v>
      </c>
      <c r="G87" s="711" t="s">
        <v>584</v>
      </c>
      <c r="H87" s="677"/>
      <c r="I87" s="677"/>
      <c r="J87" s="677"/>
      <c r="K87" s="678"/>
      <c r="L87" s="679"/>
      <c r="M87" s="680"/>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2"/>
      <c r="B89" s="676" t="s">
        <v>588</v>
      </c>
      <c r="C89" s="711" t="s">
        <v>580</v>
      </c>
      <c r="D89" s="711" t="s">
        <v>581</v>
      </c>
      <c r="E89" s="711" t="s">
        <v>582</v>
      </c>
      <c r="F89" s="711" t="s">
        <v>583</v>
      </c>
      <c r="G89" s="711" t="s">
        <v>584</v>
      </c>
      <c r="H89" s="711"/>
      <c r="I89" s="711"/>
      <c r="J89" s="711"/>
      <c r="K89" s="711"/>
      <c r="L89" s="713"/>
      <c r="M89" s="714"/>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C90-$K21</f>
        <v>100</v>
      </c>
      <c r="E90" s="682">
        <f>D90-$K21</f>
        <v>100</v>
      </c>
      <c r="F90" s="682">
        <f>E90-$K21</f>
        <v>100</v>
      </c>
      <c r="G90" s="682">
        <f>F90-$K21</f>
        <v>100</v>
      </c>
      <c r="H90" s="682"/>
      <c r="I90" s="682"/>
      <c r="J90" s="682"/>
      <c r="K90" s="682"/>
      <c r="L90" s="682"/>
      <c r="M90" s="683"/>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2"/>
      <c r="B91" s="676" t="s">
        <v>589</v>
      </c>
      <c r="C91" s="706" t="s">
        <v>580</v>
      </c>
      <c r="D91" s="706" t="s">
        <v>581</v>
      </c>
      <c r="E91" s="706" t="s">
        <v>582</v>
      </c>
      <c r="F91" s="706" t="s">
        <v>583</v>
      </c>
      <c r="G91" s="706" t="s">
        <v>584</v>
      </c>
      <c r="H91" s="711"/>
      <c r="I91" s="711"/>
      <c r="J91" s="711"/>
      <c r="K91" s="711"/>
      <c r="L91" s="711"/>
      <c r="M91" s="714"/>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2"/>
      <c r="B92" s="681"/>
      <c r="C92" s="682">
        <v>100</v>
      </c>
      <c r="D92" s="682">
        <f>C92-$K23</f>
        <v>100</v>
      </c>
      <c r="E92" s="682">
        <f>D92-$K23</f>
        <v>100</v>
      </c>
      <c r="F92" s="682">
        <f>E92-$K23</f>
        <v>100</v>
      </c>
      <c r="G92" s="682">
        <f>F92-$K23</f>
        <v>100</v>
      </c>
      <c r="H92" s="682"/>
      <c r="I92" s="682"/>
      <c r="J92" s="682"/>
      <c r="K92" s="682"/>
      <c r="L92" s="682"/>
      <c r="M92" s="683"/>
      <c r="N92" s="2172"/>
      <c r="O92" s="2172"/>
      <c r="P92" s="2171"/>
      <c r="Q92" s="2164"/>
      <c r="R92" s="1995"/>
      <c r="S92" s="1995"/>
      <c r="T92" s="1995"/>
      <c r="U92" s="1995"/>
      <c r="V92" s="1995"/>
      <c r="W92" s="1995"/>
      <c r="X92" s="1995"/>
      <c r="Y92" s="1995"/>
      <c r="Z92" s="1995"/>
      <c r="AA92" s="1995"/>
      <c r="AB92" s="1995"/>
      <c r="AC92" s="1995"/>
    </row>
    <row r="93" spans="1:29" s="1339" customFormat="1" ht="15.75" thickTop="1">
      <c r="A93" s="690"/>
      <c r="B93" s="1899" t="s">
        <v>2560</v>
      </c>
      <c r="C93" s="706" t="s">
        <v>580</v>
      </c>
      <c r="D93" s="706" t="s">
        <v>581</v>
      </c>
      <c r="E93" s="706" t="s">
        <v>582</v>
      </c>
      <c r="F93" s="706" t="s">
        <v>583</v>
      </c>
      <c r="G93" s="706" t="s">
        <v>584</v>
      </c>
      <c r="H93" s="716"/>
      <c r="I93" s="716"/>
      <c r="J93" s="716"/>
      <c r="K93" s="716"/>
      <c r="L93" s="717"/>
      <c r="M93" s="718"/>
      <c r="N93" s="2173"/>
      <c r="O93" s="2173"/>
      <c r="P93" s="2174"/>
      <c r="Q93" s="2175"/>
      <c r="R93" s="2176"/>
      <c r="S93" s="2176"/>
      <c r="T93" s="2176"/>
      <c r="U93" s="2176"/>
      <c r="V93" s="2176"/>
      <c r="W93" s="2176"/>
      <c r="X93" s="2176"/>
      <c r="Y93" s="2176"/>
      <c r="Z93" s="2176"/>
      <c r="AA93" s="2176"/>
      <c r="AB93" s="2176"/>
      <c r="AC93" s="2176"/>
    </row>
    <row r="94" spans="1:29" s="1339" customFormat="1" ht="15.75" thickBot="1">
      <c r="A94" s="690"/>
      <c r="B94" s="681"/>
      <c r="C94" s="682">
        <v>100</v>
      </c>
      <c r="D94" s="682">
        <f>C94-$K25</f>
        <v>100</v>
      </c>
      <c r="E94" s="682">
        <f>D94-$K25</f>
        <v>100</v>
      </c>
      <c r="F94" s="682">
        <f>E94-$K25</f>
        <v>100</v>
      </c>
      <c r="G94" s="682">
        <f>F94-$K25</f>
        <v>100</v>
      </c>
      <c r="H94" s="719"/>
      <c r="I94" s="719"/>
      <c r="J94" s="719"/>
      <c r="K94" s="719"/>
      <c r="L94" s="719"/>
      <c r="M94" s="720"/>
      <c r="N94" s="2173"/>
      <c r="O94" s="2173"/>
      <c r="P94" s="2174"/>
      <c r="Q94" s="2175"/>
      <c r="R94" s="2176"/>
      <c r="S94" s="2176"/>
      <c r="T94" s="2176"/>
      <c r="U94" s="2176"/>
      <c r="V94" s="2176"/>
      <c r="W94" s="2176"/>
      <c r="X94" s="2176"/>
      <c r="Y94" s="2176"/>
      <c r="Z94" s="2176"/>
      <c r="AA94" s="2176"/>
      <c r="AB94" s="2176"/>
      <c r="AC94" s="2176"/>
    </row>
    <row r="95" spans="1:29" s="1339" customFormat="1" ht="15.75" thickTop="1">
      <c r="A95" s="690"/>
      <c r="B95" s="2628" t="s">
        <v>2562</v>
      </c>
      <c r="C95" s="2629" t="s">
        <v>2563</v>
      </c>
      <c r="D95" s="2629" t="s">
        <v>2564</v>
      </c>
      <c r="E95" s="2629" t="s">
        <v>2565</v>
      </c>
      <c r="F95" s="2629" t="s">
        <v>2566</v>
      </c>
      <c r="G95" s="2629" t="s">
        <v>2567</v>
      </c>
      <c r="H95" s="716"/>
      <c r="I95" s="716"/>
      <c r="J95" s="716"/>
      <c r="K95" s="716"/>
      <c r="L95" s="716"/>
      <c r="M95" s="718"/>
      <c r="N95" s="2173"/>
      <c r="O95" s="2173"/>
      <c r="P95" s="2174"/>
      <c r="Q95" s="2175"/>
      <c r="R95" s="2176"/>
      <c r="S95" s="2176"/>
      <c r="T95" s="2176"/>
      <c r="U95" s="2176"/>
      <c r="V95" s="2176"/>
      <c r="W95" s="2176"/>
      <c r="X95" s="2176"/>
      <c r="Y95" s="2176"/>
      <c r="Z95" s="2176"/>
      <c r="AA95" s="2176"/>
      <c r="AB95" s="2176"/>
      <c r="AC95" s="2176"/>
    </row>
    <row r="96" spans="1:29" s="1339" customFormat="1" ht="15.75" thickBot="1">
      <c r="A96" s="690"/>
      <c r="B96" s="684"/>
      <c r="C96" s="682">
        <v>100</v>
      </c>
      <c r="D96" s="682">
        <f>C96-$K27</f>
        <v>100</v>
      </c>
      <c r="E96" s="682">
        <f>D96-$K27</f>
        <v>100</v>
      </c>
      <c r="F96" s="682">
        <f>E96-$K27</f>
        <v>100</v>
      </c>
      <c r="G96" s="682">
        <f>F96-$K27</f>
        <v>100</v>
      </c>
      <c r="H96" s="686"/>
      <c r="I96" s="686"/>
      <c r="J96" s="686"/>
      <c r="K96" s="686"/>
      <c r="L96" s="686"/>
      <c r="M96" s="2621"/>
      <c r="N96" s="2173"/>
      <c r="O96" s="2173"/>
      <c r="P96" s="2174"/>
      <c r="Q96" s="2175"/>
      <c r="R96" s="2176"/>
      <c r="S96" s="2176"/>
      <c r="T96" s="2176"/>
      <c r="U96" s="2176"/>
      <c r="V96" s="2176"/>
      <c r="W96" s="2176"/>
      <c r="X96" s="2176"/>
      <c r="Y96" s="2176"/>
      <c r="Z96" s="2176"/>
      <c r="AA96" s="2176"/>
      <c r="AB96" s="2176"/>
      <c r="AC96" s="2176"/>
    </row>
    <row r="97" spans="1:29" ht="15.75" thickTop="1">
      <c r="A97" s="672"/>
      <c r="B97" s="676" t="str">
        <f>B29</f>
        <v>临街状况</v>
      </c>
      <c r="C97" s="677" t="s">
        <v>590</v>
      </c>
      <c r="D97" s="677" t="s">
        <v>591</v>
      </c>
      <c r="E97" s="677" t="s">
        <v>592</v>
      </c>
      <c r="F97" s="677" t="s">
        <v>593</v>
      </c>
      <c r="G97" s="677"/>
      <c r="H97" s="677"/>
      <c r="I97" s="677"/>
      <c r="J97" s="677"/>
      <c r="K97" s="678"/>
      <c r="L97" s="679"/>
      <c r="M97" s="680"/>
      <c r="N97" s="2170"/>
      <c r="O97" s="2170"/>
      <c r="P97" s="2171"/>
      <c r="Q97" s="2164"/>
      <c r="R97" s="2151"/>
      <c r="S97" s="2151"/>
      <c r="T97" s="2151"/>
      <c r="U97" s="2151"/>
      <c r="V97" s="2151"/>
      <c r="W97" s="2151"/>
      <c r="X97" s="2151"/>
      <c r="Y97" s="2151"/>
      <c r="Z97" s="2151"/>
      <c r="AA97" s="2151"/>
      <c r="AB97" s="2151"/>
      <c r="AC97" s="2151"/>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2"/>
      <c r="B99" s="676" t="s">
        <v>549</v>
      </c>
      <c r="C99" s="691"/>
      <c r="D99" s="691"/>
      <c r="E99" s="691"/>
      <c r="F99" s="691"/>
      <c r="G99" s="691"/>
      <c r="H99" s="721"/>
      <c r="I99" s="721"/>
      <c r="J99" s="721"/>
      <c r="K99" s="722"/>
      <c r="L99" s="723"/>
      <c r="M99" s="724"/>
      <c r="N99" s="2170"/>
      <c r="O99" s="2170"/>
      <c r="P99" s="2171"/>
      <c r="Q99" s="2164"/>
      <c r="R99" s="2151"/>
      <c r="S99" s="2151"/>
      <c r="T99" s="2151"/>
      <c r="U99" s="2151"/>
      <c r="V99" s="2151"/>
      <c r="W99" s="2151"/>
      <c r="X99" s="2151"/>
      <c r="Y99" s="2151"/>
      <c r="Z99" s="2151"/>
      <c r="AA99" s="2151"/>
      <c r="AB99" s="2151"/>
      <c r="AC99" s="2151"/>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2"/>
      <c r="B101" s="676" t="s">
        <v>550</v>
      </c>
      <c r="C101" s="721"/>
      <c r="D101" s="721"/>
      <c r="E101" s="721"/>
      <c r="F101" s="721"/>
      <c r="G101" s="721"/>
      <c r="H101" s="721"/>
      <c r="I101" s="721"/>
      <c r="J101" s="721"/>
      <c r="K101" s="722"/>
      <c r="L101" s="723"/>
      <c r="M101" s="72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2"/>
      <c r="B103" s="684">
        <f>B33</f>
        <v>111</v>
      </c>
      <c r="C103" s="691"/>
      <c r="D103" s="691"/>
      <c r="E103" s="691"/>
      <c r="F103" s="691"/>
      <c r="G103" s="725"/>
      <c r="H103" s="725"/>
      <c r="I103" s="725"/>
      <c r="J103" s="725"/>
      <c r="K103" s="726"/>
      <c r="L103" s="727"/>
      <c r="M103" s="728"/>
      <c r="N103" s="2170"/>
      <c r="O103" s="2170"/>
      <c r="P103" s="2171"/>
      <c r="Q103" s="2164"/>
      <c r="R103" s="2151"/>
      <c r="S103" s="2151"/>
      <c r="T103" s="2151"/>
      <c r="U103" s="2151"/>
      <c r="V103" s="2151"/>
      <c r="W103" s="2151"/>
      <c r="X103" s="2151"/>
      <c r="Y103" s="2151"/>
      <c r="Z103" s="2151"/>
      <c r="AA103" s="2151"/>
      <c r="AB103" s="2151"/>
      <c r="AC103" s="2151"/>
    </row>
    <row r="104" spans="1:29" ht="15.75" thickBot="1">
      <c r="A104" s="672"/>
      <c r="B104" s="702"/>
      <c r="C104" s="695"/>
      <c r="D104" s="674"/>
      <c r="E104" s="674"/>
      <c r="F104" s="674"/>
      <c r="G104" s="729"/>
      <c r="H104" s="729"/>
      <c r="I104" s="729"/>
      <c r="J104" s="729"/>
      <c r="K104" s="729"/>
      <c r="L104" s="729"/>
      <c r="M104" s="730"/>
      <c r="N104" s="2172"/>
      <c r="O104" s="2172"/>
      <c r="P104" s="2171"/>
      <c r="Q104" s="2164"/>
      <c r="R104" s="2151"/>
      <c r="S104" s="2151"/>
      <c r="T104" s="2151"/>
      <c r="U104" s="2151"/>
      <c r="V104" s="2151"/>
      <c r="W104" s="2151"/>
      <c r="X104" s="2151"/>
      <c r="Y104" s="2151"/>
      <c r="Z104" s="2151"/>
      <c r="AA104" s="2151"/>
      <c r="AB104" s="2151"/>
      <c r="AC104" s="2151"/>
    </row>
    <row r="105" spans="1:29" ht="15" thickTop="1">
      <c r="A105" s="590"/>
      <c r="B105" s="676">
        <f>B34</f>
        <v>111</v>
      </c>
      <c r="C105" s="691"/>
      <c r="D105" s="691"/>
      <c r="E105" s="691"/>
      <c r="F105" s="69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95"/>
      <c r="D106" s="695"/>
      <c r="E106" s="695"/>
      <c r="F106" s="695"/>
      <c r="G106" s="674"/>
      <c r="H106" s="674"/>
      <c r="I106" s="674"/>
      <c r="J106" s="674"/>
      <c r="K106" s="674"/>
      <c r="L106" s="674"/>
      <c r="M106" s="675"/>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1"/>
      <c r="B107" s="732">
        <f>B35</f>
        <v>111</v>
      </c>
      <c r="C107" s="664"/>
      <c r="D107" s="664"/>
      <c r="E107" s="664"/>
      <c r="F107" s="664"/>
      <c r="G107" s="733"/>
      <c r="H107" s="733"/>
      <c r="I107" s="733"/>
      <c r="J107" s="734"/>
      <c r="K107" s="734"/>
      <c r="L107" s="735"/>
      <c r="M107" s="736"/>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90"/>
      <c r="B108" s="684"/>
      <c r="C108" s="703"/>
      <c r="D108" s="703"/>
      <c r="E108" s="703"/>
      <c r="F108" s="703"/>
      <c r="G108" s="595"/>
      <c r="H108" s="595"/>
      <c r="I108" s="595"/>
      <c r="J108" s="595"/>
      <c r="K108" s="595"/>
      <c r="L108" s="595"/>
      <c r="M108" s="737"/>
      <c r="N108" s="2172"/>
      <c r="O108" s="2172"/>
      <c r="P108" s="2174"/>
      <c r="Q108" s="2175"/>
      <c r="R108" s="2176"/>
      <c r="S108" s="2176"/>
      <c r="T108" s="2176"/>
      <c r="U108" s="2176"/>
      <c r="V108" s="2176"/>
      <c r="W108" s="2176"/>
      <c r="X108" s="2176"/>
      <c r="Y108" s="2176"/>
      <c r="Z108" s="2176"/>
      <c r="AA108" s="2176"/>
      <c r="AB108" s="2176"/>
      <c r="AC108" s="2176"/>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2"/>
      <c r="B110" s="684"/>
      <c r="C110" s="733"/>
      <c r="D110" s="733"/>
      <c r="E110" s="733"/>
      <c r="F110" s="733"/>
      <c r="G110" s="733"/>
      <c r="H110" s="733"/>
      <c r="I110" s="733"/>
      <c r="J110" s="734"/>
      <c r="K110" s="734"/>
      <c r="L110" s="735"/>
      <c r="M110" s="736"/>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03"/>
      <c r="D111" s="729"/>
      <c r="E111" s="729"/>
      <c r="F111" s="729"/>
      <c r="G111" s="729"/>
      <c r="H111" s="729"/>
      <c r="I111" s="729"/>
      <c r="J111" s="729"/>
      <c r="K111" s="729"/>
      <c r="L111" s="729"/>
      <c r="M111" s="730"/>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76" t="s">
        <v>595</v>
      </c>
      <c r="C112" s="721"/>
      <c r="D112" s="721"/>
      <c r="E112" s="721"/>
      <c r="F112" s="721"/>
      <c r="G112" s="721"/>
      <c r="H112" s="721"/>
      <c r="I112" s="721"/>
      <c r="J112" s="721"/>
      <c r="K112" s="722"/>
      <c r="L112" s="723"/>
      <c r="M112" s="724"/>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1"/>
      <c r="B114" s="1899" t="s">
        <v>2435</v>
      </c>
      <c r="C114" s="1376"/>
      <c r="D114" s="1376"/>
      <c r="E114" s="1376"/>
      <c r="F114" s="1376"/>
      <c r="G114" s="1376"/>
      <c r="H114" s="721"/>
      <c r="I114" s="721"/>
      <c r="J114" s="721"/>
      <c r="K114" s="722"/>
      <c r="L114" s="723"/>
      <c r="M114" s="724"/>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8"/>
      <c r="B116" s="676" t="s">
        <v>597</v>
      </c>
      <c r="C116" s="691"/>
      <c r="D116" s="691"/>
      <c r="E116" s="721"/>
      <c r="F116" s="721"/>
      <c r="G116" s="72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f>B40</f>
        <v>111</v>
      </c>
      <c r="C118" s="691"/>
      <c r="D118" s="691"/>
      <c r="E118" s="691"/>
      <c r="F118" s="691"/>
      <c r="G118" s="69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c r="D119" s="674"/>
      <c r="E119" s="674"/>
      <c r="F119" s="674"/>
      <c r="G119" s="674"/>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ht="15" thickTop="1">
      <c r="A120" s="738"/>
      <c r="B120" s="676">
        <f>B41</f>
        <v>111</v>
      </c>
      <c r="C120" s="691"/>
      <c r="D120" s="691"/>
      <c r="E120" s="691"/>
      <c r="F120" s="691"/>
      <c r="G120" s="721"/>
      <c r="H120" s="721"/>
      <c r="I120" s="721"/>
      <c r="J120" s="721"/>
      <c r="K120" s="722"/>
      <c r="L120" s="723"/>
      <c r="M120" s="724"/>
      <c r="N120" s="2170"/>
      <c r="O120" s="2170"/>
      <c r="P120" s="2171"/>
      <c r="Q120" s="2164"/>
      <c r="R120" s="2151"/>
      <c r="S120" s="2151"/>
      <c r="T120" s="2151"/>
      <c r="U120" s="2151"/>
      <c r="V120" s="2151"/>
      <c r="W120" s="2151"/>
      <c r="X120" s="2151"/>
      <c r="Y120" s="2151"/>
      <c r="Z120" s="2151"/>
      <c r="AA120" s="2151"/>
      <c r="AB120" s="2151"/>
      <c r="AC120" s="2151"/>
    </row>
    <row r="121" spans="1:29" ht="15.75" thickBot="1">
      <c r="A121" s="672"/>
      <c r="B121" s="681"/>
      <c r="C121" s="695"/>
      <c r="D121" s="695"/>
      <c r="E121" s="695"/>
      <c r="F121" s="695"/>
      <c r="G121" s="674"/>
      <c r="H121" s="674"/>
      <c r="I121" s="674"/>
      <c r="J121" s="674"/>
      <c r="K121" s="674"/>
      <c r="L121" s="674"/>
      <c r="M121" s="675"/>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1"/>
      <c r="B122" s="676">
        <f>B42</f>
        <v>111</v>
      </c>
      <c r="C122" s="664"/>
      <c r="D122" s="664"/>
      <c r="E122" s="664"/>
      <c r="F122" s="664"/>
      <c r="G122" s="692"/>
      <c r="H122" s="692"/>
      <c r="I122" s="692"/>
      <c r="J122" s="692"/>
      <c r="K122" s="692"/>
      <c r="L122" s="693"/>
      <c r="M122" s="694"/>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1"/>
      <c r="B123" s="739"/>
      <c r="C123" s="703"/>
      <c r="D123" s="703"/>
      <c r="E123" s="703"/>
      <c r="F123" s="703"/>
      <c r="G123" s="729"/>
      <c r="H123" s="729"/>
      <c r="I123" s="729"/>
      <c r="J123" s="729"/>
      <c r="K123" s="729"/>
      <c r="L123" s="729"/>
      <c r="M123" s="730"/>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2436</v>
      </c>
      <c r="D1" s="1523">
        <f>SUM(D29:D30,D33:D39)</f>
        <v>0</v>
      </c>
      <c r="E1" s="1407" t="s">
        <v>2437</v>
      </c>
      <c r="F1" s="2483"/>
      <c r="G1" s="1402"/>
      <c r="H1" s="1402"/>
      <c r="I1" s="1402"/>
      <c r="J1" s="1402"/>
      <c r="K1" s="1402"/>
      <c r="L1" s="1885" t="s">
        <v>2248</v>
      </c>
      <c r="M1" s="1886">
        <f>SUMPRODUCT((区片价!B5:B9=I2)*(区片价!C3:F3=E2)*(区片价!C5:F9))</f>
        <v>0</v>
      </c>
      <c r="N1" s="1887">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7" t="s">
        <v>923</v>
      </c>
      <c r="B2" s="1038"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8" t="s">
        <v>2249</v>
      </c>
      <c r="M2" s="1889">
        <f>SUMPRODUCT((区片价!B10:B28=I2)*(区片价!C3:F3=E2)*(区片价!C10:F28))</f>
        <v>0</v>
      </c>
      <c r="N2" s="1890">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2" t="s">
        <v>1691</v>
      </c>
      <c r="B3" s="1038" t="e">
        <f>ROUND(B2*10000/D1,0)</f>
        <v>#DIV/0!</v>
      </c>
      <c r="C3" s="1408" t="s">
        <v>930</v>
      </c>
      <c r="D3" s="1409" t="s">
        <v>931</v>
      </c>
      <c r="E3" s="1413"/>
      <c r="F3" s="1414" t="s">
        <v>2942</v>
      </c>
      <c r="G3" s="1039">
        <f>IF(F3="宗地容积率",'数据-汇总表'!I4,IF(F3="估价对象容积率",'数据-汇总表'!I6,'数据-汇总表'!I7))</f>
        <v>2.41</v>
      </c>
      <c r="H3" s="1415" t="s">
        <v>932</v>
      </c>
      <c r="I3" s="1040">
        <v>8</v>
      </c>
      <c r="J3" s="1411" t="s">
        <v>933</v>
      </c>
      <c r="K3" s="1402"/>
      <c r="L3" s="1888" t="s">
        <v>2250</v>
      </c>
      <c r="M3" s="1889">
        <f>SUMPRODUCT((区片价!B29:B48=I2)*(区片价!C3:F3=E2)*(区片价!C29:F48))</f>
        <v>0</v>
      </c>
      <c r="N3" s="1890">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4" t="s">
        <v>2290</v>
      </c>
      <c r="B4" s="2484" t="e">
        <f>ROUND(B2*10000/F1,0)</f>
        <v>#DIV/0!</v>
      </c>
      <c r="C4" s="1897" t="s">
        <v>2264</v>
      </c>
      <c r="D4" s="1897" t="e">
        <f>ROUND(B2/(F1/666.67),0)</f>
        <v>#DIV/0!</v>
      </c>
      <c r="E4" s="1897" t="s">
        <v>2265</v>
      </c>
      <c r="F4" s="1895"/>
      <c r="G4" s="1895"/>
      <c r="H4" s="1895"/>
      <c r="I4" s="1895"/>
      <c r="J4" s="1896"/>
      <c r="K4" s="1402"/>
      <c r="L4" s="1888" t="s">
        <v>2251</v>
      </c>
      <c r="M4" s="1889">
        <f>SUMPRODUCT((区片价!B49:B75=I2)*(区片价!C3:F3=E2)*(区片价!C49:F75))</f>
        <v>0</v>
      </c>
      <c r="N4" s="1890">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3" customFormat="1" ht="15.75" thickBot="1">
      <c r="A5" s="1640" t="s">
        <v>1828</v>
      </c>
      <c r="B5" s="1416" t="s">
        <v>934</v>
      </c>
      <c r="C5" s="1041" t="e">
        <f>ROUND(IF(E2="商业",IF(F16="增加",C6*C7+C16,C6*C7-C16),IF(E2="住宅",IF(F16="增加",C6*C12+C16,C6*C12-C16),IF(F16="增加",C6+C16,C6-C16))),0)</f>
        <v>#DIV/0!</v>
      </c>
      <c r="D5" s="1417"/>
      <c r="E5" s="1418"/>
      <c r="F5" s="1418"/>
      <c r="G5" s="1419"/>
      <c r="H5" s="1419"/>
      <c r="I5" s="1419"/>
      <c r="J5" s="1420"/>
      <c r="K5" s="1596"/>
      <c r="L5" s="1888" t="s">
        <v>2252</v>
      </c>
      <c r="M5" s="1889">
        <f>SUMPRODUCT((区片价!B76:B109=I2)*(区片价!C3:F3=E2)*(区片价!C76:F109))</f>
        <v>0</v>
      </c>
      <c r="N5" s="1890">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2">
        <f>SUMIF(L1:L12,基准地价!G2,M1:M12)</f>
        <v>0</v>
      </c>
      <c r="D6" s="1425" t="s">
        <v>1699</v>
      </c>
      <c r="E6" s="1426"/>
      <c r="F6" s="1426"/>
      <c r="G6" s="1427"/>
      <c r="H6" s="1427"/>
      <c r="I6" s="1427"/>
      <c r="J6" s="1428"/>
      <c r="K6" s="1597"/>
      <c r="L6" s="1888" t="s">
        <v>2253</v>
      </c>
      <c r="M6" s="1889">
        <f>SUMPRODUCT((区片价!B110:B157=I2)*(区片价!C3:F3=E2)*(区片价!C110:F157))</f>
        <v>0</v>
      </c>
      <c r="N6" s="1890">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1"/>
      <c r="AE6" s="1421"/>
      <c r="AF6" s="1421"/>
      <c r="AG6" s="1421"/>
      <c r="AH6" s="1421"/>
      <c r="AI6" s="1421"/>
      <c r="AJ6" s="1422"/>
    </row>
    <row r="7" spans="1:39" ht="24">
      <c r="A7" s="3469" t="str">
        <f>IF(E2="商业",IF(C8="不临58条商业街","",2),"")</f>
        <v/>
      </c>
      <c r="B7" s="1429" t="s">
        <v>935</v>
      </c>
      <c r="C7" s="1043" t="e">
        <f>IF(C8="不临58条商业街",1,ROUND(1+(1.6*E8+1.2*E9+0.8*E10+0.4*E11)*C9,4))</f>
        <v>#DIV/0!</v>
      </c>
      <c r="D7" s="1430" t="s">
        <v>936</v>
      </c>
      <c r="E7" s="1044"/>
      <c r="F7" s="1431"/>
      <c r="G7" s="1432"/>
      <c r="H7" s="1432"/>
      <c r="I7" s="1432"/>
      <c r="J7" s="1433"/>
      <c r="K7" s="1597"/>
      <c r="L7" s="1888" t="s">
        <v>2254</v>
      </c>
      <c r="M7" s="1889">
        <f>SUMPRODUCT((区片价!B158:B205=I2)*(区片价!C3:F3=E2)*(区片价!C158:F205))</f>
        <v>0</v>
      </c>
      <c r="N7" s="1890">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2.41</v>
      </c>
      <c r="AA7" s="2198"/>
      <c r="AB7" s="2198"/>
      <c r="AC7" s="2199"/>
      <c r="AD7" s="2964"/>
      <c r="AE7" s="2964"/>
      <c r="AF7" s="2964"/>
      <c r="AG7" s="2964"/>
      <c r="AH7" s="2964"/>
      <c r="AI7" s="2964"/>
      <c r="AJ7" s="2965"/>
    </row>
    <row r="8" spans="1:39" ht="15">
      <c r="A8" s="3470"/>
      <c r="B8" s="1415" t="s">
        <v>937</v>
      </c>
      <c r="C8" s="1531"/>
      <c r="D8" s="1045" t="s">
        <v>938</v>
      </c>
      <c r="E8" s="1046" t="e">
        <f>ROUND(C11/E7,4)</f>
        <v>#DIV/0!</v>
      </c>
      <c r="F8" s="1434" t="s">
        <v>939</v>
      </c>
      <c r="G8" s="1435"/>
      <c r="H8" s="1435"/>
      <c r="I8" s="1435"/>
      <c r="J8" s="1436"/>
      <c r="K8" s="1402"/>
      <c r="L8" s="1888" t="s">
        <v>2255</v>
      </c>
      <c r="M8" s="1889">
        <f>SUMPRODUCT((区片价!B206:B244=I2)*(区片价!C3:F3=E2)*(区片价!C206:F244))</f>
        <v>0</v>
      </c>
      <c r="N8" s="1890">
        <f>SUMPRODUCT((因素修正幅度!B206:B244=I2)*(因素修正幅度!C3:F3=E2)*(因素修正幅度!C206:F244))</f>
        <v>0</v>
      </c>
      <c r="O8" s="2195"/>
      <c r="P8" s="2195"/>
      <c r="Q8" s="2195"/>
      <c r="R8" s="2972">
        <v>7</v>
      </c>
      <c r="S8" s="2961"/>
      <c r="T8" s="2972" t="e">
        <f t="shared" si="0"/>
        <v>#DIV/0!</v>
      </c>
      <c r="U8" s="2961"/>
      <c r="V8" s="2972" t="e">
        <f t="shared" si="1"/>
        <v>#DIV/0!</v>
      </c>
      <c r="W8" s="3476" t="s">
        <v>2798</v>
      </c>
      <c r="X8" s="3477"/>
      <c r="Y8" s="1852" t="s">
        <v>2782</v>
      </c>
      <c r="Z8" s="1852" t="s">
        <v>2783</v>
      </c>
      <c r="AA8" s="1852" t="s">
        <v>2784</v>
      </c>
      <c r="AB8" s="1852" t="s">
        <v>2785</v>
      </c>
      <c r="AC8" s="1852" t="s">
        <v>2786</v>
      </c>
      <c r="AD8" s="1852" t="s">
        <v>2787</v>
      </c>
      <c r="AE8" s="1852" t="s">
        <v>2788</v>
      </c>
      <c r="AF8" s="1852" t="s">
        <v>2789</v>
      </c>
      <c r="AG8" s="1852" t="s">
        <v>2790</v>
      </c>
      <c r="AH8" s="1852" t="s">
        <v>2791</v>
      </c>
      <c r="AI8" s="1852" t="s">
        <v>2792</v>
      </c>
      <c r="AJ8" s="1852" t="s">
        <v>2793</v>
      </c>
    </row>
    <row r="9" spans="1:39" ht="15">
      <c r="A9" s="3470"/>
      <c r="B9" s="1415" t="s">
        <v>940</v>
      </c>
      <c r="C9" s="1047">
        <f>SUMIF(修正!C59:C119,C8,修正!E59:E119)</f>
        <v>0</v>
      </c>
      <c r="D9" s="1048" t="s">
        <v>941</v>
      </c>
      <c r="E9" s="1048" t="e">
        <f>ROUND(C11/E7,4)</f>
        <v>#DIV/0!</v>
      </c>
      <c r="F9" s="1434" t="s">
        <v>942</v>
      </c>
      <c r="G9" s="1435"/>
      <c r="H9" s="1435"/>
      <c r="I9" s="1435"/>
      <c r="J9" s="1436"/>
      <c r="K9" s="1402"/>
      <c r="L9" s="1888" t="s">
        <v>2256</v>
      </c>
      <c r="M9" s="1889">
        <f>SUMPRODUCT((区片价!B245:B289=I2)*(区片价!C3:F3=E2)*(区片价!C245:F289))</f>
        <v>0</v>
      </c>
      <c r="N9" s="1890">
        <f>SUMPRODUCT((因素修正幅度!B245:B289=I2)*(因素修正幅度!C3:F3=E2)*(因素修正幅度!C245:F289))</f>
        <v>0</v>
      </c>
      <c r="O9" s="2195"/>
      <c r="P9" s="2195"/>
      <c r="Q9" s="2195"/>
      <c r="R9" s="2972">
        <v>8</v>
      </c>
      <c r="S9" s="2961"/>
      <c r="T9" s="2972" t="e">
        <f t="shared" si="0"/>
        <v>#DIV/0!</v>
      </c>
      <c r="U9" s="2961"/>
      <c r="V9" s="2972" t="e">
        <f t="shared" si="1"/>
        <v>#DIV/0!</v>
      </c>
      <c r="W9" s="3475" t="s">
        <v>2794</v>
      </c>
      <c r="X9" s="2966" t="s">
        <v>2795</v>
      </c>
      <c r="Y9" s="3129"/>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70"/>
      <c r="B10" s="1415" t="s">
        <v>943</v>
      </c>
      <c r="C10" s="1048">
        <f>SUMIF(修正!C59:C119,C8,修正!F59:F119)</f>
        <v>0</v>
      </c>
      <c r="D10" s="1048" t="s">
        <v>944</v>
      </c>
      <c r="E10" s="1048" t="e">
        <f>ROUND(C11/E7,4)</f>
        <v>#DIV/0!</v>
      </c>
      <c r="F10" s="1434" t="s">
        <v>945</v>
      </c>
      <c r="G10" s="1435"/>
      <c r="H10" s="1435"/>
      <c r="I10" s="1435"/>
      <c r="J10" s="1436"/>
      <c r="K10" s="1402"/>
      <c r="L10" s="1888" t="s">
        <v>2257</v>
      </c>
      <c r="M10" s="1889">
        <f>SUMPRODUCT((区片价!B290:B316=I2)*(区片价!C3:F3=E2)*(区片价!C290:F316))</f>
        <v>0</v>
      </c>
      <c r="N10" s="1890">
        <f>SUMPRODUCT((因素修正幅度!B290:B316=I2)*(因素修正幅度!C3:F3=E2)*(因素修正幅度!C290:F316))</f>
        <v>0</v>
      </c>
      <c r="O10" s="2195"/>
      <c r="P10" s="2195"/>
      <c r="Q10" s="2195"/>
      <c r="R10" s="2972">
        <v>9</v>
      </c>
      <c r="S10" s="2961"/>
      <c r="T10" s="2972" t="e">
        <f t="shared" si="0"/>
        <v>#DIV/0!</v>
      </c>
      <c r="U10" s="2961"/>
      <c r="V10" s="2972" t="e">
        <f t="shared" si="1"/>
        <v>#DIV/0!</v>
      </c>
      <c r="W10" s="3475"/>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70"/>
      <c r="B11" s="1437" t="s">
        <v>946</v>
      </c>
      <c r="C11" s="1049">
        <f>C10/4</f>
        <v>0</v>
      </c>
      <c r="D11" s="1049" t="s">
        <v>947</v>
      </c>
      <c r="E11" s="1049" t="e">
        <f>ROUND(C11/E7,4)</f>
        <v>#DIV/0!</v>
      </c>
      <c r="F11" s="1438" t="s">
        <v>948</v>
      </c>
      <c r="G11" s="1439"/>
      <c r="H11" s="1439"/>
      <c r="I11" s="1439"/>
      <c r="J11" s="1440"/>
      <c r="K11" s="1402"/>
      <c r="L11" s="1888" t="s">
        <v>2258</v>
      </c>
      <c r="M11" s="1889">
        <f>SUMPRODUCT((区片价!B317:B337=I2)*(区片价!C3:F3=E2)*(区片价!C317:F337))</f>
        <v>0</v>
      </c>
      <c r="N11" s="1890">
        <f>SUMPRODUCT((因素修正幅度!B317:B337=I2)*(因素修正幅度!C3:F3=E2)*(因素修正幅度!C317:F337))</f>
        <v>0</v>
      </c>
      <c r="O11" s="2195"/>
      <c r="P11" s="2195"/>
      <c r="Q11" s="2195"/>
      <c r="R11" s="2972">
        <v>10</v>
      </c>
      <c r="S11" s="2961"/>
      <c r="T11" s="2972" t="e">
        <f t="shared" si="0"/>
        <v>#DIV/0!</v>
      </c>
      <c r="U11" s="2961"/>
      <c r="V11" s="2972" t="e">
        <f t="shared" si="1"/>
        <v>#DIV/0!</v>
      </c>
      <c r="W11" s="3475" t="s">
        <v>2796</v>
      </c>
      <c r="X11" s="1048" t="s">
        <v>2781</v>
      </c>
      <c r="Y11" s="1655">
        <f>$G$3</f>
        <v>2.41</v>
      </c>
      <c r="Z11" s="1655">
        <f t="shared" ref="Z11:AJ11" si="3">$G$3</f>
        <v>2.41</v>
      </c>
      <c r="AA11" s="1655">
        <f t="shared" si="3"/>
        <v>2.41</v>
      </c>
      <c r="AB11" s="1655">
        <f t="shared" si="3"/>
        <v>2.41</v>
      </c>
      <c r="AC11" s="1655">
        <f t="shared" si="3"/>
        <v>2.41</v>
      </c>
      <c r="AD11" s="1655">
        <f t="shared" si="3"/>
        <v>2.41</v>
      </c>
      <c r="AE11" s="1655">
        <f t="shared" si="3"/>
        <v>2.41</v>
      </c>
      <c r="AF11" s="1655">
        <f t="shared" si="3"/>
        <v>2.41</v>
      </c>
      <c r="AG11" s="1655">
        <f t="shared" si="3"/>
        <v>2.41</v>
      </c>
      <c r="AH11" s="1655">
        <f t="shared" si="3"/>
        <v>2.41</v>
      </c>
      <c r="AI11" s="1655">
        <f t="shared" si="3"/>
        <v>2.41</v>
      </c>
      <c r="AJ11" s="1655">
        <f t="shared" si="3"/>
        <v>2.41</v>
      </c>
    </row>
    <row r="12" spans="1:39" ht="25.5" thickBot="1">
      <c r="A12" s="3469" t="s">
        <v>1876</v>
      </c>
      <c r="B12" s="1441" t="s">
        <v>949</v>
      </c>
      <c r="C12" s="1043">
        <f>ROUND(C15*D15*E15*F15*G15*H15*I15*J15,4)</f>
        <v>1</v>
      </c>
      <c r="D12" s="1442" t="s">
        <v>950</v>
      </c>
      <c r="E12" s="1443"/>
      <c r="F12" s="1443"/>
      <c r="G12" s="1444"/>
      <c r="H12" s="1444"/>
      <c r="I12" s="1444"/>
      <c r="J12" s="1445"/>
      <c r="K12" s="1402"/>
      <c r="L12" s="1891" t="s">
        <v>2259</v>
      </c>
      <c r="M12" s="1892">
        <f>SUMPRODUCT((区片价!B338:B344=I2)*(区片价!C3:F3=E2)*(区片价!C338:F344))</f>
        <v>0</v>
      </c>
      <c r="N12" s="1893">
        <f>SUMPRODUCT((因素修正幅度!B338:B344=I2)*(因素修正幅度!C3:F3=E2)*(因素修正幅度!C338:F344))</f>
        <v>0</v>
      </c>
      <c r="O12" s="2195"/>
      <c r="P12" s="2195"/>
      <c r="Q12" s="2195"/>
      <c r="R12" s="2972">
        <v>11</v>
      </c>
      <c r="S12" s="2961"/>
      <c r="T12" s="2972" t="e">
        <f t="shared" si="0"/>
        <v>#DIV/0!</v>
      </c>
      <c r="U12" s="2961"/>
      <c r="V12" s="2972" t="e">
        <f t="shared" si="1"/>
        <v>#DIV/0!</v>
      </c>
      <c r="W12" s="3475"/>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71"/>
      <c r="B13" s="1446" t="s">
        <v>1700</v>
      </c>
      <c r="C13" s="1447" t="s">
        <v>1701</v>
      </c>
      <c r="D13" s="1089" t="s">
        <v>1702</v>
      </c>
      <c r="E13" s="1089" t="s">
        <v>1703</v>
      </c>
      <c r="F13" s="1448" t="s">
        <v>951</v>
      </c>
      <c r="G13" s="1449" t="s">
        <v>1646</v>
      </c>
      <c r="H13" s="1450" t="s">
        <v>1646</v>
      </c>
      <c r="I13" s="1451" t="s">
        <v>1646</v>
      </c>
      <c r="J13" s="1452" t="s">
        <v>1646</v>
      </c>
      <c r="K13" s="1402"/>
      <c r="L13" s="2195"/>
      <c r="M13" s="2195"/>
      <c r="N13" s="2195"/>
      <c r="O13" s="2195"/>
      <c r="P13" s="2195"/>
      <c r="Q13" s="2195"/>
      <c r="R13" s="2972">
        <v>12</v>
      </c>
      <c r="S13" s="2961"/>
      <c r="T13" s="2972" t="e">
        <f t="shared" si="0"/>
        <v>#DIV/0!</v>
      </c>
      <c r="U13" s="2961"/>
      <c r="V13" s="2972" t="e">
        <f t="shared" si="1"/>
        <v>#DIV/0!</v>
      </c>
      <c r="W13" s="3475"/>
      <c r="X13" s="2969"/>
      <c r="Y13" s="2968">
        <f>(-0.163*(Y12^2)-0.59*Y12+7617)*(10^(-4))/Y11</f>
        <v>0.31605809128630707</v>
      </c>
      <c r="Z13" s="2968">
        <f t="shared" ref="Z13:AJ13" si="5">(-0.163*(Z12^2)-0.59*Z12+7617)*(10^(-4))/Z11</f>
        <v>0.31605809128630707</v>
      </c>
      <c r="AA13" s="2968">
        <f t="shared" si="5"/>
        <v>0.31605809128630707</v>
      </c>
      <c r="AB13" s="2968">
        <f t="shared" si="5"/>
        <v>0.31605809128630707</v>
      </c>
      <c r="AC13" s="2968">
        <f t="shared" si="5"/>
        <v>0.31605809128630707</v>
      </c>
      <c r="AD13" s="2968">
        <f t="shared" si="5"/>
        <v>0.31605809128630707</v>
      </c>
      <c r="AE13" s="2968">
        <f t="shared" si="5"/>
        <v>0.31605809128630707</v>
      </c>
      <c r="AF13" s="2968">
        <f t="shared" si="5"/>
        <v>0.31605809128630707</v>
      </c>
      <c r="AG13" s="2968">
        <f t="shared" si="5"/>
        <v>0.31605809128630707</v>
      </c>
      <c r="AH13" s="2968">
        <f t="shared" si="5"/>
        <v>0.31605809128630707</v>
      </c>
      <c r="AI13" s="2968">
        <f t="shared" si="5"/>
        <v>0.31605809128630707</v>
      </c>
      <c r="AJ13" s="2968">
        <f t="shared" si="5"/>
        <v>0.31605809128630707</v>
      </c>
    </row>
    <row r="14" spans="1:39" ht="12.75" customHeight="1" thickBot="1">
      <c r="A14" s="3471"/>
      <c r="B14" s="1453"/>
      <c r="C14" s="1454"/>
      <c r="D14" s="1455"/>
      <c r="E14" s="1455"/>
      <c r="F14" s="1456"/>
      <c r="G14" s="1457" t="s">
        <v>952</v>
      </c>
      <c r="H14" s="1458"/>
      <c r="I14" s="1459"/>
      <c r="J14" s="1460"/>
      <c r="K14" s="1402"/>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72"/>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987</v>
      </c>
      <c r="N15" s="1430" t="s">
        <v>988</v>
      </c>
      <c r="O15" s="1430" t="s">
        <v>905</v>
      </c>
      <c r="P15" s="1478" t="s">
        <v>989</v>
      </c>
      <c r="Q15" s="2195"/>
      <c r="R15" s="2972">
        <v>14</v>
      </c>
      <c r="S15" s="2961"/>
      <c r="T15" s="2972" t="e">
        <f t="shared" si="0"/>
        <v>#DIV/0!</v>
      </c>
      <c r="U15" s="2961"/>
      <c r="V15" s="2972" t="e">
        <f t="shared" si="1"/>
        <v>#DIV/0!</v>
      </c>
      <c r="W15" s="2195"/>
      <c r="X15" s="2195"/>
      <c r="Y15" s="2195"/>
      <c r="Z15" s="2195"/>
      <c r="AA15" s="2195"/>
      <c r="AB15" s="2195"/>
      <c r="AC15" s="2196"/>
    </row>
    <row r="16" spans="1:39" ht="24">
      <c r="A16" s="3469" t="s">
        <v>1843</v>
      </c>
      <c r="B16" s="1429" t="s">
        <v>953</v>
      </c>
      <c r="C16" s="1054" t="e">
        <f>ROUND(SUM(G17:J17)/C17,0)</f>
        <v>#DIV/0!</v>
      </c>
      <c r="D16" s="1462" t="s">
        <v>954</v>
      </c>
      <c r="E16" s="1463"/>
      <c r="F16" s="1464"/>
      <c r="G16" s="1465"/>
      <c r="H16" s="1465"/>
      <c r="I16" s="1465"/>
      <c r="J16" s="1465"/>
      <c r="K16" s="1402"/>
      <c r="L16" s="1466" t="s">
        <v>991</v>
      </c>
      <c r="M16" s="1047">
        <v>0.25</v>
      </c>
      <c r="N16" s="1047">
        <v>0.2</v>
      </c>
      <c r="O16" s="1047">
        <v>0.15</v>
      </c>
      <c r="P16" s="1541">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70"/>
      <c r="B17" s="1467" t="s">
        <v>956</v>
      </c>
      <c r="C17" s="1055">
        <f>SUMPRODUCT((修正!A2:A5=E2)*(修正!B1:M1=G2)*(修正!B2:M5))</f>
        <v>0</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7" t="s">
        <v>959</v>
      </c>
      <c r="C18" s="2808">
        <f>SUMIF(修正!C18:C39,E3,修正!E18:E39)</f>
        <v>0</v>
      </c>
      <c r="D18" s="2809"/>
      <c r="E18" s="2810"/>
      <c r="F18" s="2811"/>
      <c r="G18" s="2805"/>
      <c r="H18" s="2805"/>
      <c r="I18" s="2805"/>
      <c r="J18" s="2812"/>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7" t="e">
        <f>ROUND(IF(H19="按公示增长率计算",SUMPRODUCT((地价!A3:A19=YEAR(G19)&amp;"-"&amp;ROUNDUP(MONTH(G19)/3,0))*(地价!X2:AB2=E2)*(地价!X3:AB19)),IF(H19="地价指数",M20/M19,(1+I19)^O19)),4)</f>
        <v>#DIV/0!</v>
      </c>
      <c r="D19" s="1476" t="s">
        <v>961</v>
      </c>
      <c r="E19" s="1058">
        <v>41640</v>
      </c>
      <c r="F19" s="1476" t="s">
        <v>962</v>
      </c>
      <c r="G19" s="1059">
        <f>'数据-取费表'!B2</f>
        <v>42915</v>
      </c>
      <c r="H19" s="1477" t="s">
        <v>2943</v>
      </c>
      <c r="I19" s="2819" t="str">
        <f>IF(H19="季度增幅（自定义）",SUMIF(N21:N24,E2,O21:O24),"")</f>
        <v/>
      </c>
      <c r="J19" s="1473"/>
      <c r="K19" s="1483"/>
      <c r="L19" s="3074" t="s">
        <v>2856</v>
      </c>
      <c r="M19" s="3075">
        <f>ROUND(SUMIF(地价!B2:F2,E2,地价!B19:F19),0)</f>
        <v>0</v>
      </c>
      <c r="N19" s="2821" t="s">
        <v>1680</v>
      </c>
      <c r="O19" s="2820">
        <f>ROUNDDOWN(DATEDIF(E19,G19,"M")/3,0)</f>
        <v>13</v>
      </c>
      <c r="P19" s="1598"/>
      <c r="R19" s="2960"/>
      <c r="S19" s="2960"/>
      <c r="T19" s="2960"/>
      <c r="U19" s="2960"/>
      <c r="V19" s="2960"/>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3" t="s">
        <v>1841</v>
      </c>
      <c r="B20" s="2814" t="s">
        <v>975</v>
      </c>
      <c r="C20" s="2815" t="e">
        <f>ROUND(POWER(1+G20,J20-I20)*(POWER(1+G20,I20)-1)/(POWER(1+G20,J20)-1),4)</f>
        <v>#DIV/0!</v>
      </c>
      <c r="D20" s="2816" t="s">
        <v>976</v>
      </c>
      <c r="E20" s="3126">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3"/>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4"/>
      <c r="AE20" s="1474"/>
      <c r="AF20" s="1474"/>
      <c r="AG20" s="1474"/>
      <c r="AH20" s="1474"/>
      <c r="AI20" s="1474"/>
    </row>
    <row r="21" spans="1:40" s="1423" customFormat="1" ht="14.25">
      <c r="A21" s="1644" t="s">
        <v>1842</v>
      </c>
      <c r="B21" s="1482" t="s">
        <v>2776</v>
      </c>
      <c r="C21" s="1158">
        <f>IF(B21="容积率修正",IF(G3&lt;=10,D22,J22),C23)</f>
        <v>0</v>
      </c>
      <c r="D21" s="1483"/>
      <c r="E21" s="1483"/>
      <c r="F21" s="1483"/>
      <c r="G21" s="1483"/>
      <c r="H21" s="1483"/>
      <c r="I21" s="1483"/>
      <c r="J21" s="1484"/>
      <c r="K21" s="1483"/>
      <c r="L21" s="1483"/>
      <c r="M21" s="1483"/>
      <c r="N21" s="1480" t="s">
        <v>979</v>
      </c>
      <c r="O21" s="1544"/>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0" t="s">
        <v>1706</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3"/>
      <c r="L22" s="1483"/>
      <c r="M22" s="1483"/>
      <c r="N22" s="1480" t="s">
        <v>982</v>
      </c>
      <c r="O22" s="1544"/>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5"/>
    </row>
    <row r="24" spans="1:40" s="1423" customFormat="1" ht="15.75" thickBot="1">
      <c r="A24" s="1643" t="s">
        <v>1877</v>
      </c>
      <c r="B24" s="1416" t="s">
        <v>984</v>
      </c>
      <c r="C24" s="1062">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0"/>
      <c r="S24" s="2960"/>
      <c r="T24" s="2960"/>
      <c r="U24" s="2960"/>
      <c r="V24" s="2960"/>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32" t="s">
        <v>2663</v>
      </c>
      <c r="O25" s="2201"/>
      <c r="P25" s="1543">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1"/>
      <c r="B26" s="1485" t="s">
        <v>990</v>
      </c>
      <c r="C26" s="1063" t="e">
        <f>E29+SUM(E33:E39)</f>
        <v>#DIV/0!</v>
      </c>
      <c r="D26" s="1492"/>
      <c r="E26" s="1458"/>
      <c r="F26" s="1493"/>
      <c r="G26" s="1458"/>
      <c r="H26" s="1458"/>
      <c r="I26" s="1458"/>
      <c r="J26" s="1494"/>
      <c r="K26" s="1402"/>
      <c r="L26" s="2201"/>
      <c r="M26" s="2201"/>
      <c r="N26" s="2201"/>
      <c r="O26" s="2201"/>
      <c r="P26" s="2201"/>
      <c r="Q26" s="2201"/>
      <c r="R26" s="2960"/>
      <c r="S26" s="2960"/>
      <c r="T26" s="2960"/>
      <c r="U26" s="2960"/>
      <c r="V26" s="2960"/>
      <c r="W26" s="2201"/>
      <c r="X26" s="2201"/>
      <c r="Y26" s="2201"/>
      <c r="Z26" s="2201"/>
      <c r="AA26" s="2201"/>
      <c r="AB26" s="2201"/>
      <c r="AC26" s="2201"/>
      <c r="AD26" s="1474"/>
      <c r="AE26" s="1474"/>
      <c r="AF26" s="1474"/>
      <c r="AG26" s="1474"/>
    </row>
    <row r="27" spans="1:40" ht="15" thickBot="1">
      <c r="A27" s="1491"/>
      <c r="B27" s="1495" t="s">
        <v>992</v>
      </c>
      <c r="C27" s="1064" t="e">
        <f>E30+SUM(I33:I39)</f>
        <v>#DIV/0!</v>
      </c>
      <c r="D27" s="1496"/>
      <c r="E27" s="1497"/>
      <c r="F27" s="1498"/>
      <c r="G27" s="1497"/>
      <c r="H27" s="1497"/>
      <c r="I27" s="1497"/>
      <c r="J27" s="1499"/>
      <c r="K27" s="1402"/>
      <c r="L27" s="2201"/>
      <c r="M27" s="2201"/>
      <c r="N27" s="2201"/>
      <c r="O27" s="2201"/>
      <c r="P27" s="2201"/>
      <c r="Q27" s="2201"/>
      <c r="R27" s="2960"/>
      <c r="S27" s="2960"/>
      <c r="T27" s="2960"/>
      <c r="U27" s="2960"/>
      <c r="V27" s="2960"/>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60"/>
      <c r="S28" s="2960"/>
      <c r="T28" s="2960"/>
      <c r="U28" s="2960"/>
      <c r="V28" s="2960"/>
      <c r="W28" s="2201"/>
      <c r="X28" s="2201"/>
      <c r="Y28" s="2201"/>
      <c r="Z28" s="2201"/>
      <c r="AA28" s="2201"/>
      <c r="AB28" s="2201"/>
      <c r="AC28" s="2201"/>
      <c r="AD28" s="1474"/>
      <c r="AE28" s="1474"/>
      <c r="AF28" s="1474"/>
      <c r="AG28" s="1474"/>
    </row>
    <row r="29" spans="1:40" ht="24">
      <c r="A29" s="1504"/>
      <c r="B29" s="1505" t="s">
        <v>997</v>
      </c>
      <c r="C29" s="1063" t="e">
        <f>ROUND(C5*C18*C19*C20*C21*C24,0)</f>
        <v>#DIV/0!</v>
      </c>
      <c r="D29" s="1506"/>
      <c r="E29" s="1852" t="e">
        <f>ROUND(C29*D29/10000,0)</f>
        <v>#DIV/0!</v>
      </c>
      <c r="F29" s="1507" t="s">
        <v>1705</v>
      </c>
      <c r="G29" s="1508"/>
      <c r="H29" s="1508"/>
      <c r="I29" s="1508"/>
      <c r="J29" s="1509"/>
      <c r="K29" s="1402"/>
      <c r="L29" s="2201"/>
      <c r="M29" s="2201"/>
      <c r="N29" s="2201"/>
      <c r="O29" s="2201"/>
      <c r="P29" s="2201"/>
      <c r="Q29" s="2201"/>
      <c r="R29" s="2960"/>
      <c r="S29" s="2960"/>
      <c r="T29" s="2960"/>
      <c r="U29" s="2960"/>
      <c r="V29" s="2960"/>
      <c r="W29" s="2201"/>
      <c r="X29" s="2201"/>
      <c r="Y29" s="2201"/>
      <c r="Z29" s="2201"/>
      <c r="AA29" s="2201"/>
      <c r="AB29" s="2201"/>
      <c r="AC29" s="2201"/>
      <c r="AH29" s="1403"/>
      <c r="AI29" s="1403"/>
      <c r="AJ29" s="1406"/>
      <c r="AK29" s="1406"/>
      <c r="AL29" s="1406"/>
      <c r="AM29" s="1406"/>
    </row>
    <row r="30" spans="1:40" ht="24.75" thickBot="1">
      <c r="A30" s="1510"/>
      <c r="B30" s="1511" t="s">
        <v>998</v>
      </c>
      <c r="C30" s="1051" t="e">
        <f>ROUND(IF(E2="工业",C29*M39,C29*M38),0)</f>
        <v>#DIV/0!</v>
      </c>
      <c r="D30" s="1512"/>
      <c r="E30" s="1852"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1010</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1011</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1012</v>
      </c>
      <c r="B46" s="2439" t="s">
        <v>1013</v>
      </c>
      <c r="C46" s="2461" t="s">
        <v>1014</v>
      </c>
      <c r="D46" s="2462" t="s">
        <v>1015</v>
      </c>
      <c r="E46" s="2463" t="s">
        <v>1017</v>
      </c>
      <c r="F46" s="2464" t="s">
        <v>2260</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48">
      <c r="A47" s="1067" t="s">
        <v>1024</v>
      </c>
      <c r="B47" s="2442" t="str">
        <f>估价对象房地状况!C16</f>
        <v>估价对象位于东坑镇中心城区，周边商业氛围成熟，人流量较大，商业繁华度较好。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84">
      <c r="A48" s="1067" t="s">
        <v>1025</v>
      </c>
      <c r="B48" s="2439" t="str">
        <f>估价对象房地状况!C18</f>
        <v>估价对象周边有811路、829路、东坑1路等多条公交线路，区域内有城市次干道东兴中路，路网较密集，停车便捷程度较好，综合评价交通便捷度较好。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36">
      <c r="A49" s="1067" t="s">
        <v>1026</v>
      </c>
      <c r="B49" s="2439" t="str">
        <f>估价对象房地状况!C19</f>
        <v>零星有其他用地，对本宗地无不利影响，区域土地利用方向较好。</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1027</v>
      </c>
      <c r="B50" s="3128" t="s">
        <v>2945</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1028</v>
      </c>
      <c r="B51" s="2439" t="str">
        <f>估价对象房地状况!C24</f>
        <v>城市次干道—东兴中路</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1029</v>
      </c>
      <c r="B52" s="3127" t="s">
        <v>2944</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108">
      <c r="A53" s="2471" t="s">
        <v>1030</v>
      </c>
      <c r="B5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1031</v>
      </c>
      <c r="B54" s="2439" t="str">
        <f>估价对象房地状况!C22</f>
        <v>估价对象所在区域基础设施水平达“六通”。</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84.75" thickBot="1">
      <c r="A55" s="2472" t="s">
        <v>1032</v>
      </c>
      <c r="B55" s="2443" t="str">
        <f>估价对象房地状况!C20</f>
        <v>估价对象所在区有鹰岭公园，绿化较好，自然环境较好；所在区域有东莞市广播大学东坑分校等设施，人文环境较好；综合评价自然及人文环境较好。</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1033</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1012</v>
      </c>
      <c r="B57" s="2439"/>
      <c r="C57" s="2461" t="s">
        <v>1014</v>
      </c>
      <c r="D57" s="2462" t="s">
        <v>1015</v>
      </c>
      <c r="E57" s="2463" t="s">
        <v>1017</v>
      </c>
      <c r="F57" s="2464" t="s">
        <v>2261</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24">
      <c r="A58" s="1067" t="s">
        <v>1034</v>
      </c>
      <c r="B58" s="2442" t="str">
        <f>估价对象房地状况!C17</f>
        <v>——</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84">
      <c r="A59" s="1067" t="s">
        <v>1025</v>
      </c>
      <c r="B59" s="2439" t="str">
        <f>估价对象房地状况!C18</f>
        <v>估价对象周边有811路、829路、东坑1路等多条公交线路，区域内有城市次干道东兴中路，路网较密集，停车便捷程度较好，综合评价交通便捷度较好。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36">
      <c r="A60" s="1067" t="s">
        <v>1026</v>
      </c>
      <c r="B60" s="2439" t="str">
        <f>估价对象房地状况!C19</f>
        <v>零星有其他用地，对本宗地无不利影响，区域土地利用方向较好。</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1027</v>
      </c>
      <c r="B61" s="3128" t="s">
        <v>2946</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1028</v>
      </c>
      <c r="B62" s="2439" t="str">
        <f>估价对象房地状况!C24</f>
        <v>城市次干道—东兴中路</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1029</v>
      </c>
      <c r="B63" s="3127" t="s">
        <v>2944</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108">
      <c r="A64" s="1067" t="s">
        <v>1030</v>
      </c>
      <c r="B64" s="2440" t="str">
        <f>估价对象房地状况!C21</f>
        <v>估价对象所在区域有银行（东莞市农村商业银行(东坑新市镇分理处)）、医院（东莞市东坑医院）、超市（美惠佳连锁超市）、学校（东莞市东坑镇群英小学）及餐饮等设施，公共配套设施齐备情况较好。</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1031</v>
      </c>
      <c r="B65" s="2440" t="str">
        <f>估价对象房地状况!C22</f>
        <v>估价对象所在区域基础设施水平达“六通”。</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84.75" thickBot="1">
      <c r="A66" s="2472" t="s">
        <v>1032</v>
      </c>
      <c r="B66" s="2444" t="str">
        <f>估价对象房地状况!C20</f>
        <v>估价对象所在区有鹰岭公园，绿化较好，自然环境较好；所在区域有东莞市广播大学东坑分校等设施，人文环境较好；综合评价自然及人文环境较好。</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1035</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1012</v>
      </c>
      <c r="B68" s="2439"/>
      <c r="C68" s="2461" t="s">
        <v>1014</v>
      </c>
      <c r="D68" s="2462" t="s">
        <v>1015</v>
      </c>
      <c r="E68" s="2463" t="s">
        <v>1017</v>
      </c>
      <c r="F68" s="2464" t="s">
        <v>2262</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72">
      <c r="A69" s="1067" t="s">
        <v>1036</v>
      </c>
      <c r="B69" s="2442" t="str">
        <f>估价对象房地状况!C15</f>
        <v>估价对象周边有皇家公馆、草塘花园、嘉盈名苑等居住社区，居住用地比例较大、居住小区规模和社区发展完善程度好，综合评价居住社区成熟度好。</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84">
      <c r="A70" s="1067" t="s">
        <v>1037</v>
      </c>
      <c r="B70" s="2439" t="str">
        <f>估价对象房地状况!C18</f>
        <v>估价对象周边有811路、829路、东坑1路等多条公交线路，区域内有城市次干道东兴中路，路网较密集，停车便捷程度较好，综合评价交通便捷度较好。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36">
      <c r="A71" s="1067" t="s">
        <v>1026</v>
      </c>
      <c r="B71" s="2439" t="str">
        <f>估价对象房地状况!C19</f>
        <v>零星有其他用地，对本宗地无不利影响，区域土地利用方向较好。</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1038</v>
      </c>
      <c r="B72" s="2439" t="str">
        <f>估价对象房地状况!C24</f>
        <v>城市次干道—东兴中路</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108">
      <c r="A73" s="1067" t="s">
        <v>1030</v>
      </c>
      <c r="B7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1031</v>
      </c>
      <c r="B74" s="2440" t="str">
        <f>估价对象房地状况!C22</f>
        <v>估价对象所在区域基础设施水平达“六通”。</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1029</v>
      </c>
      <c r="B75" s="3127" t="s">
        <v>2944</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84">
      <c r="A76" s="1067" t="s">
        <v>1032</v>
      </c>
      <c r="B76" s="2442" t="str">
        <f>估价对象房地状况!C20</f>
        <v>估价对象所在区有鹰岭公园，绿化较好，自然环境较好；所在区域有东莞市广播大学东坑分校等设施，人文环境较好；综合评价自然及人文环境较好。</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1039</v>
      </c>
      <c r="B77" s="1853"/>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1040</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1012</v>
      </c>
      <c r="B79" s="2439"/>
      <c r="C79" s="2461" t="s">
        <v>1014</v>
      </c>
      <c r="D79" s="2462" t="s">
        <v>1015</v>
      </c>
      <c r="E79" s="2463" t="s">
        <v>1017</v>
      </c>
      <c r="F79" s="2464" t="s">
        <v>2263</v>
      </c>
      <c r="G79" s="2462" t="s">
        <v>1018</v>
      </c>
      <c r="H79" s="2445" t="s">
        <v>2428</v>
      </c>
      <c r="I79" s="2462" t="s">
        <v>1016</v>
      </c>
      <c r="J79" s="2465" t="s">
        <v>1019</v>
      </c>
      <c r="K79" s="2465" t="s">
        <v>1020</v>
      </c>
      <c r="L79" s="2465" t="s">
        <v>1021</v>
      </c>
      <c r="M79" s="2465" t="s">
        <v>1022</v>
      </c>
      <c r="N79" s="2465" t="s">
        <v>1023</v>
      </c>
      <c r="AC79" s="1406"/>
      <c r="AD79" s="1405"/>
      <c r="AJ79" s="1404"/>
      <c r="AN79" s="1405"/>
    </row>
    <row r="80" spans="1:40" ht="36">
      <c r="A80" s="1067" t="s">
        <v>1041</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1037</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1026</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1038</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1030</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1031</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1029</v>
      </c>
      <c r="B86" s="3127" t="s">
        <v>2944</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1042</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73" t="s">
        <v>1637</v>
      </c>
      <c r="B90" s="3473"/>
      <c r="C90" s="3473"/>
      <c r="D90" s="3473"/>
      <c r="E90" s="3473"/>
      <c r="F90" s="3473"/>
      <c r="G90" s="3473"/>
      <c r="H90" s="3473"/>
      <c r="I90" s="3473"/>
      <c r="J90" s="3473"/>
      <c r="K90" s="2481"/>
      <c r="L90" s="2481"/>
      <c r="M90" s="2481"/>
      <c r="N90" s="2481"/>
    </row>
    <row r="91" spans="1:40">
      <c r="A91" s="3474" t="s">
        <v>1447</v>
      </c>
      <c r="B91" s="3474" t="s">
        <v>1638</v>
      </c>
      <c r="C91" s="1140" t="s">
        <v>1639</v>
      </c>
      <c r="D91" s="1141"/>
      <c r="E91" s="1141"/>
      <c r="F91" s="1141"/>
      <c r="G91" s="1141"/>
      <c r="H91" s="1141"/>
      <c r="I91" s="1141"/>
      <c r="J91" s="1142"/>
      <c r="K91" s="1134"/>
      <c r="L91" s="1134"/>
      <c r="M91" s="1134"/>
      <c r="N91" s="1134"/>
    </row>
    <row r="92" spans="1:40">
      <c r="A92" s="3474"/>
      <c r="B92" s="3474"/>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78" t="s">
        <v>2779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9"/>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8" t="s">
        <v>1641</v>
      </c>
      <c r="B101" s="1147" t="s">
        <v>909</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79"/>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79"/>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79"/>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79"/>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79"/>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79"/>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79"/>
      <c r="B108" s="3481"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0"/>
      <c r="B109" s="3482"/>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68" t="s">
        <v>1643</v>
      </c>
      <c r="B110" s="3468"/>
      <c r="C110" s="3468"/>
      <c r="D110" s="3468"/>
      <c r="E110" s="3468"/>
      <c r="F110" s="3468"/>
      <c r="G110" s="3468"/>
      <c r="H110" s="3468"/>
      <c r="I110" s="3468"/>
      <c r="J110" s="3468"/>
      <c r="K110" s="2479"/>
      <c r="L110" s="2479"/>
      <c r="M110" s="2479"/>
      <c r="N110" s="2479"/>
    </row>
    <row r="112" spans="1:14" ht="12.75" thickBot="1"/>
    <row r="113" spans="1:13" ht="25.5" thickBot="1">
      <c r="A113" s="1016" t="s">
        <v>899</v>
      </c>
      <c r="B113" s="2482">
        <f>G3</f>
        <v>2.41</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904</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905</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906</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1" customFormat="1" ht="19.5" customHeight="1">
      <c r="A18" s="3474" t="s">
        <v>1011</v>
      </c>
      <c r="B18" s="1154" t="s">
        <v>1450</v>
      </c>
      <c r="C18" s="1131" t="s">
        <v>1451</v>
      </c>
      <c r="D18" s="1132"/>
      <c r="E18" s="1154">
        <v>1</v>
      </c>
      <c r="F18" s="1133" t="s">
        <v>1452</v>
      </c>
      <c r="G18" s="1134"/>
      <c r="H18" s="1105"/>
      <c r="I18" s="1105"/>
    </row>
    <row r="19" spans="1:9" s="1601" customFormat="1" ht="19.5" customHeight="1">
      <c r="A19" s="3474"/>
      <c r="B19" s="3474" t="s">
        <v>1453</v>
      </c>
      <c r="C19" s="1131" t="s">
        <v>1454</v>
      </c>
      <c r="D19" s="1132"/>
      <c r="E19" s="1154">
        <v>0.9</v>
      </c>
      <c r="F19" s="1133" t="s">
        <v>1455</v>
      </c>
      <c r="G19" s="1134"/>
      <c r="H19" s="1105"/>
      <c r="I19" s="1105"/>
    </row>
    <row r="20" spans="1:9" s="1601" customFormat="1" ht="19.5" customHeight="1">
      <c r="A20" s="3474"/>
      <c r="B20" s="3474"/>
      <c r="C20" s="1131" t="s">
        <v>1456</v>
      </c>
      <c r="D20" s="1132"/>
      <c r="E20" s="1154">
        <v>1.1000000000000001</v>
      </c>
      <c r="F20" s="1133" t="s">
        <v>1457</v>
      </c>
      <c r="G20" s="1134"/>
      <c r="H20" s="1105"/>
      <c r="I20" s="1105"/>
    </row>
    <row r="21" spans="1:9" s="1601" customFormat="1" ht="19.5" customHeight="1">
      <c r="A21" s="3474"/>
      <c r="B21" s="3474"/>
      <c r="C21" s="1131" t="s">
        <v>1458</v>
      </c>
      <c r="D21" s="1132"/>
      <c r="E21" s="1154">
        <v>0.8</v>
      </c>
      <c r="F21" s="1133" t="s">
        <v>1459</v>
      </c>
      <c r="G21" s="1134"/>
      <c r="H21" s="1105"/>
      <c r="I21" s="1105"/>
    </row>
    <row r="22" spans="1:9" s="1601" customFormat="1" ht="19.5" customHeight="1">
      <c r="A22" s="3474"/>
      <c r="B22" s="3474"/>
      <c r="C22" s="1131" t="s">
        <v>1460</v>
      </c>
      <c r="D22" s="1132"/>
      <c r="E22" s="1154">
        <v>0.5</v>
      </c>
      <c r="F22" s="1133"/>
      <c r="G22" s="1134"/>
      <c r="H22" s="1105"/>
      <c r="I22" s="1105"/>
    </row>
    <row r="23" spans="1:9" s="1601" customFormat="1" ht="19.5" customHeight="1">
      <c r="A23" s="3474" t="s">
        <v>1033</v>
      </c>
      <c r="B23" s="1154" t="s">
        <v>1450</v>
      </c>
      <c r="C23" s="1131" t="s">
        <v>1461</v>
      </c>
      <c r="D23" s="1132"/>
      <c r="E23" s="1154">
        <v>1</v>
      </c>
      <c r="F23" s="1133" t="s">
        <v>1462</v>
      </c>
      <c r="G23" s="1134"/>
      <c r="H23" s="1105"/>
      <c r="I23" s="1105"/>
    </row>
    <row r="24" spans="1:9" s="1601" customFormat="1" ht="19.5" customHeight="1">
      <c r="A24" s="3474"/>
      <c r="B24" s="3474" t="s">
        <v>1453</v>
      </c>
      <c r="C24" s="1131" t="s">
        <v>1463</v>
      </c>
      <c r="D24" s="1132"/>
      <c r="E24" s="1154">
        <v>0.5</v>
      </c>
      <c r="F24" s="1133"/>
      <c r="G24" s="1134"/>
      <c r="H24" s="1105"/>
      <c r="I24" s="1105"/>
    </row>
    <row r="25" spans="1:9" s="1601" customFormat="1" ht="19.5" customHeight="1">
      <c r="A25" s="3474"/>
      <c r="B25" s="3474"/>
      <c r="C25" s="1131" t="s">
        <v>1464</v>
      </c>
      <c r="D25" s="1132"/>
      <c r="E25" s="1154">
        <v>1.1000000000000001</v>
      </c>
      <c r="F25" s="1133"/>
      <c r="G25" s="1134"/>
      <c r="H25" s="1105"/>
      <c r="I25" s="1105"/>
    </row>
    <row r="26" spans="1:9" s="1601" customFormat="1" ht="19.5" customHeight="1">
      <c r="A26" s="3474"/>
      <c r="B26" s="3474"/>
      <c r="C26" s="1131" t="s">
        <v>1465</v>
      </c>
      <c r="D26" s="1132"/>
      <c r="E26" s="1154">
        <v>1.1000000000000001</v>
      </c>
      <c r="F26" s="1133"/>
      <c r="G26" s="1134"/>
      <c r="H26" s="1105"/>
      <c r="I26" s="1105"/>
    </row>
    <row r="27" spans="1:9" s="1601" customFormat="1" ht="19.5" customHeight="1">
      <c r="A27" s="3474"/>
      <c r="B27" s="3474"/>
      <c r="C27" s="1131" t="s">
        <v>1466</v>
      </c>
      <c r="D27" s="1132"/>
      <c r="E27" s="1154">
        <v>0.9</v>
      </c>
      <c r="F27" s="1133" t="s">
        <v>1467</v>
      </c>
      <c r="G27" s="1134"/>
      <c r="H27" s="1105"/>
      <c r="I27" s="1105"/>
    </row>
    <row r="28" spans="1:9" s="1601" customFormat="1" ht="19.5" customHeight="1">
      <c r="A28" s="3474"/>
      <c r="B28" s="3474"/>
      <c r="C28" s="1131" t="s">
        <v>1468</v>
      </c>
      <c r="D28" s="1132"/>
      <c r="E28" s="1154">
        <v>0.9</v>
      </c>
      <c r="F28" s="1133" t="s">
        <v>1469</v>
      </c>
      <c r="G28" s="1134"/>
      <c r="H28" s="1105"/>
      <c r="I28" s="1105"/>
    </row>
    <row r="29" spans="1:9" s="1601" customFormat="1" ht="19.5" customHeight="1">
      <c r="A29" s="3474"/>
      <c r="B29" s="3474"/>
      <c r="C29" s="1131" t="s">
        <v>1470</v>
      </c>
      <c r="D29" s="1132"/>
      <c r="E29" s="1154">
        <v>0.9</v>
      </c>
      <c r="F29" s="1133" t="s">
        <v>1471</v>
      </c>
      <c r="G29" s="1134"/>
      <c r="H29" s="1105"/>
      <c r="I29" s="1105"/>
    </row>
    <row r="30" spans="1:9" s="1601" customFormat="1" ht="19.5" customHeight="1">
      <c r="A30" s="3474"/>
      <c r="B30" s="3474"/>
      <c r="C30" s="1131" t="s">
        <v>1472</v>
      </c>
      <c r="D30" s="1132"/>
      <c r="E30" s="1154">
        <v>0.9</v>
      </c>
      <c r="F30" s="1133" t="s">
        <v>1473</v>
      </c>
      <c r="G30" s="1134"/>
      <c r="H30" s="1105"/>
      <c r="I30" s="1105"/>
    </row>
    <row r="31" spans="1:9" s="1601" customFormat="1" ht="19.5" customHeight="1">
      <c r="A31" s="3474"/>
      <c r="B31" s="3474"/>
      <c r="C31" s="1131" t="s">
        <v>1474</v>
      </c>
      <c r="D31" s="1132"/>
      <c r="E31" s="1154">
        <v>0.8</v>
      </c>
      <c r="F31" s="1133" t="s">
        <v>1475</v>
      </c>
      <c r="G31" s="1134"/>
      <c r="H31" s="1105"/>
      <c r="I31" s="1105"/>
    </row>
    <row r="32" spans="1:9" s="1601" customFormat="1" ht="19.5" customHeight="1">
      <c r="A32" s="3474"/>
      <c r="B32" s="3474"/>
      <c r="C32" s="1131" t="s">
        <v>1476</v>
      </c>
      <c r="D32" s="1132"/>
      <c r="E32" s="1154">
        <v>0.8</v>
      </c>
      <c r="F32" s="1133" t="s">
        <v>1477</v>
      </c>
      <c r="G32" s="1134"/>
      <c r="H32" s="1105"/>
      <c r="I32" s="1105"/>
    </row>
    <row r="33" spans="1:9" s="1601" customFormat="1" ht="19.5" customHeight="1">
      <c r="A33" s="3474" t="s">
        <v>1478</v>
      </c>
      <c r="B33" s="1154" t="s">
        <v>1450</v>
      </c>
      <c r="C33" s="1131" t="s">
        <v>1479</v>
      </c>
      <c r="D33" s="1132"/>
      <c r="E33" s="1154">
        <v>1</v>
      </c>
      <c r="F33" s="1133" t="s">
        <v>1480</v>
      </c>
      <c r="G33" s="1134"/>
      <c r="H33" s="1105"/>
      <c r="I33" s="1105"/>
    </row>
    <row r="34" spans="1:9" s="1601" customFormat="1" ht="19.5" customHeight="1">
      <c r="A34" s="3474"/>
      <c r="B34" s="1154" t="s">
        <v>1453</v>
      </c>
      <c r="C34" s="1131" t="s">
        <v>1481</v>
      </c>
      <c r="D34" s="1132"/>
      <c r="E34" s="1154">
        <v>1.5</v>
      </c>
      <c r="F34" s="1133" t="s">
        <v>1482</v>
      </c>
      <c r="G34" s="1134"/>
      <c r="H34" s="1105"/>
      <c r="I34" s="1105"/>
    </row>
    <row r="35" spans="1:9" s="1601" customFormat="1" ht="19.5" customHeight="1">
      <c r="A35" s="3474" t="s">
        <v>1436</v>
      </c>
      <c r="B35" s="1154" t="s">
        <v>1450</v>
      </c>
      <c r="C35" s="1131" t="s">
        <v>1483</v>
      </c>
      <c r="D35" s="1132"/>
      <c r="E35" s="1154">
        <v>1</v>
      </c>
      <c r="F35" s="1133" t="s">
        <v>1484</v>
      </c>
      <c r="G35" s="1134"/>
      <c r="H35" s="1105"/>
      <c r="I35" s="1105"/>
    </row>
    <row r="36" spans="1:9" s="1601" customFormat="1" ht="19.5" customHeight="1">
      <c r="A36" s="3474"/>
      <c r="B36" s="3474" t="s">
        <v>1453</v>
      </c>
      <c r="C36" s="1131" t="s">
        <v>1485</v>
      </c>
      <c r="D36" s="1132"/>
      <c r="E36" s="1154">
        <v>1</v>
      </c>
      <c r="F36" s="1133" t="s">
        <v>1486</v>
      </c>
      <c r="G36" s="1134"/>
      <c r="H36" s="1105"/>
      <c r="I36" s="1105"/>
    </row>
    <row r="37" spans="1:9" s="1601" customFormat="1" ht="19.5" customHeight="1">
      <c r="A37" s="3474"/>
      <c r="B37" s="3474"/>
      <c r="C37" s="1131" t="s">
        <v>1487</v>
      </c>
      <c r="D37" s="1132"/>
      <c r="E37" s="1154">
        <v>1.5</v>
      </c>
      <c r="F37" s="1133" t="s">
        <v>1488</v>
      </c>
      <c r="G37" s="1134"/>
      <c r="H37" s="1105"/>
      <c r="I37" s="1105"/>
    </row>
    <row r="38" spans="1:9" s="1601" customFormat="1" ht="19.5" customHeight="1">
      <c r="A38" s="3474"/>
      <c r="B38" s="3474"/>
      <c r="C38" s="1131" t="s">
        <v>1489</v>
      </c>
      <c r="D38" s="1132"/>
      <c r="E38" s="1154">
        <v>1</v>
      </c>
      <c r="F38" s="1133" t="s">
        <v>1490</v>
      </c>
      <c r="G38" s="1134"/>
      <c r="H38" s="1105"/>
      <c r="I38" s="1105"/>
    </row>
    <row r="39" spans="1:9" s="1601" customFormat="1" ht="19.5" customHeight="1">
      <c r="A39" s="3474"/>
      <c r="B39" s="3474"/>
      <c r="C39" s="1131" t="s">
        <v>1491</v>
      </c>
      <c r="D39" s="1132"/>
      <c r="E39" s="1154">
        <v>1</v>
      </c>
      <c r="F39" s="1133" t="s">
        <v>1492</v>
      </c>
      <c r="G39" s="1134"/>
      <c r="H39" s="1105"/>
      <c r="I39" s="1105"/>
    </row>
    <row r="40" spans="1:9" s="1601" customFormat="1" ht="19.5" customHeight="1">
      <c r="A40" s="1602" t="s">
        <v>1493</v>
      </c>
      <c r="B40" s="1602"/>
      <c r="C40" s="1602"/>
      <c r="D40" s="1602"/>
      <c r="E40" s="1602"/>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74" t="s">
        <v>1505</v>
      </c>
      <c r="C61" s="1068" t="s">
        <v>1506</v>
      </c>
      <c r="D61" s="1068" t="s">
        <v>1507</v>
      </c>
      <c r="E61" s="1139">
        <v>0.5</v>
      </c>
      <c r="F61" s="1154">
        <v>80</v>
      </c>
      <c r="H61" s="1105">
        <f>SUMIF(C59:C119,基准地价!C8,E59:E119)</f>
        <v>0</v>
      </c>
    </row>
    <row r="62" spans="1:8" s="1105" customFormat="1" ht="24">
      <c r="A62" s="1154">
        <v>2</v>
      </c>
      <c r="B62" s="3474"/>
      <c r="C62" s="1068" t="s">
        <v>1508</v>
      </c>
      <c r="D62" s="1068" t="s">
        <v>1509</v>
      </c>
      <c r="E62" s="1139">
        <v>0.5</v>
      </c>
      <c r="F62" s="1154">
        <v>80</v>
      </c>
    </row>
    <row r="63" spans="1:8" s="1105" customFormat="1" ht="36">
      <c r="A63" s="1154">
        <v>3</v>
      </c>
      <c r="B63" s="3474"/>
      <c r="C63" s="1068" t="s">
        <v>1510</v>
      </c>
      <c r="D63" s="1068" t="s">
        <v>1511</v>
      </c>
      <c r="E63" s="1139">
        <v>0.5</v>
      </c>
      <c r="F63" s="1154">
        <v>80</v>
      </c>
    </row>
    <row r="64" spans="1:8" s="1105" customFormat="1" ht="36">
      <c r="A64" s="1154">
        <v>4</v>
      </c>
      <c r="B64" s="3474"/>
      <c r="C64" s="1068" t="s">
        <v>1512</v>
      </c>
      <c r="D64" s="1068" t="s">
        <v>1513</v>
      </c>
      <c r="E64" s="1139">
        <v>0.4</v>
      </c>
      <c r="F64" s="1154">
        <v>60</v>
      </c>
    </row>
    <row r="65" spans="1:6" s="1105" customFormat="1" ht="36">
      <c r="A65" s="1154">
        <v>5</v>
      </c>
      <c r="B65" s="3474"/>
      <c r="C65" s="1068" t="s">
        <v>1514</v>
      </c>
      <c r="D65" s="1068" t="s">
        <v>1515</v>
      </c>
      <c r="E65" s="1139">
        <v>0.2</v>
      </c>
      <c r="F65" s="1154">
        <v>30</v>
      </c>
    </row>
    <row r="66" spans="1:6" s="1105" customFormat="1" ht="36">
      <c r="A66" s="1154">
        <v>6</v>
      </c>
      <c r="B66" s="3474"/>
      <c r="C66" s="1068" t="s">
        <v>1516</v>
      </c>
      <c r="D66" s="1068" t="s">
        <v>1517</v>
      </c>
      <c r="E66" s="1139">
        <v>0.3</v>
      </c>
      <c r="F66" s="1154">
        <v>50</v>
      </c>
    </row>
    <row r="67" spans="1:6" s="1105" customFormat="1" ht="36">
      <c r="A67" s="1154">
        <v>7</v>
      </c>
      <c r="B67" s="3474"/>
      <c r="C67" s="1068" t="s">
        <v>1518</v>
      </c>
      <c r="D67" s="1068" t="s">
        <v>1519</v>
      </c>
      <c r="E67" s="1139">
        <v>0.2</v>
      </c>
      <c r="F67" s="1154">
        <v>30</v>
      </c>
    </row>
    <row r="68" spans="1:6" s="1105" customFormat="1" ht="36">
      <c r="A68" s="1154">
        <v>8</v>
      </c>
      <c r="B68" s="3474"/>
      <c r="C68" s="1068" t="s">
        <v>1520</v>
      </c>
      <c r="D68" s="1068" t="s">
        <v>1521</v>
      </c>
      <c r="E68" s="1139">
        <v>0.2</v>
      </c>
      <c r="F68" s="1154">
        <v>30</v>
      </c>
    </row>
    <row r="69" spans="1:6" s="1105" customFormat="1" ht="36">
      <c r="A69" s="1154">
        <v>9</v>
      </c>
      <c r="B69" s="3474"/>
      <c r="C69" s="1068" t="s">
        <v>1522</v>
      </c>
      <c r="D69" s="1068" t="s">
        <v>1523</v>
      </c>
      <c r="E69" s="1139">
        <v>0.2</v>
      </c>
      <c r="F69" s="1154">
        <v>30</v>
      </c>
    </row>
    <row r="70" spans="1:6" s="1105" customFormat="1" ht="48">
      <c r="A70" s="1154">
        <v>10</v>
      </c>
      <c r="B70" s="3474"/>
      <c r="C70" s="1068" t="s">
        <v>1524</v>
      </c>
      <c r="D70" s="1068" t="s">
        <v>1525</v>
      </c>
      <c r="E70" s="1139">
        <v>0.2</v>
      </c>
      <c r="F70" s="1154">
        <v>30</v>
      </c>
    </row>
    <row r="71" spans="1:6" s="1105" customFormat="1" ht="48">
      <c r="A71" s="1154">
        <v>11</v>
      </c>
      <c r="B71" s="3474"/>
      <c r="C71" s="1068" t="s">
        <v>1526</v>
      </c>
      <c r="D71" s="1068" t="s">
        <v>1527</v>
      </c>
      <c r="E71" s="1139">
        <v>0.2</v>
      </c>
      <c r="F71" s="1154">
        <v>30</v>
      </c>
    </row>
    <row r="72" spans="1:6" s="1105" customFormat="1" ht="36">
      <c r="A72" s="1154">
        <v>12</v>
      </c>
      <c r="B72" s="3474"/>
      <c r="C72" s="1068" t="s">
        <v>1528</v>
      </c>
      <c r="D72" s="1068" t="s">
        <v>1529</v>
      </c>
      <c r="E72" s="1139">
        <v>0.5</v>
      </c>
      <c r="F72" s="1154">
        <v>80</v>
      </c>
    </row>
    <row r="73" spans="1:6" s="1105" customFormat="1" ht="24">
      <c r="A73" s="1154">
        <v>13</v>
      </c>
      <c r="B73" s="3474"/>
      <c r="C73" s="1068" t="s">
        <v>1530</v>
      </c>
      <c r="D73" s="1068" t="s">
        <v>1531</v>
      </c>
      <c r="E73" s="1139">
        <v>0.4</v>
      </c>
      <c r="F73" s="1154">
        <v>60</v>
      </c>
    </row>
    <row r="74" spans="1:6" s="1105" customFormat="1" ht="24">
      <c r="A74" s="1154">
        <v>14</v>
      </c>
      <c r="B74" s="3474"/>
      <c r="C74" s="1068" t="s">
        <v>1532</v>
      </c>
      <c r="D74" s="1068" t="s">
        <v>1533</v>
      </c>
      <c r="E74" s="1139">
        <v>0.2</v>
      </c>
      <c r="F74" s="1154">
        <v>30</v>
      </c>
    </row>
    <row r="75" spans="1:6" s="1105" customFormat="1" ht="24">
      <c r="A75" s="1154">
        <v>15</v>
      </c>
      <c r="B75" s="3474"/>
      <c r="C75" s="1068" t="s">
        <v>1534</v>
      </c>
      <c r="D75" s="1068" t="s">
        <v>1535</v>
      </c>
      <c r="E75" s="1139">
        <v>0.2</v>
      </c>
      <c r="F75" s="1154">
        <v>30</v>
      </c>
    </row>
    <row r="76" spans="1:6" s="1105" customFormat="1" ht="24">
      <c r="A76" s="1154">
        <v>16</v>
      </c>
      <c r="B76" s="3474" t="s">
        <v>1536</v>
      </c>
      <c r="C76" s="1068" t="s">
        <v>1537</v>
      </c>
      <c r="D76" s="1068" t="s">
        <v>1538</v>
      </c>
      <c r="E76" s="1139">
        <v>0.5</v>
      </c>
      <c r="F76" s="1154">
        <v>80</v>
      </c>
    </row>
    <row r="77" spans="1:6" s="1105" customFormat="1" ht="24">
      <c r="A77" s="1154">
        <v>17</v>
      </c>
      <c r="B77" s="3474"/>
      <c r="C77" s="1068" t="s">
        <v>1539</v>
      </c>
      <c r="D77" s="1068" t="s">
        <v>1540</v>
      </c>
      <c r="E77" s="1139">
        <v>0.5</v>
      </c>
      <c r="F77" s="1154">
        <v>80</v>
      </c>
    </row>
    <row r="78" spans="1:6" s="1105" customFormat="1" ht="24">
      <c r="A78" s="1154">
        <v>18</v>
      </c>
      <c r="B78" s="3474"/>
      <c r="C78" s="1068" t="s">
        <v>1541</v>
      </c>
      <c r="D78" s="1068" t="s">
        <v>1542</v>
      </c>
      <c r="E78" s="1139">
        <v>0.2</v>
      </c>
      <c r="F78" s="1154">
        <v>30</v>
      </c>
    </row>
    <row r="79" spans="1:6" s="1105" customFormat="1" ht="24">
      <c r="A79" s="1154">
        <v>19</v>
      </c>
      <c r="B79" s="3474"/>
      <c r="C79" s="1068" t="s">
        <v>1543</v>
      </c>
      <c r="D79" s="1068" t="s">
        <v>1544</v>
      </c>
      <c r="E79" s="1139">
        <v>0.5</v>
      </c>
      <c r="F79" s="1154">
        <v>80</v>
      </c>
    </row>
    <row r="80" spans="1:6" s="1105" customFormat="1" ht="36">
      <c r="A80" s="1154">
        <v>20</v>
      </c>
      <c r="B80" s="3474"/>
      <c r="C80" s="1068" t="s">
        <v>1545</v>
      </c>
      <c r="D80" s="1068" t="s">
        <v>1546</v>
      </c>
      <c r="E80" s="1139">
        <v>0.2</v>
      </c>
      <c r="F80" s="1154">
        <v>30</v>
      </c>
    </row>
    <row r="81" spans="1:6" s="1105" customFormat="1" ht="36">
      <c r="A81" s="1154">
        <v>21</v>
      </c>
      <c r="B81" s="3474"/>
      <c r="C81" s="1068" t="s">
        <v>1547</v>
      </c>
      <c r="D81" s="1068" t="s">
        <v>1548</v>
      </c>
      <c r="E81" s="1139">
        <v>0.2</v>
      </c>
      <c r="F81" s="1154">
        <v>30</v>
      </c>
    </row>
    <row r="82" spans="1:6" s="1105" customFormat="1" ht="48">
      <c r="A82" s="1154">
        <v>22</v>
      </c>
      <c r="B82" s="3474"/>
      <c r="C82" s="1068" t="s">
        <v>1549</v>
      </c>
      <c r="D82" s="1068" t="s">
        <v>1550</v>
      </c>
      <c r="E82" s="1139">
        <v>0.2</v>
      </c>
      <c r="F82" s="1154">
        <v>30</v>
      </c>
    </row>
    <row r="83" spans="1:6" s="1105" customFormat="1" ht="48">
      <c r="A83" s="1154">
        <v>23</v>
      </c>
      <c r="B83" s="3474"/>
      <c r="C83" s="1068" t="s">
        <v>1551</v>
      </c>
      <c r="D83" s="1068" t="s">
        <v>1552</v>
      </c>
      <c r="E83" s="1139">
        <v>0.2</v>
      </c>
      <c r="F83" s="1154">
        <v>30</v>
      </c>
    </row>
    <row r="84" spans="1:6" s="1105" customFormat="1" ht="36">
      <c r="A84" s="1154">
        <v>24</v>
      </c>
      <c r="B84" s="3474"/>
      <c r="C84" s="1068" t="s">
        <v>1553</v>
      </c>
      <c r="D84" s="1068" t="s">
        <v>1554</v>
      </c>
      <c r="E84" s="1139">
        <v>0.2</v>
      </c>
      <c r="F84" s="1154">
        <v>30</v>
      </c>
    </row>
    <row r="85" spans="1:6" s="1105" customFormat="1" ht="36">
      <c r="A85" s="1154">
        <v>25</v>
      </c>
      <c r="B85" s="3474"/>
      <c r="C85" s="1068" t="s">
        <v>1555</v>
      </c>
      <c r="D85" s="1068" t="s">
        <v>1556</v>
      </c>
      <c r="E85" s="1139">
        <v>0.5</v>
      </c>
      <c r="F85" s="1154">
        <v>80</v>
      </c>
    </row>
    <row r="86" spans="1:6" s="1105" customFormat="1" ht="36">
      <c r="A86" s="1154">
        <v>26</v>
      </c>
      <c r="B86" s="3474"/>
      <c r="C86" s="1068" t="s">
        <v>1557</v>
      </c>
      <c r="D86" s="1068" t="s">
        <v>1558</v>
      </c>
      <c r="E86" s="1139">
        <v>0.2</v>
      </c>
      <c r="F86" s="1154">
        <v>30</v>
      </c>
    </row>
    <row r="87" spans="1:6" s="1105" customFormat="1" ht="36">
      <c r="A87" s="1154">
        <v>27</v>
      </c>
      <c r="B87" s="3474"/>
      <c r="C87" s="1068" t="s">
        <v>1559</v>
      </c>
      <c r="D87" s="1068" t="s">
        <v>1560</v>
      </c>
      <c r="E87" s="1139">
        <v>0.2</v>
      </c>
      <c r="F87" s="1154">
        <v>30</v>
      </c>
    </row>
    <row r="88" spans="1:6" s="1105" customFormat="1" ht="36">
      <c r="A88" s="1154">
        <v>28</v>
      </c>
      <c r="B88" s="3474"/>
      <c r="C88" s="1068" t="s">
        <v>1561</v>
      </c>
      <c r="D88" s="1068" t="s">
        <v>1562</v>
      </c>
      <c r="E88" s="1139">
        <v>0.2</v>
      </c>
      <c r="F88" s="1154">
        <v>30</v>
      </c>
    </row>
    <row r="89" spans="1:6" s="1105" customFormat="1" ht="24">
      <c r="A89" s="1154">
        <v>29</v>
      </c>
      <c r="B89" s="3474"/>
      <c r="C89" s="1068" t="s">
        <v>1563</v>
      </c>
      <c r="D89" s="1068" t="s">
        <v>1564</v>
      </c>
      <c r="E89" s="1139">
        <v>0.2</v>
      </c>
      <c r="F89" s="1154">
        <v>30</v>
      </c>
    </row>
    <row r="90" spans="1:6" s="1105" customFormat="1" ht="24">
      <c r="A90" s="1154">
        <v>30</v>
      </c>
      <c r="B90" s="3474"/>
      <c r="C90" s="1068" t="s">
        <v>1565</v>
      </c>
      <c r="D90" s="1068" t="s">
        <v>1566</v>
      </c>
      <c r="E90" s="1139">
        <v>0.2</v>
      </c>
      <c r="F90" s="1154">
        <v>30</v>
      </c>
    </row>
    <row r="91" spans="1:6" s="1105" customFormat="1" ht="36">
      <c r="A91" s="1154">
        <v>31</v>
      </c>
      <c r="B91" s="3474"/>
      <c r="C91" s="1068" t="s">
        <v>1567</v>
      </c>
      <c r="D91" s="1068" t="s">
        <v>1568</v>
      </c>
      <c r="E91" s="1139">
        <v>0.2</v>
      </c>
      <c r="F91" s="1154">
        <v>30</v>
      </c>
    </row>
    <row r="92" spans="1:6" s="1105" customFormat="1" ht="24">
      <c r="A92" s="1154">
        <v>32</v>
      </c>
      <c r="B92" s="3474" t="s">
        <v>1569</v>
      </c>
      <c r="C92" s="1154" t="s">
        <v>1570</v>
      </c>
      <c r="D92" s="1068" t="s">
        <v>1571</v>
      </c>
      <c r="E92" s="1139">
        <v>0.2</v>
      </c>
      <c r="F92" s="1154">
        <v>30</v>
      </c>
    </row>
    <row r="93" spans="1:6" s="1105" customFormat="1" ht="36">
      <c r="A93" s="1154">
        <v>33</v>
      </c>
      <c r="B93" s="3474"/>
      <c r="C93" s="1154" t="s">
        <v>1572</v>
      </c>
      <c r="D93" s="1068" t="s">
        <v>1573</v>
      </c>
      <c r="E93" s="1139">
        <v>0.2</v>
      </c>
      <c r="F93" s="1154">
        <v>30</v>
      </c>
    </row>
    <row r="94" spans="1:6" s="1105" customFormat="1" ht="48">
      <c r="A94" s="1154">
        <v>34</v>
      </c>
      <c r="B94" s="3474"/>
      <c r="C94" s="1154" t="s">
        <v>1574</v>
      </c>
      <c r="D94" s="1068" t="s">
        <v>1575</v>
      </c>
      <c r="E94" s="1139">
        <v>0.2</v>
      </c>
      <c r="F94" s="1154">
        <v>30</v>
      </c>
    </row>
    <row r="95" spans="1:6" s="1105" customFormat="1" ht="36">
      <c r="A95" s="1154">
        <v>35</v>
      </c>
      <c r="B95" s="3474"/>
      <c r="C95" s="1154" t="s">
        <v>1576</v>
      </c>
      <c r="D95" s="1068" t="s">
        <v>1577</v>
      </c>
      <c r="E95" s="1139">
        <v>0.2</v>
      </c>
      <c r="F95" s="1154">
        <v>30</v>
      </c>
    </row>
    <row r="96" spans="1:6" s="1105" customFormat="1" ht="48">
      <c r="A96" s="1154">
        <v>36</v>
      </c>
      <c r="B96" s="3474"/>
      <c r="C96" s="1068" t="s">
        <v>1578</v>
      </c>
      <c r="D96" s="1068" t="s">
        <v>1579</v>
      </c>
      <c r="E96" s="1139">
        <v>0.2</v>
      </c>
      <c r="F96" s="1154">
        <v>30</v>
      </c>
    </row>
    <row r="97" spans="1:6" s="1105" customFormat="1" ht="36">
      <c r="A97" s="1154">
        <v>37</v>
      </c>
      <c r="B97" s="3474"/>
      <c r="C97" s="1154" t="s">
        <v>1580</v>
      </c>
      <c r="D97" s="1068" t="s">
        <v>1581</v>
      </c>
      <c r="E97" s="1139">
        <v>0.2</v>
      </c>
      <c r="F97" s="1154">
        <v>30</v>
      </c>
    </row>
    <row r="98" spans="1:6" s="1105" customFormat="1" ht="36">
      <c r="A98" s="1154">
        <v>38</v>
      </c>
      <c r="B98" s="3474"/>
      <c r="C98" s="1154" t="s">
        <v>1582</v>
      </c>
      <c r="D98" s="1068" t="s">
        <v>1583</v>
      </c>
      <c r="E98" s="1139">
        <v>0.2</v>
      </c>
      <c r="F98" s="1154">
        <v>30</v>
      </c>
    </row>
    <row r="99" spans="1:6" s="1105" customFormat="1" ht="36">
      <c r="A99" s="1154">
        <v>39</v>
      </c>
      <c r="B99" s="3474" t="s">
        <v>1584</v>
      </c>
      <c r="C99" s="1154" t="s">
        <v>1585</v>
      </c>
      <c r="D99" s="1068" t="s">
        <v>1586</v>
      </c>
      <c r="E99" s="1139">
        <v>0.3</v>
      </c>
      <c r="F99" s="1154">
        <v>50</v>
      </c>
    </row>
    <row r="100" spans="1:6" s="1105" customFormat="1" ht="24">
      <c r="A100" s="1154">
        <v>40</v>
      </c>
      <c r="B100" s="3474"/>
      <c r="C100" s="1154" t="s">
        <v>1587</v>
      </c>
      <c r="D100" s="1068" t="s">
        <v>1588</v>
      </c>
      <c r="E100" s="1139">
        <v>0.2</v>
      </c>
      <c r="F100" s="1154">
        <v>30</v>
      </c>
    </row>
    <row r="101" spans="1:6" s="1105" customFormat="1" ht="36">
      <c r="A101" s="1154">
        <v>41</v>
      </c>
      <c r="B101" s="3474"/>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74" t="s">
        <v>1599</v>
      </c>
      <c r="C105" s="1154" t="s">
        <v>1600</v>
      </c>
      <c r="D105" s="1068" t="s">
        <v>1601</v>
      </c>
      <c r="E105" s="1139">
        <v>0.2</v>
      </c>
      <c r="F105" s="1154">
        <v>30</v>
      </c>
    </row>
    <row r="106" spans="1:6" s="1105" customFormat="1" ht="36">
      <c r="A106" s="1154">
        <v>46</v>
      </c>
      <c r="B106" s="3474"/>
      <c r="C106" s="1154" t="s">
        <v>1602</v>
      </c>
      <c r="D106" s="1068" t="s">
        <v>1603</v>
      </c>
      <c r="E106" s="1139">
        <v>0.2</v>
      </c>
      <c r="F106" s="1154">
        <v>30</v>
      </c>
    </row>
    <row r="107" spans="1:6" s="1105" customFormat="1" ht="36">
      <c r="A107" s="1154">
        <v>47</v>
      </c>
      <c r="B107" s="3474" t="s">
        <v>1604</v>
      </c>
      <c r="C107" s="1154" t="s">
        <v>1605</v>
      </c>
      <c r="D107" s="1068" t="s">
        <v>1606</v>
      </c>
      <c r="E107" s="1139">
        <v>0.3</v>
      </c>
      <c r="F107" s="1154">
        <v>50</v>
      </c>
    </row>
    <row r="108" spans="1:6" s="1105" customFormat="1" ht="36">
      <c r="A108" s="1154">
        <v>48</v>
      </c>
      <c r="B108" s="3474"/>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74" t="s">
        <v>1615</v>
      </c>
      <c r="C111" s="1154" t="s">
        <v>1616</v>
      </c>
      <c r="D111" s="1068" t="s">
        <v>1617</v>
      </c>
      <c r="E111" s="1139">
        <v>0.2</v>
      </c>
      <c r="F111" s="1154">
        <v>30</v>
      </c>
    </row>
    <row r="112" spans="1:6" s="1105" customFormat="1" ht="24">
      <c r="A112" s="1154">
        <v>52</v>
      </c>
      <c r="B112" s="3474"/>
      <c r="C112" s="1154" t="s">
        <v>1618</v>
      </c>
      <c r="D112" s="1068" t="s">
        <v>1619</v>
      </c>
      <c r="E112" s="1139">
        <v>0.2</v>
      </c>
      <c r="F112" s="1154">
        <v>30</v>
      </c>
    </row>
    <row r="113" spans="1:14" s="1105" customFormat="1" ht="24">
      <c r="A113" s="1154">
        <v>53</v>
      </c>
      <c r="B113" s="3474"/>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74" t="s">
        <v>1628</v>
      </c>
      <c r="C116" s="1154" t="s">
        <v>1629</v>
      </c>
      <c r="D116" s="1068" t="s">
        <v>1630</v>
      </c>
      <c r="E116" s="1139">
        <v>0.2</v>
      </c>
      <c r="F116" s="1154">
        <v>30</v>
      </c>
    </row>
    <row r="117" spans="1:14" ht="36">
      <c r="A117" s="1154">
        <v>57</v>
      </c>
      <c r="B117" s="3474"/>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73" t="s">
        <v>1637</v>
      </c>
      <c r="B121" s="3473"/>
      <c r="C121" s="3473"/>
      <c r="D121" s="3473"/>
      <c r="E121" s="3473"/>
      <c r="F121" s="3473"/>
      <c r="G121" s="3473"/>
      <c r="H121" s="3473"/>
      <c r="I121" s="3473"/>
      <c r="J121" s="347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3" t="s">
        <v>1043</v>
      </c>
      <c r="B1" s="3483"/>
      <c r="C1" s="3483"/>
      <c r="D1" s="3483"/>
      <c r="E1" s="3483"/>
      <c r="F1" s="3483"/>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84" t="s">
        <v>1056</v>
      </c>
      <c r="B2" s="3484"/>
      <c r="C2" s="3484"/>
      <c r="D2" s="3484"/>
      <c r="E2" s="3484"/>
      <c r="F2" s="3484"/>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85"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86"/>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2432</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2433</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87" t="s">
        <v>2089</v>
      </c>
      <c r="B1" s="3487"/>
    </row>
    <row r="2" spans="1:6" ht="14.25" thickBot="1">
      <c r="A2" s="1854"/>
      <c r="B2" s="1854"/>
    </row>
    <row r="3" spans="1:6" ht="14.25" thickBot="1">
      <c r="A3" s="1854"/>
      <c r="B3" s="1854"/>
      <c r="C3" s="1855" t="s">
        <v>2090</v>
      </c>
      <c r="D3" s="1855" t="s">
        <v>2091</v>
      </c>
      <c r="E3" s="1855" t="s">
        <v>2092</v>
      </c>
      <c r="F3" s="1855" t="s">
        <v>2093</v>
      </c>
    </row>
    <row r="4" spans="1:6" ht="14.25" thickBot="1">
      <c r="A4" s="1856" t="s">
        <v>2094</v>
      </c>
      <c r="B4" s="1857" t="s">
        <v>2095</v>
      </c>
      <c r="C4" s="1855"/>
      <c r="D4" s="1855"/>
      <c r="E4" s="1855"/>
      <c r="F4" s="1855"/>
    </row>
    <row r="5" spans="1:6" ht="14.25" thickBot="1">
      <c r="A5" s="1858" t="s">
        <v>2096</v>
      </c>
      <c r="B5" s="1859" t="s">
        <v>2097</v>
      </c>
      <c r="C5" s="1860">
        <v>8.8999999999999996E-2</v>
      </c>
      <c r="D5" s="1860">
        <v>7.3999999999999996E-2</v>
      </c>
      <c r="E5" s="1860">
        <v>7.4999999999999997E-2</v>
      </c>
      <c r="F5" s="1861">
        <v>0.1</v>
      </c>
    </row>
    <row r="6" spans="1:6" ht="14.25" thickBot="1">
      <c r="A6" s="1858" t="s">
        <v>1100</v>
      </c>
      <c r="B6" s="1862" t="s">
        <v>2098</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2099</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2100</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2101</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2102</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2103</v>
      </c>
      <c r="C72" s="1872"/>
      <c r="D72" s="1872"/>
      <c r="E72" s="1872"/>
      <c r="F72" s="1864">
        <v>0.05</v>
      </c>
    </row>
    <row r="73" spans="1:6" ht="14.25" thickBot="1">
      <c r="A73" s="1858" t="s">
        <v>928</v>
      </c>
      <c r="B73" s="1862" t="s">
        <v>2104</v>
      </c>
      <c r="C73" s="1872"/>
      <c r="D73" s="1872"/>
      <c r="E73" s="1872"/>
      <c r="F73" s="1864">
        <v>0.05</v>
      </c>
    </row>
    <row r="74" spans="1:6" ht="14.25" thickBot="1">
      <c r="A74" s="1858" t="s">
        <v>928</v>
      </c>
      <c r="B74" s="1862" t="s">
        <v>2105</v>
      </c>
      <c r="C74" s="1872"/>
      <c r="D74" s="1872"/>
      <c r="E74" s="1872"/>
      <c r="F74" s="1864">
        <v>0.05</v>
      </c>
    </row>
    <row r="75" spans="1:6" ht="14.25" thickBot="1">
      <c r="A75" s="1866" t="s">
        <v>928</v>
      </c>
      <c r="B75" s="1873" t="s">
        <v>2106</v>
      </c>
      <c r="C75" s="1869"/>
      <c r="D75" s="1869"/>
      <c r="E75" s="1869"/>
      <c r="F75" s="1874">
        <v>0.05</v>
      </c>
    </row>
    <row r="76" spans="1:6" ht="14.25" thickBot="1">
      <c r="A76" s="1858" t="s">
        <v>1411</v>
      </c>
      <c r="B76" s="1859" t="s">
        <v>2107</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2108</v>
      </c>
      <c r="C102" s="1872"/>
      <c r="D102" s="1872"/>
      <c r="E102" s="1872"/>
      <c r="F102" s="1864">
        <v>0.05</v>
      </c>
    </row>
    <row r="103" spans="1:6" ht="24.75" thickBot="1">
      <c r="A103" s="1858" t="s">
        <v>1411</v>
      </c>
      <c r="B103" s="1862" t="s">
        <v>2109</v>
      </c>
      <c r="C103" s="1872"/>
      <c r="D103" s="1872"/>
      <c r="E103" s="1872"/>
      <c r="F103" s="1864">
        <v>0.05</v>
      </c>
    </row>
    <row r="104" spans="1:6" ht="14.25" thickBot="1">
      <c r="A104" s="1858" t="s">
        <v>1411</v>
      </c>
      <c r="B104" s="1862" t="s">
        <v>2110</v>
      </c>
      <c r="C104" s="1872"/>
      <c r="D104" s="1872"/>
      <c r="E104" s="1872"/>
      <c r="F104" s="1864">
        <v>0.05</v>
      </c>
    </row>
    <row r="105" spans="1:6" ht="14.25" thickBot="1">
      <c r="A105" s="1858" t="s">
        <v>1411</v>
      </c>
      <c r="B105" s="1862" t="s">
        <v>2111</v>
      </c>
      <c r="C105" s="1872"/>
      <c r="D105" s="1872"/>
      <c r="E105" s="1872"/>
      <c r="F105" s="1864">
        <v>0.05</v>
      </c>
    </row>
    <row r="106" spans="1:6" ht="14.25" thickBot="1">
      <c r="A106" s="1858" t="s">
        <v>1411</v>
      </c>
      <c r="B106" s="1862" t="s">
        <v>2112</v>
      </c>
      <c r="C106" s="1872"/>
      <c r="D106" s="1872"/>
      <c r="E106" s="1872"/>
      <c r="F106" s="1864">
        <v>0.05</v>
      </c>
    </row>
    <row r="107" spans="1:6" ht="24.75" thickBot="1">
      <c r="A107" s="1858" t="s">
        <v>1411</v>
      </c>
      <c r="B107" s="1862" t="s">
        <v>2113</v>
      </c>
      <c r="C107" s="1872"/>
      <c r="D107" s="1872"/>
      <c r="E107" s="1872"/>
      <c r="F107" s="1864">
        <v>0.05</v>
      </c>
    </row>
    <row r="108" spans="1:6" ht="24.75" thickBot="1">
      <c r="A108" s="1858" t="s">
        <v>1411</v>
      </c>
      <c r="B108" s="1862" t="s">
        <v>2114</v>
      </c>
      <c r="C108" s="1872"/>
      <c r="D108" s="1872"/>
      <c r="E108" s="1872"/>
      <c r="F108" s="1864">
        <v>0.05</v>
      </c>
    </row>
    <row r="109" spans="1:6" ht="24.75" thickBot="1">
      <c r="A109" s="1866" t="s">
        <v>1411</v>
      </c>
      <c r="B109" s="1873" t="s">
        <v>2115</v>
      </c>
      <c r="C109" s="1869"/>
      <c r="D109" s="1869"/>
      <c r="E109" s="1869"/>
      <c r="F109" s="1874">
        <v>0.05</v>
      </c>
    </row>
    <row r="110" spans="1:6" ht="14.25" thickBot="1">
      <c r="A110" s="1858" t="s">
        <v>1413</v>
      </c>
      <c r="B110" s="1859" t="s">
        <v>2116</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2117</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2118</v>
      </c>
      <c r="C138" s="1863">
        <v>0.105</v>
      </c>
      <c r="D138" s="1863">
        <v>0.125</v>
      </c>
      <c r="E138" s="1863">
        <v>0.112</v>
      </c>
      <c r="F138" s="1871"/>
    </row>
    <row r="139" spans="1:6" ht="14.25" thickBot="1">
      <c r="A139" s="1858" t="s">
        <v>1413</v>
      </c>
      <c r="B139" s="1862" t="s">
        <v>2119</v>
      </c>
      <c r="C139" s="1863">
        <v>0.127</v>
      </c>
      <c r="D139" s="1863">
        <v>0.127</v>
      </c>
      <c r="E139" s="1863">
        <v>0.122</v>
      </c>
      <c r="F139" s="1864">
        <v>0.13</v>
      </c>
    </row>
    <row r="140" spans="1:6" ht="14.25" thickBot="1">
      <c r="A140" s="1858" t="s">
        <v>1413</v>
      </c>
      <c r="B140" s="1862" t="s">
        <v>2120</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2121</v>
      </c>
      <c r="C144" s="1876">
        <v>0.126</v>
      </c>
      <c r="D144" s="1876">
        <v>0.126</v>
      </c>
      <c r="E144" s="1876">
        <v>0.121</v>
      </c>
      <c r="F144" s="1871"/>
    </row>
    <row r="145" spans="1:6" ht="14.25" thickBot="1">
      <c r="A145" s="1866" t="s">
        <v>1413</v>
      </c>
      <c r="B145" s="1877" t="s">
        <v>2122</v>
      </c>
      <c r="C145" s="1878"/>
      <c r="D145" s="1878"/>
      <c r="E145" s="1878"/>
      <c r="F145" s="1879">
        <v>0.05</v>
      </c>
    </row>
    <row r="146" spans="1:6" ht="24.75" thickBot="1">
      <c r="A146" s="1880" t="s">
        <v>1413</v>
      </c>
      <c r="B146" s="1865" t="s">
        <v>2123</v>
      </c>
      <c r="C146" s="1872"/>
      <c r="D146" s="1872"/>
      <c r="E146" s="1872"/>
      <c r="F146" s="1881">
        <v>0.05</v>
      </c>
    </row>
    <row r="147" spans="1:6" ht="24.75" thickBot="1">
      <c r="A147" s="1858" t="s">
        <v>1413</v>
      </c>
      <c r="B147" s="1862" t="s">
        <v>2124</v>
      </c>
      <c r="C147" s="1872"/>
      <c r="D147" s="1872"/>
      <c r="E147" s="1872"/>
      <c r="F147" s="1864">
        <v>0.05</v>
      </c>
    </row>
    <row r="148" spans="1:6" ht="24.75" thickBot="1">
      <c r="A148" s="1858" t="s">
        <v>1413</v>
      </c>
      <c r="B148" s="1862" t="s">
        <v>2125</v>
      </c>
      <c r="C148" s="1872"/>
      <c r="D148" s="1872"/>
      <c r="E148" s="1872"/>
      <c r="F148" s="1864">
        <v>0.05</v>
      </c>
    </row>
    <row r="149" spans="1:6" ht="24.75" thickBot="1">
      <c r="A149" s="1858" t="s">
        <v>1413</v>
      </c>
      <c r="B149" s="1862" t="s">
        <v>2126</v>
      </c>
      <c r="C149" s="1872"/>
      <c r="D149" s="1872"/>
      <c r="E149" s="1872"/>
      <c r="F149" s="1864">
        <v>0.05</v>
      </c>
    </row>
    <row r="150" spans="1:6" ht="24.75" thickBot="1">
      <c r="A150" s="1858" t="s">
        <v>1413</v>
      </c>
      <c r="B150" s="1862" t="s">
        <v>2127</v>
      </c>
      <c r="C150" s="1872"/>
      <c r="D150" s="1872"/>
      <c r="E150" s="1872"/>
      <c r="F150" s="1864">
        <v>0.05</v>
      </c>
    </row>
    <row r="151" spans="1:6" ht="24.75" thickBot="1">
      <c r="A151" s="1858" t="s">
        <v>1413</v>
      </c>
      <c r="B151" s="1862" t="s">
        <v>2128</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2129</v>
      </c>
      <c r="C153" s="1872"/>
      <c r="D153" s="1872"/>
      <c r="E153" s="1872"/>
      <c r="F153" s="1864">
        <v>0.05</v>
      </c>
    </row>
    <row r="154" spans="1:6" ht="14.25" thickBot="1">
      <c r="A154" s="1858" t="s">
        <v>1413</v>
      </c>
      <c r="B154" s="1862" t="s">
        <v>2130</v>
      </c>
      <c r="C154" s="1872"/>
      <c r="D154" s="1872"/>
      <c r="E154" s="1872"/>
      <c r="F154" s="1864">
        <v>0.05</v>
      </c>
    </row>
    <row r="155" spans="1:6" ht="24.75" thickBot="1">
      <c r="A155" s="1858" t="s">
        <v>1413</v>
      </c>
      <c r="B155" s="1862" t="s">
        <v>2131</v>
      </c>
      <c r="C155" s="1872"/>
      <c r="D155" s="1872"/>
      <c r="E155" s="1872"/>
      <c r="F155" s="1864">
        <v>0.05</v>
      </c>
    </row>
    <row r="156" spans="1:6" ht="24.75" thickBot="1">
      <c r="A156" s="1858" t="s">
        <v>1413</v>
      </c>
      <c r="B156" s="1862" t="s">
        <v>2132</v>
      </c>
      <c r="C156" s="1872"/>
      <c r="D156" s="1872"/>
      <c r="E156" s="1872"/>
      <c r="F156" s="1864">
        <v>0.05</v>
      </c>
    </row>
    <row r="157" spans="1:6" ht="14.25" thickBot="1">
      <c r="A157" s="1866" t="s">
        <v>1413</v>
      </c>
      <c r="B157" s="1873" t="s">
        <v>2133</v>
      </c>
      <c r="C157" s="1869"/>
      <c r="D157" s="1869"/>
      <c r="E157" s="1869"/>
      <c r="F157" s="1874">
        <v>0.05</v>
      </c>
    </row>
    <row r="158" spans="1:6" ht="14.25" thickBot="1">
      <c r="A158" s="1858" t="s">
        <v>1415</v>
      </c>
      <c r="B158" s="1859" t="s">
        <v>2134</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2135</v>
      </c>
      <c r="C171" s="1863">
        <v>0.127</v>
      </c>
      <c r="D171" s="1863">
        <v>0.126</v>
      </c>
      <c r="E171" s="1863">
        <v>0.126</v>
      </c>
      <c r="F171" s="1864">
        <v>0.11799999999999999</v>
      </c>
    </row>
    <row r="172" spans="1:6" ht="14.25" thickBot="1">
      <c r="A172" s="1858" t="s">
        <v>1415</v>
      </c>
      <c r="B172" s="1862" t="s">
        <v>2136</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2137</v>
      </c>
      <c r="C174" s="1863">
        <v>0.13</v>
      </c>
      <c r="D174" s="1863">
        <v>0.13</v>
      </c>
      <c r="E174" s="1863">
        <v>0.13</v>
      </c>
      <c r="F174" s="1864">
        <v>0.13</v>
      </c>
    </row>
    <row r="175" spans="1:6" ht="14.25" thickBot="1">
      <c r="A175" s="1858" t="s">
        <v>1415</v>
      </c>
      <c r="B175" s="1862" t="s">
        <v>2138</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2139</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2140</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2141</v>
      </c>
      <c r="C185" s="1863">
        <v>0.127</v>
      </c>
      <c r="D185" s="1863">
        <v>0.127</v>
      </c>
      <c r="E185" s="1863">
        <v>0.128</v>
      </c>
      <c r="F185" s="1864">
        <v>0.13</v>
      </c>
    </row>
    <row r="186" spans="1:6" ht="24.75" thickBot="1">
      <c r="A186" s="1858" t="s">
        <v>1415</v>
      </c>
      <c r="B186" s="1862" t="s">
        <v>2142</v>
      </c>
      <c r="C186" s="1872"/>
      <c r="D186" s="1872"/>
      <c r="E186" s="1872"/>
      <c r="F186" s="1864">
        <v>0.05</v>
      </c>
    </row>
    <row r="187" spans="1:6" ht="14.25" thickBot="1">
      <c r="A187" s="1858" t="s">
        <v>1415</v>
      </c>
      <c r="B187" s="1862" t="s">
        <v>2143</v>
      </c>
      <c r="C187" s="1872"/>
      <c r="D187" s="1872"/>
      <c r="E187" s="1872"/>
      <c r="F187" s="1864">
        <v>0.05</v>
      </c>
    </row>
    <row r="188" spans="1:6" ht="14.25" thickBot="1">
      <c r="A188" s="1858" t="s">
        <v>1415</v>
      </c>
      <c r="B188" s="1862" t="s">
        <v>2144</v>
      </c>
      <c r="C188" s="1872"/>
      <c r="D188" s="1872"/>
      <c r="E188" s="1872"/>
      <c r="F188" s="1864">
        <v>0.05</v>
      </c>
    </row>
    <row r="189" spans="1:6" ht="24.75" thickBot="1">
      <c r="A189" s="1858" t="s">
        <v>1415</v>
      </c>
      <c r="B189" s="1862" t="s">
        <v>2145</v>
      </c>
      <c r="C189" s="1872"/>
      <c r="D189" s="1872"/>
      <c r="E189" s="1872"/>
      <c r="F189" s="1864">
        <v>0.05</v>
      </c>
    </row>
    <row r="190" spans="1:6" ht="24.75" thickBot="1">
      <c r="A190" s="1858" t="s">
        <v>1415</v>
      </c>
      <c r="B190" s="1862" t="s">
        <v>2146</v>
      </c>
      <c r="C190" s="1872"/>
      <c r="D190" s="1872"/>
      <c r="E190" s="1872"/>
      <c r="F190" s="1864">
        <v>0.05</v>
      </c>
    </row>
    <row r="191" spans="1:6" ht="24.75" thickBot="1">
      <c r="A191" s="1858" t="s">
        <v>1415</v>
      </c>
      <c r="B191" s="1862" t="s">
        <v>2147</v>
      </c>
      <c r="C191" s="1872"/>
      <c r="D191" s="1872"/>
      <c r="E191" s="1872"/>
      <c r="F191" s="1864">
        <v>0.05</v>
      </c>
    </row>
    <row r="192" spans="1:6" ht="24.75" thickBot="1">
      <c r="A192" s="1858" t="s">
        <v>1415</v>
      </c>
      <c r="B192" s="1862" t="s">
        <v>2148</v>
      </c>
      <c r="C192" s="1872"/>
      <c r="D192" s="1872"/>
      <c r="E192" s="1872"/>
      <c r="F192" s="1864">
        <v>0.05</v>
      </c>
    </row>
    <row r="193" spans="1:6" ht="24.75" thickBot="1">
      <c r="A193" s="1858" t="s">
        <v>1415</v>
      </c>
      <c r="B193" s="1862" t="s">
        <v>2149</v>
      </c>
      <c r="C193" s="1872"/>
      <c r="D193" s="1872"/>
      <c r="E193" s="1872"/>
      <c r="F193" s="1864">
        <v>0.05</v>
      </c>
    </row>
    <row r="194" spans="1:6" ht="24.75" thickBot="1">
      <c r="A194" s="1858" t="s">
        <v>1415</v>
      </c>
      <c r="B194" s="1862" t="s">
        <v>2150</v>
      </c>
      <c r="C194" s="1872"/>
      <c r="D194" s="1872"/>
      <c r="E194" s="1872"/>
      <c r="F194" s="1864">
        <v>0.05</v>
      </c>
    </row>
    <row r="195" spans="1:6" ht="14.25" thickBot="1">
      <c r="A195" s="1858" t="s">
        <v>1415</v>
      </c>
      <c r="B195" s="1862" t="s">
        <v>2151</v>
      </c>
      <c r="C195" s="1872"/>
      <c r="D195" s="1872"/>
      <c r="E195" s="1872"/>
      <c r="F195" s="1864">
        <v>0.05</v>
      </c>
    </row>
    <row r="196" spans="1:6" ht="24.75" thickBot="1">
      <c r="A196" s="1858" t="s">
        <v>1415</v>
      </c>
      <c r="B196" s="1862" t="s">
        <v>2152</v>
      </c>
      <c r="C196" s="1872"/>
      <c r="D196" s="1872"/>
      <c r="E196" s="1872"/>
      <c r="F196" s="1864">
        <v>0.05</v>
      </c>
    </row>
    <row r="197" spans="1:6" ht="24.75" thickBot="1">
      <c r="A197" s="1858" t="s">
        <v>1415</v>
      </c>
      <c r="B197" s="1862" t="s">
        <v>2153</v>
      </c>
      <c r="C197" s="1872"/>
      <c r="D197" s="1872"/>
      <c r="E197" s="1872"/>
      <c r="F197" s="1864">
        <v>0.05</v>
      </c>
    </row>
    <row r="198" spans="1:6" ht="24.75" thickBot="1">
      <c r="A198" s="1858" t="s">
        <v>1415</v>
      </c>
      <c r="B198" s="1862" t="s">
        <v>2154</v>
      </c>
      <c r="C198" s="1872"/>
      <c r="D198" s="1872"/>
      <c r="E198" s="1872"/>
      <c r="F198" s="1864">
        <v>0.05</v>
      </c>
    </row>
    <row r="199" spans="1:6" ht="24.75" thickBot="1">
      <c r="A199" s="1858" t="s">
        <v>1415</v>
      </c>
      <c r="B199" s="1862" t="s">
        <v>2155</v>
      </c>
      <c r="C199" s="1872"/>
      <c r="D199" s="1872"/>
      <c r="E199" s="1872"/>
      <c r="F199" s="1864">
        <v>0.05</v>
      </c>
    </row>
    <row r="200" spans="1:6" ht="24.75" thickBot="1">
      <c r="A200" s="1858" t="s">
        <v>1415</v>
      </c>
      <c r="B200" s="1862" t="s">
        <v>2156</v>
      </c>
      <c r="C200" s="1872"/>
      <c r="D200" s="1872"/>
      <c r="E200" s="1872"/>
      <c r="F200" s="1864">
        <v>0.05</v>
      </c>
    </row>
    <row r="201" spans="1:6" ht="24.75" thickBot="1">
      <c r="A201" s="1858" t="s">
        <v>1415</v>
      </c>
      <c r="B201" s="1862" t="s">
        <v>2157</v>
      </c>
      <c r="C201" s="1872"/>
      <c r="D201" s="1872"/>
      <c r="E201" s="1872"/>
      <c r="F201" s="1864">
        <v>0.05</v>
      </c>
    </row>
    <row r="202" spans="1:6" ht="24.75" thickBot="1">
      <c r="A202" s="1858" t="s">
        <v>1415</v>
      </c>
      <c r="B202" s="1862" t="s">
        <v>2158</v>
      </c>
      <c r="C202" s="1872"/>
      <c r="D202" s="1872"/>
      <c r="E202" s="1872"/>
      <c r="F202" s="1864">
        <v>0.05</v>
      </c>
    </row>
    <row r="203" spans="1:6" ht="24.75" thickBot="1">
      <c r="A203" s="1858" t="s">
        <v>1415</v>
      </c>
      <c r="B203" s="1862" t="s">
        <v>2159</v>
      </c>
      <c r="C203" s="1872"/>
      <c r="D203" s="1872"/>
      <c r="E203" s="1872"/>
      <c r="F203" s="1864">
        <v>0.05</v>
      </c>
    </row>
    <row r="204" spans="1:6" ht="14.25" thickBot="1">
      <c r="A204" s="1858" t="s">
        <v>1415</v>
      </c>
      <c r="B204" s="1862" t="s">
        <v>2160</v>
      </c>
      <c r="C204" s="1872"/>
      <c r="D204" s="1872"/>
      <c r="E204" s="1872"/>
      <c r="F204" s="1864">
        <v>0.05</v>
      </c>
    </row>
    <row r="205" spans="1:6" ht="14.25" thickBot="1">
      <c r="A205" s="1866" t="s">
        <v>1415</v>
      </c>
      <c r="B205" s="1873" t="s">
        <v>2161</v>
      </c>
      <c r="C205" s="1869"/>
      <c r="D205" s="1869"/>
      <c r="E205" s="1869"/>
      <c r="F205" s="1874">
        <v>0.05</v>
      </c>
    </row>
    <row r="206" spans="1:6" ht="14.25" thickBot="1">
      <c r="A206" s="1858" t="s">
        <v>1417</v>
      </c>
      <c r="B206" s="1859" t="s">
        <v>2162</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2163</v>
      </c>
      <c r="C210" s="1863">
        <v>0.15</v>
      </c>
      <c r="D210" s="1863">
        <v>0.15</v>
      </c>
      <c r="E210" s="1863">
        <v>0.15</v>
      </c>
      <c r="F210" s="1864">
        <v>0.13800000000000001</v>
      </c>
    </row>
    <row r="211" spans="1:6" ht="14.25" thickBot="1">
      <c r="A211" s="1858" t="s">
        <v>1417</v>
      </c>
      <c r="B211" s="1862" t="s">
        <v>2164</v>
      </c>
      <c r="C211" s="1863">
        <v>0.13700000000000001</v>
      </c>
      <c r="D211" s="1863">
        <v>0.13500000000000001</v>
      </c>
      <c r="E211" s="1863">
        <v>0.13600000000000001</v>
      </c>
      <c r="F211" s="1864">
        <v>0.1</v>
      </c>
    </row>
    <row r="212" spans="1:6" ht="14.25" thickBot="1">
      <c r="A212" s="1858" t="s">
        <v>1417</v>
      </c>
      <c r="B212" s="1862" t="s">
        <v>2165</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2166</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2167</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2168</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2169</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2170</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2171</v>
      </c>
      <c r="C231" s="1863">
        <v>0.128</v>
      </c>
      <c r="D231" s="1863">
        <v>0.125</v>
      </c>
      <c r="E231" s="1863">
        <v>0.13200000000000001</v>
      </c>
      <c r="F231" s="1871"/>
    </row>
    <row r="232" spans="1:6" ht="14.25" thickBot="1">
      <c r="A232" s="1858" t="s">
        <v>1417</v>
      </c>
      <c r="B232" s="1862" t="s">
        <v>2172</v>
      </c>
      <c r="C232" s="1863">
        <v>0.14499999999999999</v>
      </c>
      <c r="D232" s="1863">
        <v>0.14399999999999999</v>
      </c>
      <c r="E232" s="1863">
        <v>0.14599999999999999</v>
      </c>
      <c r="F232" s="1864">
        <v>0.13800000000000001</v>
      </c>
    </row>
    <row r="233" spans="1:6" ht="14.25" thickBot="1">
      <c r="A233" s="1858" t="s">
        <v>1417</v>
      </c>
      <c r="B233" s="1862" t="s">
        <v>2173</v>
      </c>
      <c r="C233" s="1863">
        <v>0.14499999999999999</v>
      </c>
      <c r="D233" s="1863">
        <v>0.14299999999999999</v>
      </c>
      <c r="E233" s="1863">
        <v>0.14199999999999999</v>
      </c>
      <c r="F233" s="1871"/>
    </row>
    <row r="234" spans="1:6" ht="14.25" thickBot="1">
      <c r="A234" s="1858" t="s">
        <v>1417</v>
      </c>
      <c r="B234" s="1862" t="s">
        <v>2174</v>
      </c>
      <c r="C234" s="1863">
        <v>0.14000000000000001</v>
      </c>
      <c r="D234" s="1863">
        <v>0.14000000000000001</v>
      </c>
      <c r="E234" s="1863">
        <v>0.14399999999999999</v>
      </c>
      <c r="F234" s="1871"/>
    </row>
    <row r="235" spans="1:6" ht="14.25" thickBot="1">
      <c r="A235" s="1858" t="s">
        <v>1417</v>
      </c>
      <c r="B235" s="1862" t="s">
        <v>2175</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2176</v>
      </c>
      <c r="C237" s="1872"/>
      <c r="D237" s="1872"/>
      <c r="E237" s="1872"/>
      <c r="F237" s="1864">
        <v>0.05</v>
      </c>
    </row>
    <row r="238" spans="1:6" ht="24.75" thickBot="1">
      <c r="A238" s="1858" t="s">
        <v>1417</v>
      </c>
      <c r="B238" s="1862" t="s">
        <v>2177</v>
      </c>
      <c r="C238" s="1872"/>
      <c r="D238" s="1872"/>
      <c r="E238" s="1872"/>
      <c r="F238" s="1864">
        <v>0.05</v>
      </c>
    </row>
    <row r="239" spans="1:6" ht="24.75" thickBot="1">
      <c r="A239" s="1858" t="s">
        <v>1417</v>
      </c>
      <c r="B239" s="1862" t="s">
        <v>2178</v>
      </c>
      <c r="C239" s="1872"/>
      <c r="D239" s="1872"/>
      <c r="E239" s="1872"/>
      <c r="F239" s="1864">
        <v>0.05</v>
      </c>
    </row>
    <row r="240" spans="1:6" ht="24.75" thickBot="1">
      <c r="A240" s="1858" t="s">
        <v>1417</v>
      </c>
      <c r="B240" s="1862" t="s">
        <v>2179</v>
      </c>
      <c r="C240" s="1872"/>
      <c r="D240" s="1872"/>
      <c r="E240" s="1872"/>
      <c r="F240" s="1864">
        <v>0.05</v>
      </c>
    </row>
    <row r="241" spans="1:6" ht="24.75" thickBot="1">
      <c r="A241" s="1858" t="s">
        <v>1417</v>
      </c>
      <c r="B241" s="1862" t="s">
        <v>2180</v>
      </c>
      <c r="C241" s="1872"/>
      <c r="D241" s="1872"/>
      <c r="E241" s="1872"/>
      <c r="F241" s="1864">
        <v>0.05</v>
      </c>
    </row>
    <row r="242" spans="1:6" ht="24.75" thickBot="1">
      <c r="A242" s="1858" t="s">
        <v>1417</v>
      </c>
      <c r="B242" s="1862" t="s">
        <v>2181</v>
      </c>
      <c r="C242" s="1872"/>
      <c r="D242" s="1872"/>
      <c r="E242" s="1872"/>
      <c r="F242" s="1864">
        <v>0.05</v>
      </c>
    </row>
    <row r="243" spans="1:6" ht="24.75" thickBot="1">
      <c r="A243" s="1858" t="s">
        <v>1417</v>
      </c>
      <c r="B243" s="1862" t="s">
        <v>2182</v>
      </c>
      <c r="C243" s="1872"/>
      <c r="D243" s="1872"/>
      <c r="E243" s="1872"/>
      <c r="F243" s="1864">
        <v>0.05</v>
      </c>
    </row>
    <row r="244" spans="1:6" ht="24.75" thickBot="1">
      <c r="A244" s="1866" t="s">
        <v>1417</v>
      </c>
      <c r="B244" s="1873" t="s">
        <v>2183</v>
      </c>
      <c r="C244" s="1869"/>
      <c r="D244" s="1869"/>
      <c r="E244" s="1869"/>
      <c r="F244" s="1874">
        <v>0.05</v>
      </c>
    </row>
    <row r="245" spans="1:6" ht="14.25" thickBot="1">
      <c r="A245" s="1858" t="s">
        <v>1419</v>
      </c>
      <c r="B245" s="1859" t="s">
        <v>2184</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2185</v>
      </c>
      <c r="C247" s="1863">
        <v>0.15</v>
      </c>
      <c r="D247" s="1863">
        <v>0.15</v>
      </c>
      <c r="E247" s="1863">
        <v>0.15</v>
      </c>
      <c r="F247" s="1864">
        <v>0.15</v>
      </c>
    </row>
    <row r="248" spans="1:6" ht="14.25" thickBot="1">
      <c r="A248" s="1858" t="s">
        <v>1419</v>
      </c>
      <c r="B248" s="1862" t="s">
        <v>2186</v>
      </c>
      <c r="C248" s="1863">
        <v>0.15</v>
      </c>
      <c r="D248" s="1863">
        <v>0.15</v>
      </c>
      <c r="E248" s="1863">
        <v>0.15</v>
      </c>
      <c r="F248" s="1864">
        <v>0.14000000000000001</v>
      </c>
    </row>
    <row r="249" spans="1:6" ht="14.25" thickBot="1">
      <c r="A249" s="1858" t="s">
        <v>1419</v>
      </c>
      <c r="B249" s="1862" t="s">
        <v>2187</v>
      </c>
      <c r="C249" s="1863">
        <v>0.15</v>
      </c>
      <c r="D249" s="1863">
        <v>0.14899999999999999</v>
      </c>
      <c r="E249" s="1863">
        <v>0.15</v>
      </c>
      <c r="F249" s="1864">
        <v>0.1</v>
      </c>
    </row>
    <row r="250" spans="1:6" ht="14.25" thickBot="1">
      <c r="A250" s="1858" t="s">
        <v>1419</v>
      </c>
      <c r="B250" s="1862" t="s">
        <v>2188</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2189</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2190</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2191</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2192</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2193</v>
      </c>
      <c r="C273" s="1863">
        <v>0.14199999999999999</v>
      </c>
      <c r="D273" s="1863">
        <v>0.14299999999999999</v>
      </c>
      <c r="E273" s="1863">
        <v>0.15</v>
      </c>
      <c r="F273" s="1864">
        <v>0.1</v>
      </c>
    </row>
    <row r="274" spans="1:6" ht="14.25" thickBot="1">
      <c r="A274" s="1858" t="s">
        <v>1419</v>
      </c>
      <c r="B274" s="1862" t="s">
        <v>2194</v>
      </c>
      <c r="C274" s="1863">
        <v>0.14799999999999999</v>
      </c>
      <c r="D274" s="1863">
        <v>0.14799999999999999</v>
      </c>
      <c r="E274" s="1863">
        <v>0.15</v>
      </c>
      <c r="F274" s="1864">
        <v>6.7000000000000004E-2</v>
      </c>
    </row>
    <row r="275" spans="1:6" ht="14.25" thickBot="1">
      <c r="A275" s="1858" t="s">
        <v>1419</v>
      </c>
      <c r="B275" s="1862" t="s">
        <v>2195</v>
      </c>
      <c r="C275" s="1863">
        <v>0.15</v>
      </c>
      <c r="D275" s="1863">
        <v>0.15</v>
      </c>
      <c r="E275" s="1863">
        <v>0.15</v>
      </c>
      <c r="F275" s="1864">
        <v>0.15</v>
      </c>
    </row>
    <row r="276" spans="1:6" ht="14.25" thickBot="1">
      <c r="A276" s="1858" t="s">
        <v>1419</v>
      </c>
      <c r="B276" s="1862" t="s">
        <v>2196</v>
      </c>
      <c r="C276" s="1863">
        <v>0.14499999999999999</v>
      </c>
      <c r="D276" s="1863">
        <v>0.14299999999999999</v>
      </c>
      <c r="E276" s="1863">
        <v>0.15</v>
      </c>
      <c r="F276" s="1864">
        <v>5.8999999999999997E-2</v>
      </c>
    </row>
    <row r="277" spans="1:6" ht="14.25" thickBot="1">
      <c r="A277" s="1858" t="s">
        <v>1419</v>
      </c>
      <c r="B277" s="1862" t="s">
        <v>2197</v>
      </c>
      <c r="C277" s="1863">
        <v>0.15</v>
      </c>
      <c r="D277" s="1863">
        <v>0.15</v>
      </c>
      <c r="E277" s="1863">
        <v>0.15</v>
      </c>
      <c r="F277" s="1864">
        <v>0.121</v>
      </c>
    </row>
    <row r="278" spans="1:6" ht="14.25" thickBot="1">
      <c r="A278" s="1858" t="s">
        <v>1419</v>
      </c>
      <c r="B278" s="1862" t="s">
        <v>2198</v>
      </c>
      <c r="C278" s="1863">
        <v>0.15</v>
      </c>
      <c r="D278" s="1863">
        <v>0.15</v>
      </c>
      <c r="E278" s="1863">
        <v>0.15</v>
      </c>
      <c r="F278" s="1864">
        <v>0.13800000000000001</v>
      </c>
    </row>
    <row r="279" spans="1:6" ht="24.75" thickBot="1">
      <c r="A279" s="1858" t="s">
        <v>1419</v>
      </c>
      <c r="B279" s="1862" t="s">
        <v>2199</v>
      </c>
      <c r="C279" s="1872"/>
      <c r="D279" s="1872"/>
      <c r="E279" s="1872"/>
      <c r="F279" s="1864">
        <v>0.05</v>
      </c>
    </row>
    <row r="280" spans="1:6" ht="24.75" thickBot="1">
      <c r="A280" s="1858" t="s">
        <v>1419</v>
      </c>
      <c r="B280" s="1862" t="s">
        <v>2200</v>
      </c>
      <c r="C280" s="1872"/>
      <c r="D280" s="1872"/>
      <c r="E280" s="1872"/>
      <c r="F280" s="1864">
        <v>0.05</v>
      </c>
    </row>
    <row r="281" spans="1:6" ht="24.75" thickBot="1">
      <c r="A281" s="1858" t="s">
        <v>1419</v>
      </c>
      <c r="B281" s="1862" t="s">
        <v>2201</v>
      </c>
      <c r="C281" s="1872"/>
      <c r="D281" s="1872"/>
      <c r="E281" s="1872"/>
      <c r="F281" s="1864">
        <v>0.05</v>
      </c>
    </row>
    <row r="282" spans="1:6" ht="24.75" thickBot="1">
      <c r="A282" s="1858" t="s">
        <v>1419</v>
      </c>
      <c r="B282" s="1862" t="s">
        <v>2202</v>
      </c>
      <c r="C282" s="1872"/>
      <c r="D282" s="1872"/>
      <c r="E282" s="1872"/>
      <c r="F282" s="1864">
        <v>0.05</v>
      </c>
    </row>
    <row r="283" spans="1:6" ht="24.75" thickBot="1">
      <c r="A283" s="1858" t="s">
        <v>1419</v>
      </c>
      <c r="B283" s="1862" t="s">
        <v>2203</v>
      </c>
      <c r="C283" s="1872"/>
      <c r="D283" s="1872"/>
      <c r="E283" s="1872"/>
      <c r="F283" s="1864">
        <v>0.05</v>
      </c>
    </row>
    <row r="284" spans="1:6" ht="24.75" thickBot="1">
      <c r="A284" s="1858" t="s">
        <v>1419</v>
      </c>
      <c r="B284" s="1862" t="s">
        <v>2204</v>
      </c>
      <c r="C284" s="1872"/>
      <c r="D284" s="1872"/>
      <c r="E284" s="1872"/>
      <c r="F284" s="1864">
        <v>0.05</v>
      </c>
    </row>
    <row r="285" spans="1:6" ht="24.75" thickBot="1">
      <c r="A285" s="1858" t="s">
        <v>1419</v>
      </c>
      <c r="B285" s="1862" t="s">
        <v>2205</v>
      </c>
      <c r="C285" s="1872"/>
      <c r="D285" s="1872"/>
      <c r="E285" s="1872"/>
      <c r="F285" s="1864">
        <v>0.05</v>
      </c>
    </row>
    <row r="286" spans="1:6" ht="24.75" thickBot="1">
      <c r="A286" s="1858" t="s">
        <v>1419</v>
      </c>
      <c r="B286" s="1862" t="s">
        <v>2206</v>
      </c>
      <c r="C286" s="1872"/>
      <c r="D286" s="1872"/>
      <c r="E286" s="1872"/>
      <c r="F286" s="1864">
        <v>0.05</v>
      </c>
    </row>
    <row r="287" spans="1:6" ht="24.75" thickBot="1">
      <c r="A287" s="1858" t="s">
        <v>1419</v>
      </c>
      <c r="B287" s="1862" t="s">
        <v>2207</v>
      </c>
      <c r="C287" s="1872"/>
      <c r="D287" s="1872"/>
      <c r="E287" s="1872"/>
      <c r="F287" s="1864">
        <v>0.05</v>
      </c>
    </row>
    <row r="288" spans="1:6" ht="24.75" thickBot="1">
      <c r="A288" s="1858" t="s">
        <v>1419</v>
      </c>
      <c r="B288" s="1862" t="s">
        <v>2208</v>
      </c>
      <c r="C288" s="1872"/>
      <c r="D288" s="1872"/>
      <c r="E288" s="1872"/>
      <c r="F288" s="1864">
        <v>0.05</v>
      </c>
    </row>
    <row r="289" spans="1:6" ht="24.75" thickBot="1">
      <c r="A289" s="1866" t="s">
        <v>1419</v>
      </c>
      <c r="B289" s="1873" t="s">
        <v>2209</v>
      </c>
      <c r="C289" s="1869"/>
      <c r="D289" s="1869"/>
      <c r="E289" s="1869"/>
      <c r="F289" s="1874">
        <v>0.05</v>
      </c>
    </row>
    <row r="290" spans="1:6" ht="14.25" thickBot="1">
      <c r="A290" s="1858" t="s">
        <v>1423</v>
      </c>
      <c r="B290" s="1859" t="s">
        <v>2210</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2211</v>
      </c>
      <c r="C292" s="1863">
        <v>0.15</v>
      </c>
      <c r="D292" s="1863">
        <v>0.15</v>
      </c>
      <c r="E292" s="1863">
        <v>0.15</v>
      </c>
      <c r="F292" s="1864">
        <v>0.14699999999999999</v>
      </c>
    </row>
    <row r="293" spans="1:6" ht="14.25" thickBot="1">
      <c r="A293" s="1858" t="s">
        <v>1423</v>
      </c>
      <c r="B293" s="1862" t="s">
        <v>2212</v>
      </c>
      <c r="C293" s="1872"/>
      <c r="D293" s="1872"/>
      <c r="E293" s="1872"/>
      <c r="F293" s="1864">
        <v>0.1</v>
      </c>
    </row>
    <row r="294" spans="1:6" ht="14.25" thickBot="1">
      <c r="A294" s="1858" t="s">
        <v>1423</v>
      </c>
      <c r="B294" s="1862" t="s">
        <v>2213</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2214</v>
      </c>
      <c r="C296" s="1863">
        <v>0.15</v>
      </c>
      <c r="D296" s="1863">
        <v>0.15</v>
      </c>
      <c r="E296" s="1863">
        <v>0.15</v>
      </c>
      <c r="F296" s="1864">
        <v>0.15</v>
      </c>
    </row>
    <row r="297" spans="1:6" ht="14.25" thickBot="1">
      <c r="A297" s="1858" t="s">
        <v>1423</v>
      </c>
      <c r="B297" s="1862" t="s">
        <v>2215</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2216</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2217</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2218</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2219</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2220</v>
      </c>
      <c r="C310" s="1863">
        <v>0.15</v>
      </c>
      <c r="D310" s="1863">
        <v>0.15</v>
      </c>
      <c r="E310" s="1863">
        <v>0.15</v>
      </c>
      <c r="F310" s="1864">
        <v>0.13700000000000001</v>
      </c>
    </row>
    <row r="311" spans="1:6" ht="14.25" thickBot="1">
      <c r="A311" s="1858" t="s">
        <v>1423</v>
      </c>
      <c r="B311" s="1862" t="s">
        <v>2221</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2222</v>
      </c>
      <c r="C313" s="1863">
        <v>0.15</v>
      </c>
      <c r="D313" s="1863">
        <v>0.15</v>
      </c>
      <c r="E313" s="1863">
        <v>0.15</v>
      </c>
      <c r="F313" s="1864">
        <v>0.15</v>
      </c>
    </row>
    <row r="314" spans="1:6" ht="24.75" thickBot="1">
      <c r="A314" s="1858" t="s">
        <v>1423</v>
      </c>
      <c r="B314" s="1862" t="s">
        <v>2223</v>
      </c>
      <c r="C314" s="1872"/>
      <c r="D314" s="1872"/>
      <c r="E314" s="1872"/>
      <c r="F314" s="1864">
        <v>0.05</v>
      </c>
    </row>
    <row r="315" spans="1:6" ht="24.75" thickBot="1">
      <c r="A315" s="1858" t="s">
        <v>1423</v>
      </c>
      <c r="B315" s="1862" t="s">
        <v>2224</v>
      </c>
      <c r="C315" s="1872"/>
      <c r="D315" s="1872"/>
      <c r="E315" s="1872"/>
      <c r="F315" s="1864">
        <v>0.05</v>
      </c>
    </row>
    <row r="316" spans="1:6" ht="24.75" thickBot="1">
      <c r="A316" s="1866" t="s">
        <v>1423</v>
      </c>
      <c r="B316" s="1873" t="s">
        <v>2225</v>
      </c>
      <c r="C316" s="1869"/>
      <c r="D316" s="1869"/>
      <c r="E316" s="1869"/>
      <c r="F316" s="1874">
        <v>0.05</v>
      </c>
    </row>
    <row r="317" spans="1:6" ht="14.25" thickBot="1">
      <c r="A317" s="1858" t="s">
        <v>2226</v>
      </c>
      <c r="B317" s="1859" t="s">
        <v>2227</v>
      </c>
      <c r="C317" s="1860">
        <v>0.15</v>
      </c>
      <c r="D317" s="1860">
        <v>0.15</v>
      </c>
      <c r="E317" s="1860">
        <v>0.15</v>
      </c>
      <c r="F317" s="1861">
        <v>0.15</v>
      </c>
    </row>
    <row r="318" spans="1:6" ht="14.25" thickBot="1">
      <c r="A318" s="1858" t="s">
        <v>2226</v>
      </c>
      <c r="B318" s="1862" t="s">
        <v>2228</v>
      </c>
      <c r="C318" s="1863">
        <v>0.107</v>
      </c>
      <c r="D318" s="1863">
        <v>0.11</v>
      </c>
      <c r="E318" s="1863">
        <v>0.112</v>
      </c>
      <c r="F318" s="1871"/>
    </row>
    <row r="319" spans="1:6" ht="14.25" thickBot="1">
      <c r="A319" s="1858" t="s">
        <v>2226</v>
      </c>
      <c r="B319" s="1862" t="s">
        <v>2229</v>
      </c>
      <c r="C319" s="1863">
        <v>0.15</v>
      </c>
      <c r="D319" s="1863">
        <v>0.15</v>
      </c>
      <c r="E319" s="1863">
        <v>0.15</v>
      </c>
      <c r="F319" s="1864">
        <v>0.15</v>
      </c>
    </row>
    <row r="320" spans="1:6" ht="14.25" thickBot="1">
      <c r="A320" s="1858" t="s">
        <v>2226</v>
      </c>
      <c r="B320" s="1862" t="s">
        <v>1111</v>
      </c>
      <c r="C320" s="1863">
        <v>0.15</v>
      </c>
      <c r="D320" s="1863">
        <v>0.15</v>
      </c>
      <c r="E320" s="1863">
        <v>0.15</v>
      </c>
      <c r="F320" s="1871"/>
    </row>
    <row r="321" spans="1:6" ht="14.25" thickBot="1">
      <c r="A321" s="1858" t="s">
        <v>2226</v>
      </c>
      <c r="B321" s="1862" t="s">
        <v>2230</v>
      </c>
      <c r="C321" s="1863">
        <v>0.15</v>
      </c>
      <c r="D321" s="1863">
        <v>0.15</v>
      </c>
      <c r="E321" s="1863">
        <v>0.15</v>
      </c>
      <c r="F321" s="1871"/>
    </row>
    <row r="322" spans="1:6" ht="14.25" thickBot="1">
      <c r="A322" s="1858" t="s">
        <v>2226</v>
      </c>
      <c r="B322" s="1862" t="s">
        <v>2231</v>
      </c>
      <c r="C322" s="1863">
        <v>0.15</v>
      </c>
      <c r="D322" s="1863">
        <v>0.15</v>
      </c>
      <c r="E322" s="1863">
        <v>0.15</v>
      </c>
      <c r="F322" s="1864">
        <v>0.15</v>
      </c>
    </row>
    <row r="323" spans="1:6" ht="14.25" thickBot="1">
      <c r="A323" s="1858" t="s">
        <v>2226</v>
      </c>
      <c r="B323" s="1862" t="s">
        <v>2232</v>
      </c>
      <c r="C323" s="1863">
        <v>0.15</v>
      </c>
      <c r="D323" s="1863">
        <v>0.15</v>
      </c>
      <c r="E323" s="1863">
        <v>0.15</v>
      </c>
      <c r="F323" s="1871"/>
    </row>
    <row r="324" spans="1:6" ht="14.25" thickBot="1">
      <c r="A324" s="1858" t="s">
        <v>2226</v>
      </c>
      <c r="B324" s="1862" t="s">
        <v>2233</v>
      </c>
      <c r="C324" s="1863">
        <v>0.15</v>
      </c>
      <c r="D324" s="1863">
        <v>0.15</v>
      </c>
      <c r="E324" s="1863">
        <v>0.15</v>
      </c>
      <c r="F324" s="1871"/>
    </row>
    <row r="325" spans="1:6" ht="14.25" thickBot="1">
      <c r="A325" s="1858" t="s">
        <v>2226</v>
      </c>
      <c r="B325" s="1862" t="s">
        <v>2234</v>
      </c>
      <c r="C325" s="1863">
        <v>0.15</v>
      </c>
      <c r="D325" s="1863">
        <v>0.15</v>
      </c>
      <c r="E325" s="1863">
        <v>0.15</v>
      </c>
      <c r="F325" s="1864">
        <v>0.14699999999999999</v>
      </c>
    </row>
    <row r="326" spans="1:6" ht="14.25" thickBot="1">
      <c r="A326" s="1858" t="s">
        <v>2226</v>
      </c>
      <c r="B326" s="1862" t="s">
        <v>1180</v>
      </c>
      <c r="C326" s="1863">
        <v>0.15</v>
      </c>
      <c r="D326" s="1863">
        <v>0.15</v>
      </c>
      <c r="E326" s="1863">
        <v>0.15</v>
      </c>
      <c r="F326" s="1871"/>
    </row>
    <row r="327" spans="1:6" ht="14.25" thickBot="1">
      <c r="A327" s="1858" t="s">
        <v>2226</v>
      </c>
      <c r="B327" s="1862" t="s">
        <v>2235</v>
      </c>
      <c r="C327" s="1863">
        <v>0.15</v>
      </c>
      <c r="D327" s="1863">
        <v>0.15</v>
      </c>
      <c r="E327" s="1863">
        <v>0.15</v>
      </c>
      <c r="F327" s="1864">
        <v>0.15</v>
      </c>
    </row>
    <row r="328" spans="1:6" ht="14.25" thickBot="1">
      <c r="A328" s="1858" t="s">
        <v>2226</v>
      </c>
      <c r="B328" s="1862" t="s">
        <v>1200</v>
      </c>
      <c r="C328" s="1863">
        <v>0.15</v>
      </c>
      <c r="D328" s="1863">
        <v>0.15</v>
      </c>
      <c r="E328" s="1863">
        <v>0.15</v>
      </c>
      <c r="F328" s="1864">
        <v>0.14099999999999999</v>
      </c>
    </row>
    <row r="329" spans="1:6" ht="14.25" thickBot="1">
      <c r="A329" s="1858" t="s">
        <v>2226</v>
      </c>
      <c r="B329" s="1862" t="s">
        <v>1210</v>
      </c>
      <c r="C329" s="1863">
        <v>0.15</v>
      </c>
      <c r="D329" s="1863">
        <v>0.15</v>
      </c>
      <c r="E329" s="1863">
        <v>0.15</v>
      </c>
      <c r="F329" s="1864">
        <v>0.15</v>
      </c>
    </row>
    <row r="330" spans="1:6" ht="14.25" thickBot="1">
      <c r="A330" s="1858" t="s">
        <v>2226</v>
      </c>
      <c r="B330" s="1862" t="s">
        <v>1220</v>
      </c>
      <c r="C330" s="1863">
        <v>0.15</v>
      </c>
      <c r="D330" s="1863">
        <v>0.15</v>
      </c>
      <c r="E330" s="1863">
        <v>0.15</v>
      </c>
      <c r="F330" s="1871"/>
    </row>
    <row r="331" spans="1:6" ht="14.25" thickBot="1">
      <c r="A331" s="1858" t="s">
        <v>2226</v>
      </c>
      <c r="B331" s="1862" t="s">
        <v>2236</v>
      </c>
      <c r="C331" s="1863">
        <v>0.15</v>
      </c>
      <c r="D331" s="1863">
        <v>0.15</v>
      </c>
      <c r="E331" s="1863">
        <v>0.15</v>
      </c>
      <c r="F331" s="1864">
        <v>0.15</v>
      </c>
    </row>
    <row r="332" spans="1:6" ht="14.25" thickBot="1">
      <c r="A332" s="1858" t="s">
        <v>2226</v>
      </c>
      <c r="B332" s="1862" t="s">
        <v>1240</v>
      </c>
      <c r="C332" s="1863">
        <v>0.15</v>
      </c>
      <c r="D332" s="1863">
        <v>0.15</v>
      </c>
      <c r="E332" s="1863">
        <v>0.15</v>
      </c>
      <c r="F332" s="1864">
        <v>0.15</v>
      </c>
    </row>
    <row r="333" spans="1:6" ht="14.25" thickBot="1">
      <c r="A333" s="1858" t="s">
        <v>2226</v>
      </c>
      <c r="B333" s="1862" t="s">
        <v>2237</v>
      </c>
      <c r="C333" s="1863">
        <v>0.15</v>
      </c>
      <c r="D333" s="1863">
        <v>0.15</v>
      </c>
      <c r="E333" s="1863">
        <v>0.15</v>
      </c>
      <c r="F333" s="1864">
        <v>0.14099999999999999</v>
      </c>
    </row>
    <row r="334" spans="1:6" ht="14.25" thickBot="1">
      <c r="A334" s="1858" t="s">
        <v>2226</v>
      </c>
      <c r="B334" s="1862" t="s">
        <v>1260</v>
      </c>
      <c r="C334" s="1863">
        <v>0.15</v>
      </c>
      <c r="D334" s="1863">
        <v>0.15</v>
      </c>
      <c r="E334" s="1863">
        <v>0.15</v>
      </c>
      <c r="F334" s="1864">
        <v>0.15</v>
      </c>
    </row>
    <row r="335" spans="1:6" ht="14.25" thickBot="1">
      <c r="A335" s="1858" t="s">
        <v>2226</v>
      </c>
      <c r="B335" s="1862" t="s">
        <v>1270</v>
      </c>
      <c r="C335" s="1863">
        <v>0.15</v>
      </c>
      <c r="D335" s="1863">
        <v>0.15</v>
      </c>
      <c r="E335" s="1863">
        <v>0.15</v>
      </c>
      <c r="F335" s="1871"/>
    </row>
    <row r="336" spans="1:6" ht="14.25" thickBot="1">
      <c r="A336" s="1858" t="s">
        <v>2226</v>
      </c>
      <c r="B336" s="1862" t="s">
        <v>2238</v>
      </c>
      <c r="C336" s="1863">
        <v>0.15</v>
      </c>
      <c r="D336" s="1863">
        <v>0.15</v>
      </c>
      <c r="E336" s="1863">
        <v>0.15</v>
      </c>
      <c r="F336" s="1864">
        <v>0.11799999999999999</v>
      </c>
    </row>
    <row r="337" spans="1:6" ht="14.25" thickBot="1">
      <c r="A337" s="1866" t="s">
        <v>2226</v>
      </c>
      <c r="B337" s="1873" t="s">
        <v>1288</v>
      </c>
      <c r="C337" s="1869"/>
      <c r="D337" s="1869"/>
      <c r="E337" s="1869"/>
      <c r="F337" s="1874">
        <v>0.14299999999999999</v>
      </c>
    </row>
    <row r="338" spans="1:6" ht="14.25" thickBot="1">
      <c r="A338" s="1858" t="s">
        <v>2239</v>
      </c>
      <c r="B338" s="1859" t="s">
        <v>2240</v>
      </c>
      <c r="C338" s="1860">
        <v>0.15</v>
      </c>
      <c r="D338" s="1860">
        <v>0.15</v>
      </c>
      <c r="E338" s="1860">
        <v>0.15</v>
      </c>
      <c r="F338" s="1882"/>
    </row>
    <row r="339" spans="1:6" ht="14.25" thickBot="1">
      <c r="A339" s="1858" t="s">
        <v>2239</v>
      </c>
      <c r="B339" s="1862" t="s">
        <v>2241</v>
      </c>
      <c r="C339" s="1863">
        <v>0.15</v>
      </c>
      <c r="D339" s="1863">
        <v>0.15</v>
      </c>
      <c r="E339" s="1863">
        <v>0.15</v>
      </c>
      <c r="F339" s="1871"/>
    </row>
    <row r="340" spans="1:6" ht="14.25" thickBot="1">
      <c r="A340" s="1858" t="s">
        <v>2239</v>
      </c>
      <c r="B340" s="1862" t="s">
        <v>2242</v>
      </c>
      <c r="C340" s="1863">
        <v>0.15</v>
      </c>
      <c r="D340" s="1863">
        <v>0.15</v>
      </c>
      <c r="E340" s="1863">
        <v>0.15</v>
      </c>
      <c r="F340" s="1871"/>
    </row>
    <row r="341" spans="1:6" ht="14.25" thickBot="1">
      <c r="A341" s="1858" t="s">
        <v>2243</v>
      </c>
      <c r="B341" s="1862" t="s">
        <v>2244</v>
      </c>
      <c r="C341" s="1863">
        <v>0.15</v>
      </c>
      <c r="D341" s="1863">
        <v>0.15</v>
      </c>
      <c r="E341" s="1863">
        <v>0.15</v>
      </c>
      <c r="F341" s="1864">
        <v>0.15</v>
      </c>
    </row>
    <row r="342" spans="1:6" ht="14.25" thickBot="1">
      <c r="A342" s="1858" t="s">
        <v>2239</v>
      </c>
      <c r="B342" s="1862" t="s">
        <v>2245</v>
      </c>
      <c r="C342" s="1863">
        <v>0.15</v>
      </c>
      <c r="D342" s="1863">
        <v>0.15</v>
      </c>
      <c r="E342" s="1863">
        <v>0.15</v>
      </c>
      <c r="F342" s="1864">
        <v>0.15</v>
      </c>
    </row>
    <row r="343" spans="1:6" ht="14.25" thickBot="1">
      <c r="A343" s="1858" t="s">
        <v>2239</v>
      </c>
      <c r="B343" s="1862" t="s">
        <v>2246</v>
      </c>
      <c r="C343" s="1863">
        <v>0.15</v>
      </c>
      <c r="D343" s="1863">
        <v>0.15</v>
      </c>
      <c r="E343" s="1863">
        <v>0.15</v>
      </c>
      <c r="F343" s="1864">
        <v>0.15</v>
      </c>
    </row>
    <row r="344" spans="1:6" ht="14.25" thickBot="1">
      <c r="A344" s="1866" t="s">
        <v>2239</v>
      </c>
      <c r="B344" s="1873" t="s">
        <v>2247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90" t="s">
        <v>2588</v>
      </c>
      <c r="C1" s="3490"/>
      <c r="D1" s="3490"/>
      <c r="E1" s="3490"/>
      <c r="F1" s="3490"/>
      <c r="G1" s="3489" t="s">
        <v>2589</v>
      </c>
      <c r="H1" s="3489"/>
      <c r="I1" s="3489"/>
      <c r="J1" s="3489"/>
      <c r="K1" s="3489"/>
      <c r="L1" s="3489"/>
      <c r="N1" s="3489" t="s">
        <v>2590</v>
      </c>
      <c r="O1" s="3489"/>
      <c r="P1" s="3489"/>
      <c r="Q1" s="3489"/>
      <c r="R1" s="2686"/>
      <c r="S1" s="3489" t="s">
        <v>2591</v>
      </c>
      <c r="T1" s="3489"/>
      <c r="U1" s="3489"/>
      <c r="V1" s="3489"/>
      <c r="X1" s="3488" t="s">
        <v>2653</v>
      </c>
      <c r="Y1" s="3489"/>
      <c r="Z1" s="3489"/>
      <c r="AA1" s="3489"/>
      <c r="AB1" s="3489"/>
      <c r="AD1" s="3488" t="s">
        <v>2658</v>
      </c>
      <c r="AE1" s="3489"/>
      <c r="AF1" s="3489"/>
      <c r="AG1" s="3489"/>
      <c r="AH1" s="3489"/>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97">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92"/>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92"/>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93"/>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97">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92"/>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92"/>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93"/>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91">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92"/>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92"/>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93"/>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91">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92"/>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92"/>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93"/>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94">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95"/>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95"/>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96"/>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91">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92"/>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92"/>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93"/>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91">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92">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92">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93">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91">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92">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92">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93">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91">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92">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92">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93">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91">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92">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92">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93">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91">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92">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92">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93">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91">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92">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92">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93">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91">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92">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92">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93">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91">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92">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92">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93">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91">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92">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92">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93">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91">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92">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92">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93">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5" t="s">
        <v>629</v>
      </c>
      <c r="B1" s="741"/>
      <c r="C1" s="776"/>
      <c r="D1" s="2052"/>
      <c r="E1" s="2053"/>
      <c r="F1" s="2053"/>
      <c r="G1" s="777">
        <f>MATCH(C1,'数据-取费表'!A6:A16,0)+5</f>
        <v>12</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9" t="s">
        <v>697</v>
      </c>
      <c r="I3" s="2060"/>
      <c r="J3" s="2060"/>
      <c r="K3" s="2061"/>
      <c r="L3" s="2060"/>
      <c r="M3" s="2060"/>
    </row>
    <row r="4" spans="1:25" ht="18" customHeight="1">
      <c r="A4" s="1648" t="s">
        <v>698</v>
      </c>
      <c r="B4" s="1352">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699</v>
      </c>
      <c r="D5" s="2058"/>
      <c r="E5" s="2059"/>
      <c r="F5" s="2059"/>
      <c r="G5" s="1592"/>
      <c r="H5" s="779"/>
      <c r="I5" s="2060"/>
      <c r="J5" s="2060"/>
      <c r="K5" s="2061"/>
      <c r="L5" s="2060"/>
      <c r="M5" s="2060"/>
    </row>
    <row r="6" spans="1:25" ht="18" customHeight="1">
      <c r="A6" s="1831" t="s">
        <v>700</v>
      </c>
      <c r="B6" s="1823" t="s">
        <v>701</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2469</v>
      </c>
      <c r="C7" s="53">
        <f ca="1">C8+C12+C14</f>
        <v>0</v>
      </c>
      <c r="D7" s="2527" t="s">
        <v>2472</v>
      </c>
      <c r="E7" s="2521"/>
      <c r="F7" s="2522"/>
      <c r="G7" s="1594"/>
      <c r="H7" s="784">
        <v>1</v>
      </c>
      <c r="I7" s="785" t="s">
        <v>2469</v>
      </c>
      <c r="J7" s="53">
        <f ca="1">J8+J12+J14</f>
        <v>0</v>
      </c>
      <c r="K7" s="2527" t="s">
        <v>2472</v>
      </c>
      <c r="L7" s="2521"/>
      <c r="M7" s="2522"/>
    </row>
    <row r="8" spans="1:25" ht="18" customHeight="1">
      <c r="A8" s="1833" t="s">
        <v>1829</v>
      </c>
      <c r="B8" s="3499" t="s">
        <v>2474</v>
      </c>
      <c r="C8" s="1828">
        <f ca="1">ROUND(F8*F10*F9*(1-F11)/10000,0)</f>
        <v>0</v>
      </c>
      <c r="D8" s="1825" t="s">
        <v>2546</v>
      </c>
      <c r="E8" s="61" t="s">
        <v>638</v>
      </c>
      <c r="F8" s="788">
        <f ca="1">INDIRECT("'数据-取费表'!u"&amp;$G$1)</f>
        <v>0</v>
      </c>
      <c r="G8" s="1594"/>
      <c r="H8" s="2535" t="s">
        <v>1829</v>
      </c>
      <c r="I8" s="3499" t="s">
        <v>2474</v>
      </c>
      <c r="J8" s="786">
        <f ca="1">ROUND(M8*M10*M9*(1-M11)/10000,0)</f>
        <v>0</v>
      </c>
      <c r="K8" s="344" t="s">
        <v>2546</v>
      </c>
      <c r="L8" s="787" t="s">
        <v>1742</v>
      </c>
      <c r="M8" s="788">
        <f ca="1">INDIRECT("'数据-取费表'!z"&amp;$G$1)</f>
        <v>0</v>
      </c>
    </row>
    <row r="9" spans="1:25" ht="18" customHeight="1">
      <c r="A9" s="2531"/>
      <c r="B9" s="3500"/>
      <c r="C9" s="1829"/>
      <c r="D9" s="1826"/>
      <c r="E9" s="61" t="s">
        <v>639</v>
      </c>
      <c r="F9" s="788">
        <f ca="1">IF(INDIRECT("'数据-取费表'!ah"&amp;$G$1)="",INDIRECT("'数据-取费表'!k"&amp;$G$1),INDIRECT("'数据-取费表'!ah"&amp;$G$1))</f>
        <v>0</v>
      </c>
      <c r="G9" s="1594"/>
      <c r="H9" s="2520"/>
      <c r="I9" s="3500"/>
      <c r="J9" s="791"/>
      <c r="K9" s="792"/>
      <c r="L9" s="787" t="s">
        <v>1743</v>
      </c>
      <c r="M9" s="788">
        <f ca="1">F9</f>
        <v>0</v>
      </c>
    </row>
    <row r="10" spans="1:25" ht="18" customHeight="1">
      <c r="A10" s="2524"/>
      <c r="B10" s="3501"/>
      <c r="C10" s="1829"/>
      <c r="D10" s="1826"/>
      <c r="E10" s="61" t="s">
        <v>640</v>
      </c>
      <c r="F10" s="788">
        <f ca="1">INDIRECT("'数据-取费表'!ai"&amp;$G$1)</f>
        <v>0</v>
      </c>
      <c r="G10" s="1594"/>
      <c r="H10" s="2520"/>
      <c r="I10" s="3501"/>
      <c r="J10" s="791"/>
      <c r="K10" s="792"/>
      <c r="L10" s="787" t="s">
        <v>1744</v>
      </c>
      <c r="M10" s="788">
        <f ca="1">INDIRECT("'数据-取费表'!ai"&amp;$G$1)</f>
        <v>0</v>
      </c>
    </row>
    <row r="11" spans="1:25" ht="18" customHeight="1">
      <c r="A11" s="789"/>
      <c r="B11" s="3502"/>
      <c r="C11" s="1829"/>
      <c r="D11" s="1826"/>
      <c r="E11" s="61" t="s">
        <v>641</v>
      </c>
      <c r="F11" s="797">
        <f ca="1">INDIRECT("'数据-取费表'!w"&amp;$G$1)</f>
        <v>0</v>
      </c>
      <c r="G11" s="1594"/>
      <c r="H11" s="2536"/>
      <c r="I11" s="3501"/>
      <c r="J11" s="791"/>
      <c r="K11" s="792"/>
      <c r="L11" s="798" t="s">
        <v>1745</v>
      </c>
      <c r="M11" s="799">
        <f ca="1">INDIRECT("'数据-取费表'!ab"&amp;$G$1)</f>
        <v>0</v>
      </c>
    </row>
    <row r="12" spans="1:25" ht="18" customHeight="1">
      <c r="A12" s="1833" t="s">
        <v>1830</v>
      </c>
      <c r="B12" s="2525" t="s">
        <v>2470</v>
      </c>
      <c r="C12" s="802">
        <f ca="1">ROUND(IF(F12="押一",F8*F10*F9/12*F13,IF(F12="押二",F8*F10*F9/12*2*F13,IF(F12="押三",F8*F10*F9/12*3*F13,C13*F13)))/10000,0)</f>
        <v>0</v>
      </c>
      <c r="D12" s="2532" t="s">
        <v>2477</v>
      </c>
      <c r="E12" s="2529" t="s">
        <v>2475</v>
      </c>
      <c r="F12" s="2652"/>
      <c r="G12" s="1594"/>
      <c r="H12" s="2592" t="s">
        <v>1830</v>
      </c>
      <c r="I12" s="2597" t="s">
        <v>2470</v>
      </c>
      <c r="J12" s="786">
        <f ca="1">ROUND(IF(M12="押一",M8*M10*M9/12*M13,IF(M12="押二",M8*M10*M9/12*2*M13,IF(M12="押三",M8*M10*M9/12*3*M13,J13*M13)))/10000,0)</f>
        <v>0</v>
      </c>
      <c r="K12" s="2532" t="s">
        <v>2477</v>
      </c>
      <c r="L12" s="2529" t="s">
        <v>2475</v>
      </c>
      <c r="M12" s="2652"/>
    </row>
    <row r="13" spans="1:25" ht="18" customHeight="1">
      <c r="A13" s="793"/>
      <c r="B13" s="2526" t="s">
        <v>2585</v>
      </c>
      <c r="C13" s="2530"/>
      <c r="D13" s="792"/>
      <c r="E13" s="2529" t="s">
        <v>2467</v>
      </c>
      <c r="F13" s="799">
        <f ca="1">'数据-取费表'!B39</f>
        <v>1.4999999999999999E-2</v>
      </c>
      <c r="G13" s="1594"/>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4"/>
      <c r="H14" s="2582" t="s">
        <v>2479</v>
      </c>
      <c r="I14" s="2595" t="s">
        <v>2471</v>
      </c>
      <c r="J14" s="2596"/>
      <c r="K14" s="2571"/>
      <c r="L14" s="2572"/>
      <c r="M14" s="2585"/>
    </row>
    <row r="15" spans="1:25" ht="18" customHeight="1" thickTop="1">
      <c r="A15" s="1832" t="s">
        <v>1879</v>
      </c>
      <c r="B15" s="1830" t="s">
        <v>642</v>
      </c>
      <c r="C15" s="795">
        <f ca="1">ROUND(C31*F15,0)</f>
        <v>0</v>
      </c>
      <c r="D15" s="1837" t="s">
        <v>643</v>
      </c>
      <c r="E15" s="798" t="s">
        <v>644</v>
      </c>
      <c r="F15" s="803">
        <f ca="1">INDIRECT("'数据-取费表'!y"&amp;$G$1)</f>
        <v>0</v>
      </c>
      <c r="G15" s="1594"/>
      <c r="H15" s="1832" t="s">
        <v>1831</v>
      </c>
      <c r="I15" s="1830" t="s">
        <v>645</v>
      </c>
      <c r="J15" s="1822">
        <f ca="1">ROUND(J16*J17,0)</f>
        <v>0</v>
      </c>
      <c r="K15" s="1824" t="s">
        <v>643</v>
      </c>
      <c r="L15" s="804"/>
      <c r="M15" s="805"/>
    </row>
    <row r="16" spans="1:25" ht="18" customHeight="1">
      <c r="A16" s="806" t="s">
        <v>1880</v>
      </c>
      <c r="B16" s="787" t="s">
        <v>646</v>
      </c>
      <c r="C16" s="807">
        <f ca="1">INDIRECT("'数据-取费表'!m"&amp;$G$1)+INDIRECT("'数据-取费表'!t"&amp;$G$1)</f>
        <v>0</v>
      </c>
      <c r="D16" s="1981" t="s">
        <v>647</v>
      </c>
      <c r="E16" s="1982"/>
      <c r="F16" s="808"/>
      <c r="G16" s="1594"/>
      <c r="H16" s="806" t="s">
        <v>2079</v>
      </c>
      <c r="I16" s="2237" t="s">
        <v>2840</v>
      </c>
      <c r="J16" s="53">
        <f ca="1">C31</f>
        <v>0</v>
      </c>
      <c r="K16" s="26"/>
      <c r="L16" s="804"/>
      <c r="M16" s="805"/>
    </row>
    <row r="17" spans="1:25" s="2067" customFormat="1" ht="18" customHeight="1">
      <c r="A17" s="806" t="s">
        <v>1854</v>
      </c>
      <c r="B17" s="787" t="s">
        <v>648</v>
      </c>
      <c r="C17" s="53">
        <f ca="1">ROUND(C16*F17,0)</f>
        <v>0</v>
      </c>
      <c r="D17" s="809" t="s">
        <v>649</v>
      </c>
      <c r="E17" s="809" t="s">
        <v>650</v>
      </c>
      <c r="F17" s="810">
        <f>'数据-取费表'!B33</f>
        <v>0.05</v>
      </c>
      <c r="G17" s="1595"/>
      <c r="H17" s="806" t="s">
        <v>2080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4"/>
      <c r="H18" s="800" t="s">
        <v>1832</v>
      </c>
      <c r="I18" s="801" t="s">
        <v>652</v>
      </c>
      <c r="J18" s="802">
        <f ca="1">ROUND(J19+J24+J25+J26,0)</f>
        <v>0</v>
      </c>
      <c r="K18" s="26" t="s">
        <v>653</v>
      </c>
      <c r="L18" s="1984"/>
      <c r="M18" s="56"/>
    </row>
    <row r="19" spans="1:25" s="2067" customFormat="1" ht="18" customHeight="1">
      <c r="A19" s="806" t="s">
        <v>1856</v>
      </c>
      <c r="B19" s="787" t="s">
        <v>654</v>
      </c>
      <c r="C19" s="53">
        <f ca="1">ROUND(F19*(INDIRECT("'数据-取费表'!k"&amp;$G$1)+INDIRECT("'数据-取费表'!S"&amp;$G$1))/10000,0)</f>
        <v>0</v>
      </c>
      <c r="D19" s="787" t="s">
        <v>655</v>
      </c>
      <c r="E19" s="787" t="s">
        <v>656</v>
      </c>
      <c r="F19" s="56">
        <f>'数据-取费表'!B35</f>
        <v>200</v>
      </c>
      <c r="G19" s="1595"/>
      <c r="H19" s="806" t="s">
        <v>2079</v>
      </c>
      <c r="I19" s="787" t="s">
        <v>657</v>
      </c>
      <c r="J19" s="53">
        <f ca="1">ROUND(IF(项目基本情况!B11="自然人",J7*M19,J20+J21+J22),0)</f>
        <v>0</v>
      </c>
      <c r="K19" s="1981" t="s">
        <v>658</v>
      </c>
      <c r="L19" s="1979"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1857</v>
      </c>
      <c r="B20" s="787" t="s">
        <v>660</v>
      </c>
      <c r="C20" s="53">
        <f ca="1">ROUND(C16*F20,0)</f>
        <v>0</v>
      </c>
      <c r="D20" s="787" t="s">
        <v>649</v>
      </c>
      <c r="E20" s="787" t="s">
        <v>650</v>
      </c>
      <c r="F20" s="812">
        <f>'数据-取费表'!B36</f>
        <v>1.4999999999999999E-2</v>
      </c>
      <c r="G20" s="1595"/>
      <c r="H20" s="806" t="s">
        <v>1836</v>
      </c>
      <c r="I20" s="787" t="s">
        <v>661</v>
      </c>
      <c r="J20" s="53">
        <f ca="1">ROUND(J7*M20/1.05,1)</f>
        <v>0</v>
      </c>
      <c r="K20" s="1979"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1881</v>
      </c>
      <c r="B21" s="787" t="s">
        <v>663</v>
      </c>
      <c r="C21" s="53">
        <f ca="1">SUM(C16:C20)</f>
        <v>0</v>
      </c>
      <c r="D21" s="261" t="s">
        <v>664</v>
      </c>
      <c r="E21" s="1984"/>
      <c r="F21" s="56"/>
      <c r="G21" s="1594"/>
      <c r="H21" s="1833" t="s">
        <v>1854</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1882</v>
      </c>
      <c r="B22" s="787" t="s">
        <v>667</v>
      </c>
      <c r="C22" s="53">
        <f ca="1">ROUND(C21*F22,0)</f>
        <v>0</v>
      </c>
      <c r="D22" s="815" t="s">
        <v>668</v>
      </c>
      <c r="E22" s="787" t="s">
        <v>650</v>
      </c>
      <c r="F22" s="812">
        <f>'数据-取费表'!B37</f>
        <v>0.02</v>
      </c>
      <c r="G22" s="1595"/>
      <c r="H22" s="1835" t="s">
        <v>1855</v>
      </c>
      <c r="I22" s="1825" t="s">
        <v>669</v>
      </c>
      <c r="J22" s="54">
        <f ca="1">ROUND(M22*M23/10000,0)</f>
        <v>0</v>
      </c>
      <c r="K22" s="817" t="s">
        <v>670</v>
      </c>
      <c r="L22" s="787" t="s">
        <v>671</v>
      </c>
      <c r="M22" s="643">
        <f>'数据-取费表'!B52</f>
        <v>6</v>
      </c>
      <c r="N22" s="2066"/>
      <c r="O22" s="2066"/>
      <c r="P22" s="2066"/>
      <c r="Q22" s="2066"/>
      <c r="R22" s="2066"/>
      <c r="S22" s="2066"/>
      <c r="T22" s="2066"/>
      <c r="U22" s="2066"/>
      <c r="V22" s="2066"/>
      <c r="W22" s="2066"/>
      <c r="X22" s="2066"/>
      <c r="Y22" s="2066"/>
    </row>
    <row r="23" spans="1:25" s="2067" customFormat="1" ht="18" customHeight="1">
      <c r="A23" s="806" t="s">
        <v>1883</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1884</v>
      </c>
      <c r="B24" s="787" t="s">
        <v>676</v>
      </c>
      <c r="C24" s="53"/>
      <c r="D24" s="2603" t="str">
        <f>IF(F25&lt;=1,"单利计息。","复利计息。")&amp;"建造成本、管理费用、销售费用产生的利息。"</f>
        <v>复利计息。建造成本、管理费用、销售费用产生的利息。</v>
      </c>
      <c r="E24" s="1984"/>
      <c r="F24" s="56"/>
      <c r="G24" s="1594"/>
      <c r="H24" s="1834" t="s">
        <v>2080</v>
      </c>
      <c r="I24" s="787" t="s">
        <v>677</v>
      </c>
      <c r="J24" s="53">
        <f ca="1">ROUND(J16*M24,0)</f>
        <v>0</v>
      </c>
      <c r="K24" s="1979" t="s">
        <v>678</v>
      </c>
      <c r="L24" s="787" t="s">
        <v>650</v>
      </c>
      <c r="M24" s="820">
        <f ca="1">INDIRECT("'数据-取费表'!Ak"&amp;$G$1)</f>
        <v>0</v>
      </c>
    </row>
    <row r="25" spans="1:25" s="2067" customFormat="1" ht="18" customHeight="1">
      <c r="A25" s="806" t="s">
        <v>1880</v>
      </c>
      <c r="B25" s="787" t="s">
        <v>2447</v>
      </c>
      <c r="C25" s="53">
        <f ca="1">ROUND(IF('数据-取费表'!B22&lt;=1,(C21+C22)*F26*F25/2,(C21+C22)*(POWER((1+F26),F25/2)-1)),0)</f>
        <v>0</v>
      </c>
      <c r="D25" s="2602" t="str">
        <f>IF(F25&lt;=1,"(建造成本+管理费用)×利率×(建设周期÷2)","(建造成本+管理费用)×((1+利率)^(建设周期÷2)-1)")</f>
        <v>(建造成本+管理费用)×((1+利率)^(建设周期÷2)-1)</v>
      </c>
      <c r="E25" s="787" t="s">
        <v>679</v>
      </c>
      <c r="F25" s="643">
        <f>'数据-取费表'!B20</f>
        <v>3</v>
      </c>
      <c r="G25" s="1595"/>
      <c r="H25" s="806" t="s">
        <v>1883</v>
      </c>
      <c r="I25" s="787" t="s">
        <v>680</v>
      </c>
      <c r="J25" s="53">
        <f ca="1">ROUND(J15*M25,0)</f>
        <v>0</v>
      </c>
      <c r="K25" s="1979"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1854</v>
      </c>
      <c r="B26" s="787" t="s">
        <v>682</v>
      </c>
      <c r="C26" s="53">
        <f ca="1">ROUND(IF('数据-取费表'!B22&lt;=1,F23*F26*F25/2,F23*(POWER((1+F26),F25/2)-1)),4)</f>
        <v>1.4E-3</v>
      </c>
      <c r="D26" s="2602" t="str">
        <f>IF(F25&lt;=1,"销售费用×利率×(建设周期÷2)","销售费用×((1+利率)^(建设周期÷2)-1)")</f>
        <v>销售费用×((1+利率)^(建设周期÷2)-1)</v>
      </c>
      <c r="E26" s="787" t="s">
        <v>683</v>
      </c>
      <c r="F26" s="822">
        <f ca="1">'数据-取费表'!B40</f>
        <v>4.7500000000000001E-2</v>
      </c>
      <c r="G26" s="1595"/>
      <c r="H26" s="806" t="s">
        <v>1884</v>
      </c>
      <c r="I26" s="787" t="s">
        <v>667</v>
      </c>
      <c r="J26" s="53">
        <f ca="1">ROUND(J7*M26,0)</f>
        <v>0</v>
      </c>
      <c r="K26" s="1979"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1886</v>
      </c>
      <c r="B27" s="787" t="s">
        <v>685</v>
      </c>
      <c r="C27" s="53"/>
      <c r="D27" s="261" t="s">
        <v>686</v>
      </c>
      <c r="E27" s="1984"/>
      <c r="F27" s="56"/>
      <c r="G27" s="1594"/>
      <c r="H27" s="800" t="s">
        <v>1833</v>
      </c>
      <c r="I27" s="3046" t="s">
        <v>2837</v>
      </c>
      <c r="J27" s="802">
        <f ca="1">J7-J18</f>
        <v>0</v>
      </c>
      <c r="K27" s="1981" t="s">
        <v>702</v>
      </c>
      <c r="L27" s="1983"/>
      <c r="M27" s="823"/>
    </row>
    <row r="28" spans="1:25" ht="18" customHeight="1">
      <c r="A28" s="806" t="s">
        <v>1880</v>
      </c>
      <c r="B28" s="787" t="s">
        <v>2448</v>
      </c>
      <c r="C28" s="53">
        <f ca="1">ROUND((C21+C22)*F28,0)</f>
        <v>0</v>
      </c>
      <c r="D28" s="815" t="s">
        <v>703</v>
      </c>
      <c r="E28" s="798" t="s">
        <v>704</v>
      </c>
      <c r="F28" s="797">
        <f ca="1">INDIRECT("'数据-取费表'!q"&amp;$G$1)</f>
        <v>0</v>
      </c>
      <c r="G28" s="1594"/>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4"/>
      <c r="H29" s="789"/>
      <c r="I29" s="790"/>
      <c r="J29" s="791"/>
      <c r="K29" s="824" t="s">
        <v>709</v>
      </c>
      <c r="L29" s="787" t="s">
        <v>710</v>
      </c>
      <c r="M29" s="825">
        <f ca="1">INDIRECT("'数据-取费表'!ag"&amp;$G$1)</f>
        <v>0</v>
      </c>
    </row>
    <row r="30" spans="1:25" s="2067" customFormat="1" ht="18" customHeight="1">
      <c r="A30" s="806" t="s">
        <v>1887</v>
      </c>
      <c r="B30" s="787" t="s">
        <v>688</v>
      </c>
      <c r="C30" s="53">
        <f>ROUND(F30/(1+'数据-取费表'!C42),4)</f>
        <v>5.2400000000000002E-2</v>
      </c>
      <c r="D30" s="815" t="s">
        <v>711</v>
      </c>
      <c r="E30" s="787" t="s">
        <v>650</v>
      </c>
      <c r="F30" s="812">
        <f>'数据-取费表'!B41</f>
        <v>5.5000000000000007E-2</v>
      </c>
      <c r="G30" s="1595"/>
      <c r="H30" s="793"/>
      <c r="I30" s="794"/>
      <c r="J30" s="795"/>
      <c r="K30" s="819"/>
      <c r="L30" s="787" t="s">
        <v>712</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5"/>
      <c r="H31" s="826" t="s">
        <v>1877</v>
      </c>
      <c r="I31" s="3047" t="s">
        <v>2839</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8"/>
      <c r="F32" s="2522"/>
      <c r="G32" s="2065"/>
      <c r="H32" s="2068"/>
      <c r="I32" s="2069"/>
      <c r="J32" s="2070"/>
      <c r="K32" s="2071"/>
      <c r="L32" s="2072"/>
      <c r="M32" s="2073"/>
    </row>
    <row r="33" spans="1:13" ht="18" customHeight="1">
      <c r="A33" s="806" t="s">
        <v>1881</v>
      </c>
      <c r="B33" s="787" t="s">
        <v>657</v>
      </c>
      <c r="C33" s="53">
        <f ca="1">ROUND(IF(项目基本情况!B11="自然人",C7*F33,C34+C35+C36),1)</f>
        <v>0</v>
      </c>
      <c r="D33" s="1981" t="s">
        <v>658</v>
      </c>
      <c r="E33" s="1979" t="s">
        <v>691</v>
      </c>
      <c r="F33" s="813" t="str">
        <f ca="1">IF(项目基本情况!B11="企业","",IF(INDIRECT("'数据-取费表'!c"&amp;$G$1)="住宅",5%,IF(F8*F9*F10/12/(1+'数据-取费表'!C42)&gt;20000,12%,7%)))</f>
        <v/>
      </c>
      <c r="G33" s="2065"/>
      <c r="H33" s="2068"/>
      <c r="I33" s="2069"/>
      <c r="J33" s="2070"/>
      <c r="K33" s="2071"/>
      <c r="L33" s="2072"/>
      <c r="M33" s="2073"/>
    </row>
    <row r="34" spans="1:13" ht="18" customHeight="1">
      <c r="A34" s="806" t="s">
        <v>1880</v>
      </c>
      <c r="B34" s="787" t="s">
        <v>661</v>
      </c>
      <c r="C34" s="53">
        <f ca="1">ROUND(C7*F34/1.05,1)</f>
        <v>0</v>
      </c>
      <c r="D34" s="1979" t="s">
        <v>662</v>
      </c>
      <c r="E34" s="787" t="s">
        <v>650</v>
      </c>
      <c r="F34" s="812">
        <f>'数据-取费表'!B41</f>
        <v>5.5000000000000007E-2</v>
      </c>
      <c r="G34" s="2065"/>
      <c r="H34" s="2074"/>
      <c r="I34" s="2075"/>
      <c r="J34" s="2076"/>
      <c r="K34" s="2077"/>
      <c r="L34" s="2078"/>
      <c r="M34" s="2079"/>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5"/>
      <c r="H35" s="2080"/>
      <c r="I35" s="2080"/>
      <c r="J35" s="2080"/>
      <c r="K35" s="2081"/>
      <c r="L35" s="2080"/>
      <c r="M35" s="2080"/>
    </row>
    <row r="36" spans="1:13" ht="18" customHeight="1">
      <c r="A36" s="816" t="s">
        <v>1885</v>
      </c>
      <c r="B36" s="344" t="s">
        <v>669</v>
      </c>
      <c r="C36" s="54">
        <f ca="1">ROUND(F36*F37/10000,1)</f>
        <v>0</v>
      </c>
      <c r="D36" s="817" t="s">
        <v>670</v>
      </c>
      <c r="E36" s="787" t="s">
        <v>671</v>
      </c>
      <c r="F36" s="643">
        <f>'数据-取费表'!B52</f>
        <v>6</v>
      </c>
      <c r="G36" s="2065"/>
      <c r="H36" s="2068"/>
      <c r="I36" s="3498"/>
      <c r="J36" s="2082"/>
      <c r="K36" s="2083"/>
      <c r="L36" s="2082"/>
      <c r="M36" s="2082"/>
    </row>
    <row r="37" spans="1:13" ht="18" customHeight="1">
      <c r="A37" s="818"/>
      <c r="B37" s="796"/>
      <c r="C37" s="69"/>
      <c r="D37" s="819"/>
      <c r="E37" s="787" t="s">
        <v>675</v>
      </c>
      <c r="F37" s="788">
        <f ca="1">INDIRECT("'数据-取费表'!r"&amp;$G$1)</f>
        <v>0</v>
      </c>
      <c r="G37" s="2065"/>
      <c r="H37" s="2068"/>
      <c r="I37" s="3498"/>
      <c r="J37" s="2080"/>
      <c r="K37" s="2081"/>
      <c r="L37" s="2080"/>
      <c r="M37" s="2080"/>
    </row>
    <row r="38" spans="1:13" ht="18" customHeight="1">
      <c r="A38" s="806" t="s">
        <v>1882</v>
      </c>
      <c r="B38" s="787" t="s">
        <v>677</v>
      </c>
      <c r="C38" s="53">
        <f ca="1">ROUND(C31*F38,1)</f>
        <v>0</v>
      </c>
      <c r="D38" s="1979" t="s">
        <v>693</v>
      </c>
      <c r="E38" s="787" t="s">
        <v>650</v>
      </c>
      <c r="F38" s="820">
        <f ca="1">INDIRECT("'数据-取费表'!Ak"&amp;$G$1)</f>
        <v>0</v>
      </c>
      <c r="G38" s="2065"/>
      <c r="H38" s="2080"/>
      <c r="I38" s="2084"/>
      <c r="J38" s="1990"/>
      <c r="K38" s="2085"/>
      <c r="L38" s="2080"/>
      <c r="M38" s="2080"/>
    </row>
    <row r="39" spans="1:13" ht="18" customHeight="1">
      <c r="A39" s="806" t="s">
        <v>1883</v>
      </c>
      <c r="B39" s="787" t="s">
        <v>680</v>
      </c>
      <c r="C39" s="53">
        <f ca="1">ROUND(C15*F39,1)</f>
        <v>0</v>
      </c>
      <c r="D39" s="1979" t="s">
        <v>681</v>
      </c>
      <c r="E39" s="787" t="s">
        <v>650</v>
      </c>
      <c r="F39" s="821">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6" t="s">
        <v>1881</v>
      </c>
      <c r="B42" s="838" t="s">
        <v>695</v>
      </c>
      <c r="C42" s="832">
        <f ca="1">C7-C32</f>
        <v>0</v>
      </c>
      <c r="D42" s="1981" t="s">
        <v>696</v>
      </c>
      <c r="E42" s="1983"/>
      <c r="F42" s="823"/>
      <c r="G42" s="2065"/>
      <c r="H42" s="2065"/>
      <c r="I42" s="2065"/>
      <c r="J42" s="2065"/>
      <c r="K42" s="2086"/>
      <c r="L42" s="2065"/>
      <c r="M42" s="2065"/>
    </row>
    <row r="43" spans="1:13" ht="18" customHeight="1">
      <c r="A43" s="806" t="s">
        <v>1882</v>
      </c>
      <c r="B43" s="838" t="s">
        <v>713</v>
      </c>
      <c r="C43" s="839">
        <f ca="1">ROUND(C15*F43,0)</f>
        <v>0</v>
      </c>
      <c r="D43" s="1356" t="s">
        <v>714</v>
      </c>
      <c r="E43" s="1356" t="s">
        <v>715</v>
      </c>
      <c r="F43" s="1357">
        <f ca="1">INDIRECT("'数据-取费表'!j"&amp;$G$1)</f>
        <v>0</v>
      </c>
      <c r="G43" s="2065"/>
      <c r="H43" s="2065"/>
      <c r="I43" s="2065"/>
      <c r="J43" s="2065"/>
      <c r="K43" s="2086"/>
      <c r="L43" s="2065"/>
      <c r="M43" s="2065"/>
    </row>
    <row r="44" spans="1:13" ht="18" customHeight="1">
      <c r="A44" s="806" t="s">
        <v>1883</v>
      </c>
      <c r="B44" s="838" t="s">
        <v>716</v>
      </c>
      <c r="C44" s="1358">
        <f ca="1">C42-C43</f>
        <v>0</v>
      </c>
      <c r="D44" s="466" t="s">
        <v>717</v>
      </c>
      <c r="E44" s="467"/>
      <c r="F44" s="468"/>
      <c r="G44" s="2065"/>
      <c r="H44" s="2065"/>
      <c r="I44" s="2065"/>
      <c r="J44" s="2065"/>
      <c r="K44" s="2086"/>
      <c r="L44" s="2065"/>
      <c r="M44" s="2065"/>
    </row>
    <row r="45" spans="1:13" ht="18" customHeight="1">
      <c r="A45" s="806" t="s">
        <v>1884</v>
      </c>
      <c r="B45" s="1356" t="s">
        <v>718</v>
      </c>
      <c r="C45" s="3072">
        <f ca="1">ROUND(-PV(F45,F46,C44,0),0)</f>
        <v>0</v>
      </c>
      <c r="D45" s="1359" t="s">
        <v>719</v>
      </c>
      <c r="E45" s="809" t="s">
        <v>720</v>
      </c>
      <c r="F45" s="833">
        <f ca="1">INDIRECT("'数据-取费表'!h"&amp;$G$1)</f>
        <v>0</v>
      </c>
      <c r="G45" s="2065"/>
      <c r="H45" s="2065"/>
      <c r="I45" s="2065"/>
      <c r="J45" s="2065"/>
      <c r="K45" s="2086"/>
      <c r="L45" s="2065"/>
      <c r="M45" s="2065"/>
    </row>
    <row r="46" spans="1:13" ht="18" customHeight="1" thickBot="1">
      <c r="A46" s="834"/>
      <c r="B46" s="1360"/>
      <c r="C46" s="1361"/>
      <c r="D46" s="1362"/>
      <c r="E46" s="830" t="s">
        <v>710</v>
      </c>
      <c r="F46" s="831">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5" sqref="F35"/>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35</v>
      </c>
      <c r="D1" s="2052"/>
      <c r="E1" s="2418" t="s">
        <v>2384</v>
      </c>
      <c r="F1" s="2419">
        <f ca="1">J53</f>
        <v>46.53</v>
      </c>
      <c r="G1" s="777">
        <f>MATCH(C1,'数据-取费表'!A6:A16,0)+5</f>
        <v>11</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8">
        <f ca="1">C40+J29+L46</f>
        <v>5071</v>
      </c>
      <c r="C2" s="2060"/>
      <c r="D2" s="2058"/>
      <c r="E2" s="2059"/>
      <c r="F2" s="2059"/>
      <c r="G2" s="1592"/>
      <c r="H2" s="2060"/>
      <c r="I2" s="2060"/>
      <c r="J2" s="2060"/>
      <c r="K2" s="2061"/>
      <c r="L2" s="2060"/>
      <c r="M2" s="2060"/>
    </row>
    <row r="3" spans="1:33" ht="18" customHeight="1" thickBot="1">
      <c r="A3" s="836" t="s">
        <v>1731</v>
      </c>
      <c r="B3" s="837">
        <f ca="1">IF(ISERROR(B2*10000/F43),0,ROUND(B2*10000/F43,0))</f>
        <v>3419</v>
      </c>
      <c r="C3" s="2060"/>
      <c r="D3" s="2058"/>
      <c r="E3" s="2059"/>
      <c r="F3" s="2059"/>
      <c r="G3" s="1592"/>
      <c r="H3" s="779" t="s">
        <v>697</v>
      </c>
      <c r="I3" s="1364"/>
      <c r="J3" s="1364"/>
      <c r="K3" s="1593"/>
      <c r="L3" s="1364"/>
      <c r="M3" s="1364"/>
    </row>
    <row r="4" spans="1:33" ht="18" customHeight="1">
      <c r="A4" s="780" t="s">
        <v>1732</v>
      </c>
      <c r="B4" s="781" t="s">
        <v>1733</v>
      </c>
      <c r="C4" s="781" t="s">
        <v>1734</v>
      </c>
      <c r="D4" s="781" t="s">
        <v>634</v>
      </c>
      <c r="E4" s="782" t="s">
        <v>1735</v>
      </c>
      <c r="F4" s="783"/>
      <c r="G4" s="1594"/>
      <c r="H4" s="780" t="s">
        <v>1736</v>
      </c>
      <c r="I4" s="781" t="s">
        <v>1737</v>
      </c>
      <c r="J4" s="781" t="s">
        <v>1738</v>
      </c>
      <c r="K4" s="781" t="s">
        <v>1739</v>
      </c>
      <c r="L4" s="782" t="s">
        <v>1740</v>
      </c>
      <c r="M4" s="783"/>
    </row>
    <row r="5" spans="1:33" ht="18" customHeight="1">
      <c r="A5" s="784">
        <v>1</v>
      </c>
      <c r="B5" s="785" t="s">
        <v>2469</v>
      </c>
      <c r="C5" s="55">
        <f ca="1">C6+C10+C12</f>
        <v>390</v>
      </c>
      <c r="D5" s="2527" t="s">
        <v>2472</v>
      </c>
      <c r="E5" s="2521"/>
      <c r="F5" s="2522"/>
      <c r="G5" s="1594"/>
      <c r="H5" s="784">
        <v>1</v>
      </c>
      <c r="I5" s="785" t="s">
        <v>2469</v>
      </c>
      <c r="J5" s="55">
        <f ca="1">J6+J10+J12</f>
        <v>0</v>
      </c>
      <c r="K5" s="2527" t="s">
        <v>2472</v>
      </c>
      <c r="L5" s="2521"/>
      <c r="M5" s="2522"/>
    </row>
    <row r="6" spans="1:33" ht="18" customHeight="1">
      <c r="A6" s="1833" t="s">
        <v>1829</v>
      </c>
      <c r="B6" s="3499" t="s">
        <v>2474</v>
      </c>
      <c r="C6" s="786">
        <f ca="1">ROUND(F6*F8*F7*(1-F9)/10000,0)</f>
        <v>390</v>
      </c>
      <c r="D6" s="2528" t="s">
        <v>2473</v>
      </c>
      <c r="E6" s="787" t="s">
        <v>1742</v>
      </c>
      <c r="F6" s="788">
        <f ca="1">INDIRECT("'数据-取费表'!u"&amp;$G$1)</f>
        <v>0.8</v>
      </c>
      <c r="G6" s="1594"/>
      <c r="H6" s="2535" t="s">
        <v>2480</v>
      </c>
      <c r="I6" s="3499" t="s">
        <v>2474</v>
      </c>
      <c r="J6" s="786">
        <f ca="1">ROUND(M6*M8*M7*(1-M9)/10000,0)</f>
        <v>0</v>
      </c>
      <c r="K6" s="344" t="s">
        <v>1741</v>
      </c>
      <c r="L6" s="787" t="s">
        <v>1742</v>
      </c>
      <c r="M6" s="788">
        <f ca="1">INDIRECT("'数据-取费表'!z"&amp;$G$1)</f>
        <v>0</v>
      </c>
    </row>
    <row r="7" spans="1:33" ht="18" customHeight="1">
      <c r="A7" s="2531"/>
      <c r="B7" s="3500"/>
      <c r="C7" s="791"/>
      <c r="D7" s="792"/>
      <c r="E7" s="787" t="s">
        <v>1743</v>
      </c>
      <c r="F7" s="788">
        <f ca="1">IF(INDIRECT("'数据-取费表'!ah"&amp;$G$1)="",INDIRECT("'数据-取费表'!k"&amp;$G$1),INDIRECT("'数据-取费表'!ah"&amp;$G$1))</f>
        <v>14833.519999999997</v>
      </c>
      <c r="G7" s="1594"/>
      <c r="H7" s="2520"/>
      <c r="I7" s="3500"/>
      <c r="J7" s="791"/>
      <c r="K7" s="792"/>
      <c r="L7" s="787" t="s">
        <v>1743</v>
      </c>
      <c r="M7" s="788">
        <f ca="1">F7</f>
        <v>14833.519999999997</v>
      </c>
    </row>
    <row r="8" spans="1:33" ht="18" customHeight="1">
      <c r="A8" s="2524"/>
      <c r="B8" s="3501"/>
      <c r="C8" s="791"/>
      <c r="D8" s="792"/>
      <c r="E8" s="787" t="s">
        <v>1744</v>
      </c>
      <c r="F8" s="788">
        <f ca="1">INDIRECT("'数据-取费表'!ai"&amp;$G$1)</f>
        <v>365</v>
      </c>
      <c r="G8" s="1594"/>
      <c r="H8" s="2520"/>
      <c r="I8" s="3501"/>
      <c r="J8" s="791"/>
      <c r="K8" s="792"/>
      <c r="L8" s="787" t="s">
        <v>1744</v>
      </c>
      <c r="M8" s="788">
        <f ca="1">INDIRECT("'数据-取费表'!ai"&amp;$G$1)</f>
        <v>365</v>
      </c>
    </row>
    <row r="9" spans="1:33" ht="18" customHeight="1">
      <c r="A9" s="789"/>
      <c r="B9" s="3502"/>
      <c r="C9" s="791"/>
      <c r="D9" s="792"/>
      <c r="E9" s="787" t="s">
        <v>1745</v>
      </c>
      <c r="F9" s="797">
        <f ca="1">INDIRECT("'数据-取费表'!w"&amp;$G$1)</f>
        <v>0.1</v>
      </c>
      <c r="G9" s="1594"/>
      <c r="H9" s="2536"/>
      <c r="I9" s="3501"/>
      <c r="J9" s="791"/>
      <c r="K9" s="792"/>
      <c r="L9" s="798" t="s">
        <v>1745</v>
      </c>
      <c r="M9" s="799">
        <f ca="1">INDIRECT("'数据-取费表'!ab"&amp;$G$1)</f>
        <v>0</v>
      </c>
    </row>
    <row r="10" spans="1:33" ht="18" customHeight="1">
      <c r="A10" s="1833" t="s">
        <v>2478</v>
      </c>
      <c r="B10" s="2525" t="s">
        <v>2470</v>
      </c>
      <c r="C10" s="802">
        <f ca="1">ROUND(IF(F10="押一",F6*F8*F7/12*F11,IF(F10="押二",F6*F8*F7/12*2*F11,IF(F10="押三",F6*F8*F7/12*3*F11,C11*F11)))/10000,0)</f>
        <v>0</v>
      </c>
      <c r="D10" s="2532" t="s">
        <v>2477</v>
      </c>
      <c r="E10" s="2529" t="s">
        <v>2475</v>
      </c>
      <c r="F10" s="2652" t="s">
        <v>3200</v>
      </c>
      <c r="G10" s="1594"/>
      <c r="H10" s="2592" t="s">
        <v>2481</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2476</v>
      </c>
      <c r="F11" s="799">
        <f ca="1">'数据-取费表'!B39</f>
        <v>1.4999999999999999E-2</v>
      </c>
      <c r="G11" s="1594"/>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4"/>
      <c r="H12" s="2582" t="s">
        <v>2482</v>
      </c>
      <c r="I12" s="2595" t="s">
        <v>2471</v>
      </c>
      <c r="J12" s="2596"/>
      <c r="K12" s="2571"/>
      <c r="L12" s="2572"/>
      <c r="M12" s="2585"/>
    </row>
    <row r="13" spans="1:33" ht="18" customHeight="1" thickTop="1">
      <c r="A13" s="1832">
        <v>2</v>
      </c>
      <c r="B13" s="1830" t="s">
        <v>1746</v>
      </c>
      <c r="C13" s="795">
        <f ca="1">ROUND(C29*F13,0)</f>
        <v>5253</v>
      </c>
      <c r="D13" s="1837" t="s">
        <v>2307</v>
      </c>
      <c r="E13" s="1837" t="s">
        <v>1748</v>
      </c>
      <c r="F13" s="2567">
        <f ca="1">INDIRECT("'数据-取费表'!y"&amp;$G$1)</f>
        <v>1</v>
      </c>
      <c r="G13" s="1594"/>
      <c r="H13" s="1832">
        <v>2</v>
      </c>
      <c r="I13" s="1830" t="s">
        <v>1746</v>
      </c>
      <c r="J13" s="1822">
        <f ca="1">ROUND(J14*J15,0)</f>
        <v>0</v>
      </c>
      <c r="K13" s="1824" t="s">
        <v>1747</v>
      </c>
      <c r="L13" s="2583"/>
      <c r="M13" s="2584"/>
    </row>
    <row r="14" spans="1:33" ht="18" customHeight="1">
      <c r="A14" s="1650" t="s">
        <v>1889</v>
      </c>
      <c r="B14" s="787" t="s">
        <v>646</v>
      </c>
      <c r="C14" s="807">
        <f ca="1">INDIRECT("'数据-取费表'!m"&amp;$G$1)+INDIRECT("'数据-取费表'!t"&amp;$G$1)</f>
        <v>3708</v>
      </c>
      <c r="D14" s="1981" t="s">
        <v>1749</v>
      </c>
      <c r="E14" s="1982"/>
      <c r="F14" s="808"/>
      <c r="G14" s="1594"/>
      <c r="H14" s="1651" t="s">
        <v>1835</v>
      </c>
      <c r="I14" s="2237" t="s">
        <v>2841</v>
      </c>
      <c r="J14" s="53">
        <f ca="1">C29</f>
        <v>5253</v>
      </c>
      <c r="K14" s="26"/>
      <c r="L14" s="804"/>
      <c r="M14" s="805"/>
    </row>
    <row r="15" spans="1:33" s="2067" customFormat="1" ht="18" customHeight="1" thickBot="1">
      <c r="A15" s="1650" t="s">
        <v>1890</v>
      </c>
      <c r="B15" s="787" t="s">
        <v>648</v>
      </c>
      <c r="C15" s="53">
        <f ca="1">ROUND(C14*F15,0)</f>
        <v>185</v>
      </c>
      <c r="D15" s="809" t="s">
        <v>1750</v>
      </c>
      <c r="E15" s="809" t="s">
        <v>1751</v>
      </c>
      <c r="F15" s="810">
        <f>'数据-取费表'!B33</f>
        <v>0.05</v>
      </c>
      <c r="G15" s="1595"/>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7" t="s">
        <v>651</v>
      </c>
      <c r="C16" s="53">
        <f ca="1">ROUND(INDIRECT("'数据-取费表'!m"&amp;$G$1)*F16,0)</f>
        <v>0</v>
      </c>
      <c r="D16" s="787" t="s">
        <v>1750</v>
      </c>
      <c r="E16" s="787" t="s">
        <v>1751</v>
      </c>
      <c r="F16" s="812">
        <f ca="1">IF(INDIRECT("'数据-取费表'!c"&amp;$G$1)="住宅",'数据-取费表'!B34,0)</f>
        <v>0</v>
      </c>
      <c r="G16" s="1594"/>
      <c r="H16" s="1832" t="s">
        <v>1752</v>
      </c>
      <c r="I16" s="1830" t="s">
        <v>1753</v>
      </c>
      <c r="J16" s="795">
        <f ca="1">ROUND(J17+J22+J23+J24,0)</f>
        <v>152</v>
      </c>
      <c r="K16" s="1824" t="s">
        <v>1754</v>
      </c>
      <c r="L16" s="2517"/>
      <c r="M16" s="2522"/>
    </row>
    <row r="17" spans="1:33" s="2067" customFormat="1" ht="18" customHeight="1">
      <c r="A17" s="1650" t="s">
        <v>1892</v>
      </c>
      <c r="B17" s="787" t="s">
        <v>654</v>
      </c>
      <c r="C17" s="53">
        <f ca="1">ROUND(F17*(F43+INDIRECT("'数据-取费表'!S"&amp;$G$1))/10000,0)</f>
        <v>297</v>
      </c>
      <c r="D17" s="787" t="s">
        <v>1755</v>
      </c>
      <c r="E17" s="787" t="s">
        <v>1756</v>
      </c>
      <c r="F17" s="56">
        <f>'数据-取费表'!B35</f>
        <v>200</v>
      </c>
      <c r="G17" s="1595"/>
      <c r="H17" s="1651" t="s">
        <v>1835</v>
      </c>
      <c r="I17" s="787" t="s">
        <v>657</v>
      </c>
      <c r="J17" s="53">
        <f ca="1">ROUND(IF(项目基本情况!B11="自然人",J5*M17,J18+J19+J20),0)</f>
        <v>47</v>
      </c>
      <c r="K17" s="2516" t="s">
        <v>1757</v>
      </c>
      <c r="L17" s="2515" t="s">
        <v>1758</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56</v>
      </c>
      <c r="D18" s="787" t="s">
        <v>1750</v>
      </c>
      <c r="E18" s="787" t="s">
        <v>1751</v>
      </c>
      <c r="F18" s="812">
        <f>'数据-取费表'!B36</f>
        <v>1.4999999999999999E-2</v>
      </c>
      <c r="G18" s="1595"/>
      <c r="H18" s="1650" t="s">
        <v>1889</v>
      </c>
      <c r="I18" s="787" t="s">
        <v>1759</v>
      </c>
      <c r="J18" s="53">
        <f ca="1">ROUND(J5*M18/1.05,1)</f>
        <v>0</v>
      </c>
      <c r="K18" s="2515" t="s">
        <v>1760</v>
      </c>
      <c r="L18" s="787" t="s">
        <v>1751</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7" t="s">
        <v>663</v>
      </c>
      <c r="C19" s="53">
        <f ca="1">SUM(C14:C18)</f>
        <v>4246</v>
      </c>
      <c r="D19" s="261" t="s">
        <v>1761</v>
      </c>
      <c r="E19" s="1984"/>
      <c r="F19" s="56"/>
      <c r="G19" s="1594"/>
      <c r="H19" s="1650" t="s">
        <v>1890</v>
      </c>
      <c r="I19" s="787" t="s">
        <v>1762</v>
      </c>
      <c r="J19" s="53">
        <f ca="1">IF(K19="按租金收入计税",ROUND(J5*M19,1),ROUND(C29*F33*0.7,1))</f>
        <v>44.1</v>
      </c>
      <c r="K19" s="814" t="s">
        <v>666</v>
      </c>
      <c r="L19" s="787" t="s">
        <v>1751</v>
      </c>
      <c r="M19" s="812">
        <f>IF(K19="按租金收入计税",'数据-取费表'!B51,'数据-取费表'!B50)</f>
        <v>1.2E-2</v>
      </c>
    </row>
    <row r="20" spans="1:33" s="2067" customFormat="1" ht="18" customHeight="1">
      <c r="A20" s="1651" t="s">
        <v>1894</v>
      </c>
      <c r="B20" s="787" t="s">
        <v>667</v>
      </c>
      <c r="C20" s="53">
        <f ca="1">ROUND(C19*F20,0)</f>
        <v>85</v>
      </c>
      <c r="D20" s="815" t="s">
        <v>1763</v>
      </c>
      <c r="E20" s="787" t="s">
        <v>1751</v>
      </c>
      <c r="F20" s="812">
        <f>'数据-取费表'!B37</f>
        <v>0.02</v>
      </c>
      <c r="G20" s="1595"/>
      <c r="H20" s="1653" t="s">
        <v>1885</v>
      </c>
      <c r="I20" s="344" t="s">
        <v>1764</v>
      </c>
      <c r="J20" s="54">
        <f ca="1">ROUND(M20*M21/10000,0)</f>
        <v>3</v>
      </c>
      <c r="K20" s="817" t="s">
        <v>1765</v>
      </c>
      <c r="L20" s="787" t="s">
        <v>1766</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1767</v>
      </c>
      <c r="C21" s="53" t="s">
        <v>1768</v>
      </c>
      <c r="D21" s="815" t="s">
        <v>2308</v>
      </c>
      <c r="E21" s="787" t="s">
        <v>1769</v>
      </c>
      <c r="F21" s="812">
        <f>'数据-取费表'!B38</f>
        <v>0.02</v>
      </c>
      <c r="G21" s="1595"/>
      <c r="H21" s="2537"/>
      <c r="I21" s="796"/>
      <c r="J21" s="69"/>
      <c r="K21" s="819"/>
      <c r="L21" s="787" t="s">
        <v>1770</v>
      </c>
      <c r="M21" s="788">
        <f ca="1">INDIRECT("'数据-取费表'!r"&amp;$G$1)</f>
        <v>5247.89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1771</v>
      </c>
      <c r="C22" s="53"/>
      <c r="D22" s="2603" t="str">
        <f>IF(F23&lt;=1,"单利计息。","复利计息。")&amp;"建造成本、管理费用、销售费用产生的利息。"</f>
        <v>复利计息。建造成本、管理费用、销售费用产生的利息。</v>
      </c>
      <c r="E22" s="1984"/>
      <c r="F22" s="56"/>
      <c r="G22" s="1594"/>
      <c r="H22" s="1651" t="s">
        <v>1894</v>
      </c>
      <c r="I22" s="787" t="s">
        <v>1772</v>
      </c>
      <c r="J22" s="53">
        <f ca="1">ROUND(J14*M22,0)</f>
        <v>105</v>
      </c>
      <c r="K22" s="2515" t="s">
        <v>1773</v>
      </c>
      <c r="L22" s="787" t="s">
        <v>1751</v>
      </c>
      <c r="M22" s="820">
        <f ca="1">INDIRECT("'数据-取费表'!Ak"&amp;$G$1)</f>
        <v>0.02</v>
      </c>
    </row>
    <row r="23" spans="1:33" s="2067" customFormat="1" ht="18" customHeight="1">
      <c r="A23" s="1650" t="s">
        <v>1836</v>
      </c>
      <c r="B23" s="787" t="s">
        <v>2547</v>
      </c>
      <c r="C23" s="53">
        <f ca="1">ROUND(IF('数据-取费表'!B22&lt;=1,(C19+C20)*F24*F23/2,(C19+C20)*(POWER((1+F24),F23/2)-1)),0)</f>
        <v>312</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2515" t="s">
        <v>1775</v>
      </c>
      <c r="L23" s="787" t="s">
        <v>1751</v>
      </c>
      <c r="M23" s="821">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1777</v>
      </c>
      <c r="F24" s="822">
        <f ca="1">'数据-取费表'!B40</f>
        <v>4.7500000000000001E-2</v>
      </c>
      <c r="G24" s="1595"/>
      <c r="H24" s="2582" t="s">
        <v>1896</v>
      </c>
      <c r="I24" s="2577" t="s">
        <v>667</v>
      </c>
      <c r="J24" s="2575">
        <f ca="1">ROUND(J5*M24,0)</f>
        <v>0</v>
      </c>
      <c r="K24" s="2576" t="s">
        <v>1778</v>
      </c>
      <c r="L24" s="2577" t="s">
        <v>1751</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1779</v>
      </c>
      <c r="E25" s="1984"/>
      <c r="F25" s="56"/>
      <c r="G25" s="1594"/>
      <c r="H25" s="1832" t="s">
        <v>1780</v>
      </c>
      <c r="I25" s="3045" t="s">
        <v>2837</v>
      </c>
      <c r="J25" s="795">
        <f ca="1">J5-J16</f>
        <v>-152</v>
      </c>
      <c r="K25" s="2579" t="s">
        <v>1781</v>
      </c>
      <c r="L25" s="2580"/>
      <c r="M25" s="2581"/>
    </row>
    <row r="26" spans="1:33" ht="18" customHeight="1">
      <c r="A26" s="1650" t="s">
        <v>1836</v>
      </c>
      <c r="B26" s="787" t="s">
        <v>2448</v>
      </c>
      <c r="C26" s="53">
        <f ca="1">ROUND((C19+C20)*F26,0)</f>
        <v>217</v>
      </c>
      <c r="D26" s="815" t="s">
        <v>1782</v>
      </c>
      <c r="E26" s="798" t="s">
        <v>1783</v>
      </c>
      <c r="F26" s="797">
        <f ca="1">INDIRECT("'数据-取费表'!q"&amp;$G$1)</f>
        <v>0.05</v>
      </c>
      <c r="G26" s="1594"/>
      <c r="H26" s="2533" t="s">
        <v>1784</v>
      </c>
      <c r="I26" s="2238" t="s">
        <v>2842</v>
      </c>
      <c r="J26" s="786">
        <f ca="1">IF(J5&lt;&gt;0,ROUND(J25*(1-((1+M28)/(1+M26))^M27)/(M26-M28),0),0)</f>
        <v>0</v>
      </c>
      <c r="K26" s="817" t="s">
        <v>1785</v>
      </c>
      <c r="L26" s="787" t="s">
        <v>2429</v>
      </c>
      <c r="M26" s="797">
        <f ca="1">INDIRECT("'数据-取费表'!I"&amp;$G$1)</f>
        <v>4.4999999999999998E-2</v>
      </c>
    </row>
    <row r="27" spans="1:33" ht="18" customHeight="1">
      <c r="A27" s="1650" t="s">
        <v>1837</v>
      </c>
      <c r="B27" s="787" t="s">
        <v>687</v>
      </c>
      <c r="C27" s="53">
        <f ca="1">ROUND(F21*F26,4)</f>
        <v>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1789</v>
      </c>
      <c r="F28" s="812">
        <f>'数据-取费表'!B41</f>
        <v>5.5000000000000007E-2</v>
      </c>
      <c r="G28" s="1595"/>
      <c r="H28" s="1832"/>
      <c r="I28" s="794"/>
      <c r="J28" s="795"/>
      <c r="K28" s="819"/>
      <c r="L28" s="787" t="s">
        <v>1790</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5253</v>
      </c>
      <c r="D29" s="2576"/>
      <c r="E29" s="2577"/>
      <c r="F29" s="2578"/>
      <c r="G29" s="1595"/>
      <c r="H29" s="826" t="s">
        <v>1791</v>
      </c>
      <c r="I29" s="827" t="s">
        <v>1792</v>
      </c>
      <c r="J29" s="828">
        <f ca="1">ROUND(J26/(1+F40)^F41,0)</f>
        <v>0</v>
      </c>
      <c r="K29" s="829" t="s">
        <v>1793</v>
      </c>
      <c r="L29" s="830"/>
      <c r="M29" s="831">
        <f ca="1">INDIRECT("'数据-取费表'!k"&amp;$G$1)</f>
        <v>14833.519999999997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5">
        <f ca="1">ROUND(C31+C36+C37+C38,0)</f>
        <v>185</v>
      </c>
      <c r="D30" s="1824" t="s">
        <v>1795</v>
      </c>
      <c r="E30" s="2517"/>
      <c r="F30" s="2522"/>
      <c r="G30" s="2065"/>
      <c r="H30" s="2068"/>
      <c r="I30" s="2069"/>
      <c r="J30" s="2070"/>
      <c r="K30" s="2071"/>
      <c r="L30" s="2072"/>
      <c r="M30" s="2073"/>
    </row>
    <row r="31" spans="1:33" ht="18" customHeight="1">
      <c r="A31" s="1651" t="s">
        <v>1835</v>
      </c>
      <c r="B31" s="787" t="s">
        <v>657</v>
      </c>
      <c r="C31" s="53">
        <f ca="1">ROUND(IF(项目基本情况!B11="自然人",C5*F31,C32+C33+C34),1)</f>
        <v>67.599999999999994</v>
      </c>
      <c r="D31" s="1981" t="s">
        <v>1796</v>
      </c>
      <c r="E31" s="1979"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1798</v>
      </c>
      <c r="C32" s="53">
        <f ca="1">ROUND(C5*F32/1.05,1)</f>
        <v>20.399999999999999</v>
      </c>
      <c r="D32" s="1979" t="s">
        <v>1799</v>
      </c>
      <c r="E32" s="787" t="s">
        <v>1800</v>
      </c>
      <c r="F32" s="812">
        <f>'数据-取费表'!B41</f>
        <v>5.5000000000000007E-2</v>
      </c>
      <c r="G32" s="2065"/>
      <c r="H32" s="2074"/>
      <c r="I32" s="2075"/>
      <c r="J32" s="2076"/>
      <c r="K32" s="2077"/>
      <c r="L32" s="2078"/>
      <c r="M32" s="2079"/>
    </row>
    <row r="33" spans="1:18" ht="18" customHeight="1">
      <c r="A33" s="1650" t="s">
        <v>1837</v>
      </c>
      <c r="B33" s="787" t="s">
        <v>1801</v>
      </c>
      <c r="C33" s="53">
        <f ca="1">IF(D33="按租金收入计税",ROUND(C5*F33,1),IF(D33="按房产原值计税",ROUND(C29*F33*0.7,1),INDIRECT("'数据-取费表'!Aj"&amp;$G$1)))</f>
        <v>44.1</v>
      </c>
      <c r="D33" s="814" t="s">
        <v>1684</v>
      </c>
      <c r="E33" s="787" t="s">
        <v>1800</v>
      </c>
      <c r="F33" s="812">
        <f>IF(D33="按租金收入计税",'数据-取费表'!B51,'数据-取费表'!B50)</f>
        <v>1.2E-2</v>
      </c>
      <c r="G33" s="2065"/>
      <c r="H33" s="2080"/>
      <c r="I33" s="2080"/>
      <c r="J33" s="2080"/>
      <c r="K33" s="2081"/>
      <c r="L33" s="2080"/>
      <c r="M33" s="2080"/>
    </row>
    <row r="34" spans="1:18" ht="18" customHeight="1">
      <c r="A34" s="1653" t="s">
        <v>1838</v>
      </c>
      <c r="B34" s="344" t="s">
        <v>1802</v>
      </c>
      <c r="C34" s="54">
        <f ca="1">ROUND(F34*F35/10000,1)</f>
        <v>3.1</v>
      </c>
      <c r="D34" s="817" t="s">
        <v>1803</v>
      </c>
      <c r="E34" s="787" t="s">
        <v>1804</v>
      </c>
      <c r="F34" s="643">
        <f>'数据-取费表'!B52</f>
        <v>6</v>
      </c>
      <c r="G34" s="2065"/>
      <c r="H34" s="2068"/>
      <c r="I34" s="838" t="s">
        <v>1818</v>
      </c>
      <c r="J34" s="839"/>
      <c r="K34" s="2083"/>
      <c r="L34" s="2082"/>
      <c r="M34" s="2082"/>
    </row>
    <row r="35" spans="1:18" ht="18" customHeight="1">
      <c r="A35" s="818"/>
      <c r="B35" s="796"/>
      <c r="C35" s="69"/>
      <c r="D35" s="819"/>
      <c r="E35" s="787" t="s">
        <v>1805</v>
      </c>
      <c r="F35" s="788">
        <f ca="1">INDIRECT("'数据-取费表'!r"&amp;$G$1)</f>
        <v>5247.89</v>
      </c>
      <c r="G35" s="2065"/>
      <c r="H35" s="2068"/>
      <c r="I35" s="840" t="s">
        <v>1819</v>
      </c>
      <c r="J35" s="841">
        <f ca="1">ROUND(C13*J36,0)</f>
        <v>447</v>
      </c>
      <c r="K35" s="2081"/>
      <c r="L35" s="2080"/>
      <c r="M35" s="2080"/>
    </row>
    <row r="36" spans="1:18" ht="18" customHeight="1">
      <c r="A36" s="1651" t="s">
        <v>1894</v>
      </c>
      <c r="B36" s="787" t="s">
        <v>1806</v>
      </c>
      <c r="C36" s="53">
        <f ca="1">ROUND(C29*F36,1)</f>
        <v>105.1</v>
      </c>
      <c r="D36" s="1979" t="s">
        <v>1807</v>
      </c>
      <c r="E36" s="787" t="s">
        <v>1800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7.9</v>
      </c>
      <c r="D37" s="1979" t="s">
        <v>1808</v>
      </c>
      <c r="E37" s="787" t="s">
        <v>1800</v>
      </c>
      <c r="F37" s="821">
        <f ca="1">INDIRECT("'数据-取费表'!Al"&amp;$G$1)</f>
        <v>1.5E-3</v>
      </c>
      <c r="G37" s="2065"/>
      <c r="H37" s="2080"/>
      <c r="I37" s="844" t="s">
        <v>1821</v>
      </c>
      <c r="J37" s="845"/>
      <c r="K37" s="2085"/>
      <c r="L37" s="2080"/>
      <c r="M37" s="2080"/>
    </row>
    <row r="38" spans="1:18" ht="18" customHeight="1" thickBot="1">
      <c r="A38" s="2582" t="s">
        <v>1896</v>
      </c>
      <c r="B38" s="2577" t="s">
        <v>667</v>
      </c>
      <c r="C38" s="2575">
        <f ca="1">ROUND(C5*F38,1)</f>
        <v>3.9</v>
      </c>
      <c r="D38" s="2576" t="s">
        <v>1809</v>
      </c>
      <c r="E38" s="2577" t="s">
        <v>1800</v>
      </c>
      <c r="F38" s="2573">
        <f ca="1">INDIRECT("'数据-取费表'!Am"&amp;$G$1)</f>
        <v>0.01</v>
      </c>
      <c r="G38" s="2065"/>
      <c r="H38" s="2080"/>
      <c r="I38" s="846" t="s">
        <v>1822</v>
      </c>
      <c r="J38" s="847"/>
      <c r="K38" s="2086"/>
      <c r="L38" s="2080"/>
      <c r="M38" s="2080"/>
    </row>
    <row r="39" spans="1:18" ht="24.6" customHeight="1" thickTop="1">
      <c r="A39" s="1832" t="s">
        <v>1899</v>
      </c>
      <c r="B39" s="3045" t="s">
        <v>2837</v>
      </c>
      <c r="C39" s="795">
        <f ca="1">C5-C30</f>
        <v>205</v>
      </c>
      <c r="D39" s="2579" t="s">
        <v>1810</v>
      </c>
      <c r="E39" s="2580"/>
      <c r="F39" s="2581"/>
      <c r="G39" s="2065"/>
      <c r="H39" s="2080"/>
      <c r="I39" s="840" t="s">
        <v>1823</v>
      </c>
      <c r="J39" s="848">
        <f ca="1">ROUND(J35/C39,3)</f>
        <v>2.1800000000000002</v>
      </c>
      <c r="K39" s="2086"/>
      <c r="L39" s="2080"/>
      <c r="M39" s="2080"/>
    </row>
    <row r="40" spans="1:18" ht="18" customHeight="1">
      <c r="A40" s="784" t="s">
        <v>1900</v>
      </c>
      <c r="B40" s="2238" t="s">
        <v>2311</v>
      </c>
      <c r="C40" s="786">
        <f ca="1">ROUND(C39*(1-((1+F42)/(1+F40))^F41)/(F40-F42),0)</f>
        <v>5071</v>
      </c>
      <c r="D40" s="817" t="s">
        <v>1811</v>
      </c>
      <c r="E40" s="787" t="s">
        <v>2429</v>
      </c>
      <c r="F40" s="797">
        <f ca="1">INDIRECT("'数据-取费表'!I"&amp;$G$1)</f>
        <v>4.4999999999999998E-2</v>
      </c>
      <c r="G40" s="2065"/>
      <c r="H40" s="2065"/>
      <c r="I40" s="840" t="s">
        <v>1824</v>
      </c>
      <c r="J40" s="848">
        <f ca="1">1-J39</f>
        <v>-1.1800000000000002</v>
      </c>
      <c r="K40" s="2086"/>
      <c r="L40" s="2065"/>
      <c r="M40" s="2065"/>
    </row>
    <row r="41" spans="1:18" ht="18" customHeight="1">
      <c r="A41" s="789"/>
      <c r="B41" s="790"/>
      <c r="C41" s="791"/>
      <c r="D41" s="824" t="s">
        <v>1812</v>
      </c>
      <c r="E41" s="787" t="s">
        <v>1813</v>
      </c>
      <c r="F41" s="825">
        <f ca="1">IF(INDIRECT("'数据-取费表'!af"&amp;$G$1)=0,INDIRECT("'数据-取费表'!ae"&amp;$G$1),INDIRECT("'数据-取费表'!af"&amp;$G$1))</f>
        <v>46.53</v>
      </c>
      <c r="G41" s="2065"/>
      <c r="H41" s="1990"/>
      <c r="I41" s="846" t="s">
        <v>1825</v>
      </c>
      <c r="J41" s="849"/>
      <c r="K41" s="2085"/>
      <c r="L41" s="1990"/>
      <c r="M41" s="1990"/>
    </row>
    <row r="42" spans="1:18" ht="18" customHeight="1">
      <c r="A42" s="793"/>
      <c r="B42" s="794"/>
      <c r="C42" s="795"/>
      <c r="D42" s="819"/>
      <c r="E42" s="787" t="s">
        <v>1814</v>
      </c>
      <c r="F42" s="797">
        <f ca="1">INDIRECT("'数据-取费表'!v"&amp;$G$1)</f>
        <v>1.4999999999999999E-2</v>
      </c>
      <c r="G42" s="2065"/>
      <c r="H42" s="1990"/>
      <c r="I42" s="850" t="s">
        <v>1826</v>
      </c>
      <c r="J42" s="848">
        <f ca="1">ROUND(C13/C40,3)</f>
        <v>1.036</v>
      </c>
      <c r="K42" s="2085"/>
      <c r="L42" s="1990"/>
      <c r="M42" s="1990"/>
    </row>
    <row r="43" spans="1:18" ht="18" customHeight="1" thickBot="1">
      <c r="A43" s="826" t="s">
        <v>1791</v>
      </c>
      <c r="B43" s="827" t="s">
        <v>1815</v>
      </c>
      <c r="C43" s="828">
        <f ca="1">ROUND(C40*10000/F43,0)</f>
        <v>3419</v>
      </c>
      <c r="D43" s="829" t="s">
        <v>1816</v>
      </c>
      <c r="E43" s="830" t="s">
        <v>1817</v>
      </c>
      <c r="F43" s="831">
        <f ca="1">INDIRECT("'数据-取费表'!k"&amp;$G$1)</f>
        <v>14833.519999999997</v>
      </c>
      <c r="G43" s="2065"/>
      <c r="H43" s="1990"/>
      <c r="I43" s="850" t="s">
        <v>1827</v>
      </c>
      <c r="J43" s="851">
        <f ca="1">1-J42</f>
        <v>-3.6000000000000032E-2</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-8168</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3047</v>
      </c>
      <c r="K47" s="2394" t="s">
        <v>2359</v>
      </c>
      <c r="L47" s="2395">
        <f ca="1">INDIRECT("'数据-取费表'!d"&amp;$G$1)</f>
        <v>50</v>
      </c>
      <c r="M47" s="1606"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2306</v>
      </c>
      <c r="F48" s="2383"/>
      <c r="G48" s="2093"/>
      <c r="I48" s="2389" t="s">
        <v>2354</v>
      </c>
      <c r="J48" s="2396" t="s">
        <v>2360</v>
      </c>
      <c r="K48" s="2397" t="s">
        <v>2361</v>
      </c>
      <c r="L48" s="2398">
        <f ca="1">INDIRECT("'数据-取费表'!f"&amp;$G$1)</f>
        <v>46.53</v>
      </c>
      <c r="O48" s="2429" t="s">
        <v>2389</v>
      </c>
      <c r="P48" s="2430" t="s">
        <v>2415</v>
      </c>
      <c r="Q48" s="2431">
        <f ca="1">C40+J29</f>
        <v>5071</v>
      </c>
      <c r="R48" s="2430" t="s">
        <v>2390</v>
      </c>
    </row>
    <row r="49" spans="1:18" s="2062" customFormat="1" ht="18" customHeight="1" thickBot="1">
      <c r="A49" s="789"/>
      <c r="B49" s="790"/>
      <c r="C49" s="791"/>
      <c r="D49" s="792"/>
      <c r="E49" s="787" t="s">
        <v>1743</v>
      </c>
      <c r="F49" s="788">
        <f ca="1">F7</f>
        <v>14833.519999999997</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1744</v>
      </c>
      <c r="F50" s="788">
        <f ca="1">F8</f>
        <v>365</v>
      </c>
      <c r="G50" s="2101"/>
      <c r="H50" s="2096"/>
      <c r="I50" s="2389" t="s">
        <v>2356</v>
      </c>
      <c r="J50" s="2402">
        <f>SUMPRODUCT((I63:I65=J47)*(J62:L62=J48)*(J63:L65))</f>
        <v>60</v>
      </c>
      <c r="K50" s="2400" t="s">
        <v>2363</v>
      </c>
      <c r="L50" s="2401"/>
      <c r="O50" s="2432" t="s">
        <v>2393</v>
      </c>
      <c r="P50" s="2430" t="s">
        <v>2417</v>
      </c>
      <c r="Q50" s="2431">
        <f ca="1">C29</f>
        <v>5253</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-49233564</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46.53</v>
      </c>
      <c r="K53" s="35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4"/>
      <c r="O53" s="2432" t="s">
        <v>2398</v>
      </c>
      <c r="P53" s="2430" t="s">
        <v>2399</v>
      </c>
      <c r="Q53" s="2431">
        <f ca="1">J53</f>
        <v>46.53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5071</v>
      </c>
      <c r="R54" s="2434" t="s">
        <v>2402</v>
      </c>
    </row>
    <row r="55" spans="1:18" s="2062" customFormat="1" ht="18" customHeight="1" thickTop="1" thickBot="1">
      <c r="A55" s="800">
        <v>2</v>
      </c>
      <c r="B55" s="801" t="s">
        <v>645</v>
      </c>
      <c r="C55" s="802">
        <f ca="1">C13</f>
        <v>5253</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2312</v>
      </c>
      <c r="C56" s="53">
        <f ca="1">C29</f>
        <v>5253</v>
      </c>
      <c r="D56" s="2671"/>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160</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5071</v>
      </c>
      <c r="R57" s="2430" t="s">
        <v>2390</v>
      </c>
    </row>
    <row r="58" spans="1:18" s="2062" customFormat="1" ht="28.5" customHeight="1" thickBot="1">
      <c r="A58" s="1651" t="s">
        <v>1829</v>
      </c>
      <c r="B58" s="787" t="s">
        <v>657</v>
      </c>
      <c r="C58" s="53">
        <f ca="1">ROUND(IF(项目基本情况!B11="自然人",C47*F58,C59+C60+C61),1)</f>
        <v>47.2</v>
      </c>
      <c r="D58" s="2670" t="s">
        <v>658</v>
      </c>
      <c r="E58" s="2671"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2671" t="s">
        <v>1760</v>
      </c>
      <c r="E59" s="787" t="s">
        <v>1751</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44.1</v>
      </c>
      <c r="D60" s="2671" t="str">
        <f>D33</f>
        <v>按房产原值计税</v>
      </c>
      <c r="E60" s="787" t="s">
        <v>1751</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3.1</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5247.89</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105.1</v>
      </c>
      <c r="D63" s="2671" t="s">
        <v>1807</v>
      </c>
      <c r="E63" s="787" t="s">
        <v>1751</v>
      </c>
      <c r="F63" s="820">
        <f t="shared" ca="1" si="0"/>
        <v>0.02</v>
      </c>
      <c r="I63" s="2415" t="s">
        <v>2380</v>
      </c>
      <c r="J63" s="2416">
        <v>70</v>
      </c>
      <c r="K63" s="2416">
        <v>50</v>
      </c>
      <c r="L63" s="2416">
        <v>80</v>
      </c>
      <c r="M63" s="3136">
        <v>0.02</v>
      </c>
      <c r="O63" s="2429" t="s">
        <v>2401</v>
      </c>
      <c r="P63" s="2430" t="s">
        <v>2418</v>
      </c>
      <c r="Q63" s="2431">
        <f ca="1">Q57+Q58</f>
        <v>5071</v>
      </c>
      <c r="R63" s="2434" t="s">
        <v>2402</v>
      </c>
    </row>
    <row r="64" spans="1:18" s="2062" customFormat="1" ht="16.5" thickBot="1">
      <c r="A64" s="1651" t="s">
        <v>1895</v>
      </c>
      <c r="B64" s="787" t="s">
        <v>680</v>
      </c>
      <c r="C64" s="53">
        <f ca="1">ROUND(C55*F64,1)</f>
        <v>7.9</v>
      </c>
      <c r="D64" s="2671" t="s">
        <v>681</v>
      </c>
      <c r="E64" s="787" t="s">
        <v>1751</v>
      </c>
      <c r="F64" s="821">
        <f t="shared" ca="1" si="0"/>
        <v>1.5E-3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2671" t="s">
        <v>684</v>
      </c>
      <c r="E65" s="787" t="s">
        <v>1751</v>
      </c>
      <c r="F65" s="797">
        <f t="shared" ca="1" si="0"/>
        <v>0.01</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-160</v>
      </c>
      <c r="D66" s="2670" t="s">
        <v>702</v>
      </c>
      <c r="E66" s="2669"/>
      <c r="F66" s="823"/>
      <c r="K66" s="2089"/>
      <c r="O66" s="2429" t="s">
        <v>2389</v>
      </c>
      <c r="P66" s="2430" t="s">
        <v>2419</v>
      </c>
      <c r="Q66" s="2431">
        <f ca="1">C40+J29</f>
        <v>5071</v>
      </c>
      <c r="R66" s="2430" t="s">
        <v>2390</v>
      </c>
    </row>
    <row r="67" spans="1:18" s="2062" customFormat="1" ht="20.25" thickBot="1">
      <c r="A67" s="784" t="s">
        <v>1784</v>
      </c>
      <c r="B67" s="2238" t="s">
        <v>2311</v>
      </c>
      <c r="C67" s="786">
        <f ca="1">ROUND(C66*(1-((1+F69)/(1+F67))^F68)/(F67-F69),0)</f>
        <v>-3097</v>
      </c>
      <c r="D67" s="817" t="s">
        <v>706</v>
      </c>
      <c r="E67" s="787" t="s">
        <v>707</v>
      </c>
      <c r="F67" s="797">
        <f ca="1">F40</f>
        <v>4.4999999999999998E-2</v>
      </c>
      <c r="K67" s="2089"/>
      <c r="O67" s="2429" t="s">
        <v>2391</v>
      </c>
      <c r="P67" s="2430" t="s">
        <v>2422</v>
      </c>
      <c r="Q67" s="2431">
        <f ca="1">L60</f>
        <v>0</v>
      </c>
      <c r="R67" s="2434" t="s">
        <v>2424</v>
      </c>
    </row>
    <row r="68" spans="1:18" ht="21.75" thickBot="1">
      <c r="A68" s="789"/>
      <c r="B68" s="790"/>
      <c r="C68" s="791"/>
      <c r="D68" s="824" t="s">
        <v>1812</v>
      </c>
      <c r="E68" s="787" t="s">
        <v>1788</v>
      </c>
      <c r="F68" s="825">
        <f ca="1">F41</f>
        <v>46.53</v>
      </c>
      <c r="O68" s="2432" t="s">
        <v>2393</v>
      </c>
      <c r="P68" s="2430" t="s">
        <v>2423</v>
      </c>
      <c r="Q68" s="2436">
        <f ca="1">L51</f>
        <v>-49233564</v>
      </c>
      <c r="R68" s="2437" t="s">
        <v>2426</v>
      </c>
    </row>
    <row r="69" spans="1:18" ht="20.25" thickBot="1">
      <c r="A69" s="793"/>
      <c r="B69" s="794"/>
      <c r="C69" s="795"/>
      <c r="D69" s="819"/>
      <c r="E69" s="787" t="s">
        <v>712</v>
      </c>
      <c r="F69" s="2377"/>
      <c r="O69" s="2432" t="s">
        <v>2394</v>
      </c>
      <c r="P69" s="2438" t="s">
        <v>2408</v>
      </c>
      <c r="Q69" s="2431">
        <f ca="1">ROUND(Q70-Q71*Q72,0)</f>
        <v>-242</v>
      </c>
      <c r="R69" s="2434"/>
    </row>
    <row r="70" spans="1:18" ht="15.75" thickBot="1">
      <c r="A70" s="826" t="s">
        <v>1791</v>
      </c>
      <c r="B70" s="827" t="s">
        <v>1815</v>
      </c>
      <c r="C70" s="828">
        <f ca="1">ROUND(C67*10000/F70,0)</f>
        <v>-2088</v>
      </c>
      <c r="D70" s="829" t="s">
        <v>1816</v>
      </c>
      <c r="E70" s="830" t="s">
        <v>1817</v>
      </c>
      <c r="F70" s="831">
        <f ca="1">F43</f>
        <v>14833.519999999997</v>
      </c>
      <c r="O70" s="2432" t="s">
        <v>2409</v>
      </c>
      <c r="P70" s="2438" t="s">
        <v>2410</v>
      </c>
      <c r="Q70" s="2431">
        <f ca="1">C39</f>
        <v>205</v>
      </c>
      <c r="R70" s="2430" t="s">
        <v>2390</v>
      </c>
    </row>
    <row r="71" spans="1:18" ht="15.75" thickBot="1">
      <c r="O71" s="2432" t="s">
        <v>2411</v>
      </c>
      <c r="P71" s="2438" t="s">
        <v>2412</v>
      </c>
      <c r="Q71" s="2431">
        <f ca="1">C13</f>
        <v>5253</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5071</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2949</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18.75">
      <c r="A21" s="1794" t="s">
        <v>2084</v>
      </c>
    </row>
    <row r="22" spans="1:1" ht="13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23" spans="1:1" ht="56.25">
      <c r="A23" s="1794" t="str">
        <f>IF(项目基本情况!B16="出让","本次评估设定估价对象剩余土地使用年限为"&amp;项目基本情况!D20&amp;"。","")</f>
        <v>本次评估设定估价对象剩余土地使用年限为特158号地块住宅66.5年、商业36.5年、地下车库46.5年；特108号地块住宅66.8年、商业36.7年、地下车库46.8年。</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1" t="s">
        <v>2483</v>
      </c>
      <c r="B1" s="3522"/>
      <c r="C1" s="3523"/>
      <c r="D1" s="3524">
        <f>SUM(I10,I15,I20,I21,I23)</f>
        <v>0</v>
      </c>
      <c r="E1" s="3524"/>
      <c r="F1" s="3524"/>
      <c r="G1" s="3524"/>
      <c r="H1" s="3524"/>
      <c r="I1" s="3525"/>
    </row>
    <row r="2" spans="1:9">
      <c r="A2" s="3511" t="s">
        <v>2484</v>
      </c>
      <c r="B2" s="3512" t="s">
        <v>2485</v>
      </c>
      <c r="C2" s="3512"/>
      <c r="D2" s="2538" t="s">
        <v>2486</v>
      </c>
      <c r="E2" s="2538" t="s">
        <v>2487</v>
      </c>
      <c r="F2" s="2538" t="s">
        <v>2488</v>
      </c>
      <c r="G2" s="2538" t="s">
        <v>2489</v>
      </c>
      <c r="H2" s="2538" t="s">
        <v>2490</v>
      </c>
      <c r="I2" s="2539" t="s">
        <v>2491</v>
      </c>
    </row>
    <row r="3" spans="1:9">
      <c r="A3" s="3511"/>
      <c r="B3" s="3512" t="s">
        <v>2492</v>
      </c>
      <c r="C3" s="3512"/>
      <c r="D3" s="2540"/>
      <c r="E3" s="2538"/>
      <c r="F3" s="2541"/>
      <c r="G3" s="2541"/>
      <c r="H3" s="2542"/>
      <c r="I3" s="2543">
        <f>ROUND(D3*E3*F3*G3*H3/10000,0)</f>
        <v>0</v>
      </c>
    </row>
    <row r="4" spans="1:9">
      <c r="A4" s="3511"/>
      <c r="B4" s="3512" t="s">
        <v>2493</v>
      </c>
      <c r="C4" s="3512"/>
      <c r="D4" s="2540"/>
      <c r="E4" s="2538"/>
      <c r="F4" s="2541"/>
      <c r="G4" s="2541"/>
      <c r="H4" s="2542"/>
      <c r="I4" s="2543">
        <f t="shared" ref="I4:I9" si="0">ROUND(D4*E4*F4*G4*H4/10000,0)</f>
        <v>0</v>
      </c>
    </row>
    <row r="5" spans="1:9">
      <c r="A5" s="3511"/>
      <c r="B5" s="3512" t="s">
        <v>2494</v>
      </c>
      <c r="C5" s="3512"/>
      <c r="D5" s="2540"/>
      <c r="E5" s="2538"/>
      <c r="F5" s="2541"/>
      <c r="G5" s="2541"/>
      <c r="H5" s="2542"/>
      <c r="I5" s="2543">
        <f t="shared" si="0"/>
        <v>0</v>
      </c>
    </row>
    <row r="6" spans="1:9">
      <c r="A6" s="3511"/>
      <c r="B6" s="3512" t="s">
        <v>2495</v>
      </c>
      <c r="C6" s="3512"/>
      <c r="D6" s="2540"/>
      <c r="E6" s="2538"/>
      <c r="F6" s="2541"/>
      <c r="G6" s="2541"/>
      <c r="H6" s="2542"/>
      <c r="I6" s="2543">
        <f t="shared" si="0"/>
        <v>0</v>
      </c>
    </row>
    <row r="7" spans="1:9">
      <c r="A7" s="3511"/>
      <c r="B7" s="3512" t="s">
        <v>2496</v>
      </c>
      <c r="C7" s="3512"/>
      <c r="D7" s="2540"/>
      <c r="E7" s="2538"/>
      <c r="F7" s="2541"/>
      <c r="G7" s="2541"/>
      <c r="H7" s="2542"/>
      <c r="I7" s="2543">
        <f t="shared" si="0"/>
        <v>0</v>
      </c>
    </row>
    <row r="8" spans="1:9">
      <c r="A8" s="3511"/>
      <c r="B8" s="3512" t="s">
        <v>2497</v>
      </c>
      <c r="C8" s="3512"/>
      <c r="D8" s="2540"/>
      <c r="E8" s="2538"/>
      <c r="F8" s="2541"/>
      <c r="G8" s="2541"/>
      <c r="H8" s="2542"/>
      <c r="I8" s="2543">
        <f t="shared" si="0"/>
        <v>0</v>
      </c>
    </row>
    <row r="9" spans="1:9">
      <c r="A9" s="3511"/>
      <c r="B9" s="3512" t="s">
        <v>2498</v>
      </c>
      <c r="C9" s="3512"/>
      <c r="D9" s="2540"/>
      <c r="E9" s="2538"/>
      <c r="F9" s="2541"/>
      <c r="G9" s="2541"/>
      <c r="H9" s="2542"/>
      <c r="I9" s="2543">
        <f t="shared" si="0"/>
        <v>0</v>
      </c>
    </row>
    <row r="10" spans="1:9">
      <c r="A10" s="3511"/>
      <c r="B10" s="3513" t="s">
        <v>2499</v>
      </c>
      <c r="C10" s="3513"/>
      <c r="D10" s="2544">
        <v>527</v>
      </c>
      <c r="E10" s="2544" t="e">
        <f>ROUND(D1*10000/D10/H9,0)</f>
        <v>#DIV/0!</v>
      </c>
      <c r="F10" s="2545"/>
      <c r="G10" s="2545"/>
      <c r="H10" s="2546"/>
      <c r="I10" s="2547">
        <f>SUM(I3:I9)</f>
        <v>0</v>
      </c>
    </row>
    <row r="11" spans="1:9" ht="14.25">
      <c r="A11" s="3511" t="s">
        <v>2500</v>
      </c>
      <c r="B11" s="3512" t="s">
        <v>2501</v>
      </c>
      <c r="C11" s="3512"/>
      <c r="D11" s="2540" t="s">
        <v>2502</v>
      </c>
      <c r="E11" s="2540" t="s">
        <v>2503</v>
      </c>
      <c r="F11" s="2541" t="s">
        <v>2504</v>
      </c>
      <c r="G11" s="2541" t="s">
        <v>2505</v>
      </c>
      <c r="H11" s="2548" t="s">
        <v>2506</v>
      </c>
      <c r="I11" s="2539" t="s">
        <v>2507</v>
      </c>
    </row>
    <row r="12" spans="1:9">
      <c r="A12" s="3511"/>
      <c r="B12" s="3512" t="s">
        <v>2508</v>
      </c>
      <c r="C12" s="3512"/>
      <c r="D12" s="2540"/>
      <c r="E12" s="2540"/>
      <c r="F12" s="2541"/>
      <c r="G12" s="2542"/>
      <c r="H12" s="2549"/>
      <c r="I12" s="2539">
        <f>ROUND(D12*E12*F12*G12/10000,0)</f>
        <v>0</v>
      </c>
    </row>
    <row r="13" spans="1:9">
      <c r="A13" s="3511"/>
      <c r="B13" s="3512" t="s">
        <v>2509</v>
      </c>
      <c r="C13" s="3512"/>
      <c r="D13" s="2540"/>
      <c r="E13" s="2540"/>
      <c r="F13" s="2541"/>
      <c r="G13" s="2542"/>
      <c r="H13" s="2549"/>
      <c r="I13" s="2539">
        <f>ROUND(D13*E13*F13*G13/10000,0)</f>
        <v>0</v>
      </c>
    </row>
    <row r="14" spans="1:9">
      <c r="A14" s="3511"/>
      <c r="B14" s="3512" t="s">
        <v>2510</v>
      </c>
      <c r="C14" s="3512"/>
      <c r="D14" s="2540"/>
      <c r="E14" s="2540"/>
      <c r="F14" s="2541"/>
      <c r="G14" s="2542"/>
      <c r="H14" s="2549"/>
      <c r="I14" s="2539">
        <f>ROUND(D14*E14*F14*G14/10000,0)</f>
        <v>0</v>
      </c>
    </row>
    <row r="15" spans="1:9">
      <c r="A15" s="3511"/>
      <c r="B15" s="3513" t="s">
        <v>2499</v>
      </c>
      <c r="C15" s="3513"/>
      <c r="D15" s="2544"/>
      <c r="E15" s="2544">
        <f>SUM(E12:E14)</f>
        <v>0</v>
      </c>
      <c r="F15" s="2545"/>
      <c r="G15" s="2542"/>
      <c r="H15" s="2549"/>
      <c r="I15" s="2550">
        <f>SUM(I12:I14)</f>
        <v>0</v>
      </c>
    </row>
    <row r="16" spans="1:9" ht="24">
      <c r="A16" s="3511" t="s">
        <v>2511</v>
      </c>
      <c r="B16" s="3512" t="s">
        <v>2512</v>
      </c>
      <c r="C16" s="3512"/>
      <c r="D16" s="2540" t="s">
        <v>2513</v>
      </c>
      <c r="E16" s="2551" t="s">
        <v>2514</v>
      </c>
      <c r="F16" s="2541" t="s">
        <v>2515</v>
      </c>
      <c r="G16" s="2542" t="s">
        <v>2505</v>
      </c>
      <c r="H16" s="2548" t="s">
        <v>2506</v>
      </c>
      <c r="I16" s="2539" t="s">
        <v>2507</v>
      </c>
    </row>
    <row r="17" spans="1:9" ht="14.25">
      <c r="A17" s="3511"/>
      <c r="B17" s="3512" t="s">
        <v>2516</v>
      </c>
      <c r="C17" s="3512"/>
      <c r="D17" s="2540"/>
      <c r="E17" s="2540"/>
      <c r="F17" s="2541"/>
      <c r="G17" s="2542"/>
      <c r="H17" s="2552"/>
      <c r="I17" s="2553">
        <f>ROUND(D17*E17*F17*G17/10000,0)</f>
        <v>0</v>
      </c>
    </row>
    <row r="18" spans="1:9" ht="14.25">
      <c r="A18" s="3511"/>
      <c r="B18" s="3512" t="s">
        <v>2517</v>
      </c>
      <c r="C18" s="3512"/>
      <c r="D18" s="2540"/>
      <c r="E18" s="2540"/>
      <c r="F18" s="2541"/>
      <c r="G18" s="2542"/>
      <c r="H18" s="2552"/>
      <c r="I18" s="2553">
        <f>ROUND(D18*E18*F18*G18/10000,0)</f>
        <v>0</v>
      </c>
    </row>
    <row r="19" spans="1:9" ht="14.25">
      <c r="A19" s="3511"/>
      <c r="B19" s="3512" t="s">
        <v>2518</v>
      </c>
      <c r="C19" s="3512"/>
      <c r="D19" s="2540"/>
      <c r="E19" s="2540"/>
      <c r="F19" s="2541"/>
      <c r="G19" s="2542"/>
      <c r="H19" s="2552"/>
      <c r="I19" s="2553">
        <f>ROUND(D19*E19*F19*G19/10000,0)</f>
        <v>0</v>
      </c>
    </row>
    <row r="20" spans="1:9">
      <c r="A20" s="3511"/>
      <c r="B20" s="3513" t="s">
        <v>2499</v>
      </c>
      <c r="C20" s="3513"/>
      <c r="D20" s="2544">
        <f>SUM(D17:D19)</f>
        <v>0</v>
      </c>
      <c r="E20" s="2544"/>
      <c r="F20" s="2545"/>
      <c r="G20" s="2542"/>
      <c r="H20" s="2549"/>
      <c r="I20" s="2550">
        <f>SUM(I17:I19)</f>
        <v>0</v>
      </c>
    </row>
    <row r="21" spans="1:9">
      <c r="A21" s="3511" t="s">
        <v>2519</v>
      </c>
      <c r="B21" s="3514"/>
      <c r="C21" s="3514"/>
      <c r="D21" s="3514"/>
      <c r="E21" s="3514"/>
      <c r="F21" s="3514"/>
      <c r="G21" s="3514"/>
      <c r="H21" s="2554">
        <v>0.1</v>
      </c>
      <c r="I21" s="2547">
        <f>ROUND(I10*H21,0)</f>
        <v>0</v>
      </c>
    </row>
    <row r="22" spans="1:9" ht="14.25">
      <c r="A22" s="3515" t="s">
        <v>2520</v>
      </c>
      <c r="B22" s="3516"/>
      <c r="C22" s="3517"/>
      <c r="D22" s="2555" t="s">
        <v>2521</v>
      </c>
      <c r="E22" s="2555" t="s">
        <v>2522</v>
      </c>
      <c r="F22" s="2556" t="s">
        <v>2523</v>
      </c>
      <c r="G22" s="2556" t="s">
        <v>2524</v>
      </c>
      <c r="H22" s="2548" t="s">
        <v>2525</v>
      </c>
      <c r="I22" s="2539" t="s">
        <v>2526</v>
      </c>
    </row>
    <row r="23" spans="1:9" ht="14.25" thickBot="1">
      <c r="A23" s="3518"/>
      <c r="B23" s="3519"/>
      <c r="C23" s="3520"/>
      <c r="D23" s="2557"/>
      <c r="E23" s="2557"/>
      <c r="F23" s="2557"/>
      <c r="G23" s="2558"/>
      <c r="H23" s="2559"/>
      <c r="I23" s="2560">
        <f>ROUND(E23*D23*F23*(1-G23)/10000,0)</f>
        <v>0</v>
      </c>
    </row>
    <row r="26" spans="1:9">
      <c r="A26" s="2561" t="s">
        <v>2527</v>
      </c>
      <c r="B26" s="2561"/>
      <c r="C26" s="2561"/>
      <c r="D26" s="2561"/>
      <c r="E26" s="3508">
        <f>C27-C30-C31-C32</f>
        <v>0</v>
      </c>
      <c r="F26" s="3508"/>
      <c r="G26" s="3508"/>
      <c r="H26" s="3078" t="s">
        <v>2858</v>
      </c>
    </row>
    <row r="27" spans="1:9">
      <c r="A27" s="2562">
        <v>1</v>
      </c>
      <c r="B27" s="2563" t="s">
        <v>2528</v>
      </c>
      <c r="C27" s="2563"/>
      <c r="D27" s="2563"/>
      <c r="E27" s="3509"/>
      <c r="F27" s="3509"/>
      <c r="G27" s="3509"/>
    </row>
    <row r="28" spans="1:9">
      <c r="A28" s="2564" t="s">
        <v>2529</v>
      </c>
      <c r="B28" s="2563" t="s">
        <v>2530</v>
      </c>
      <c r="C28" s="2563"/>
      <c r="D28" s="2563"/>
      <c r="E28" s="3509"/>
      <c r="F28" s="3509"/>
      <c r="G28" s="3509"/>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510"/>
      <c r="F32" s="3510"/>
      <c r="G32" s="3510"/>
    </row>
    <row r="33" spans="1:7" hidden="1">
      <c r="A33" s="3505" t="s">
        <v>2538</v>
      </c>
      <c r="B33" s="3506"/>
      <c r="C33" s="3506"/>
      <c r="D33" s="3507"/>
      <c r="E33" s="3508"/>
      <c r="F33" s="3508"/>
      <c r="G33" s="3508"/>
    </row>
    <row r="34" spans="1:7" hidden="1">
      <c r="A34" s="2566">
        <v>1</v>
      </c>
      <c r="B34" s="2563" t="s">
        <v>2539</v>
      </c>
      <c r="C34" s="2563"/>
      <c r="D34" s="2563"/>
      <c r="E34" s="3509"/>
      <c r="F34" s="3509"/>
      <c r="G34" s="3509"/>
    </row>
    <row r="35" spans="1:7" hidden="1">
      <c r="A35" s="2566">
        <v>2</v>
      </c>
      <c r="B35" s="2563" t="s">
        <v>2540</v>
      </c>
      <c r="C35" s="2563"/>
      <c r="D35" s="2563"/>
      <c r="E35" s="3509"/>
      <c r="F35" s="3509"/>
      <c r="G35" s="3509"/>
    </row>
    <row r="36" spans="1:7" hidden="1">
      <c r="A36" s="2566">
        <v>3</v>
      </c>
      <c r="B36" s="2563" t="s">
        <v>2541</v>
      </c>
      <c r="C36" s="2563"/>
      <c r="D36" s="2563"/>
      <c r="E36" s="3509"/>
      <c r="F36" s="3509"/>
      <c r="G36" s="3509"/>
    </row>
    <row r="37" spans="1:7" hidden="1">
      <c r="A37" s="2566">
        <v>4</v>
      </c>
      <c r="B37" s="2563" t="s">
        <v>2542</v>
      </c>
      <c r="C37" s="2563"/>
      <c r="D37" s="2563"/>
      <c r="E37" s="3509"/>
      <c r="F37" s="3509"/>
      <c r="G37" s="3509"/>
    </row>
    <row r="38" spans="1:7" hidden="1">
      <c r="A38" s="3505" t="s">
        <v>2543</v>
      </c>
      <c r="B38" s="3506"/>
      <c r="C38" s="3506"/>
      <c r="D38" s="3507"/>
      <c r="E38" s="3508"/>
      <c r="F38" s="3508"/>
      <c r="G38" s="35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5"/>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0"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6"/>
      <c r="B6" s="747" t="s">
        <v>605</v>
      </c>
      <c r="C6" s="748" t="s">
        <v>606</v>
      </c>
      <c r="D6" s="748" t="s">
        <v>607</v>
      </c>
      <c r="E6" s="749" t="s">
        <v>608</v>
      </c>
      <c r="F6" s="749" t="s">
        <v>609</v>
      </c>
      <c r="G6" s="750"/>
    </row>
    <row r="7" spans="1:25" s="2189" customFormat="1" ht="13.5" customHeight="1">
      <c r="A7" s="2500">
        <v>1</v>
      </c>
      <c r="B7" s="751" t="s">
        <v>610</v>
      </c>
      <c r="C7" s="752">
        <f>C8+C9</f>
        <v>0</v>
      </c>
      <c r="D7" s="752"/>
      <c r="E7" s="753"/>
      <c r="F7" s="753"/>
      <c r="G7" s="2510"/>
    </row>
    <row r="8" spans="1:25" s="2189" customFormat="1" ht="13.5" customHeight="1">
      <c r="A8" s="2500" t="s">
        <v>2450</v>
      </c>
      <c r="B8" s="2503" t="s">
        <v>2452</v>
      </c>
      <c r="C8" s="2504"/>
      <c r="D8" s="752"/>
      <c r="E8" s="753"/>
      <c r="F8" s="753"/>
      <c r="G8" s="754"/>
    </row>
    <row r="9" spans="1:25" s="2189" customFormat="1" ht="13.5" customHeight="1">
      <c r="A9" s="2500" t="s">
        <v>2451</v>
      </c>
      <c r="B9" s="2503" t="s">
        <v>2453</v>
      </c>
      <c r="C9" s="2504"/>
      <c r="D9" s="752"/>
      <c r="E9" s="753"/>
      <c r="F9" s="753"/>
      <c r="G9" s="754"/>
    </row>
    <row r="10" spans="1:25" s="2189" customFormat="1" ht="36">
      <c r="A10" s="2500">
        <v>2</v>
      </c>
      <c r="B10" s="751" t="s">
        <v>614</v>
      </c>
      <c r="C10" s="752">
        <f>C11+C14+C15</f>
        <v>0</v>
      </c>
      <c r="D10" s="763">
        <f>'数据-汇总表'!E3</f>
        <v>134410.88</v>
      </c>
      <c r="E10" s="752">
        <f>'数据-取费表'!B31</f>
        <v>110</v>
      </c>
      <c r="F10" s="764"/>
      <c r="G10" s="762" t="s">
        <v>615</v>
      </c>
    </row>
    <row r="11" spans="1:25" s="2189" customFormat="1" ht="13.5" customHeight="1">
      <c r="A11" s="2500" t="s">
        <v>2450</v>
      </c>
      <c r="B11" s="755" t="s">
        <v>611</v>
      </c>
      <c r="C11" s="756">
        <f>'数据-取费表'!B29</f>
        <v>0</v>
      </c>
      <c r="D11" s="757"/>
      <c r="E11" s="756"/>
      <c r="F11" s="758"/>
      <c r="G11" s="2509" t="s">
        <v>2461</v>
      </c>
    </row>
    <row r="12" spans="1:25" s="2189" customFormat="1" ht="13.5" customHeight="1">
      <c r="A12" s="2507" t="s">
        <v>2458</v>
      </c>
      <c r="B12" s="759" t="s">
        <v>612</v>
      </c>
      <c r="C12" s="760">
        <f>ROUND(D12*E12/10000,0)</f>
        <v>792</v>
      </c>
      <c r="D12" s="761">
        <f>'数据-汇总表'!E5</f>
        <v>79200</v>
      </c>
      <c r="E12" s="760">
        <f>'数据-取费表'!B27</f>
        <v>100</v>
      </c>
      <c r="F12" s="758"/>
      <c r="G12" s="762"/>
    </row>
    <row r="13" spans="1:25" s="2189" customFormat="1" ht="13.5" customHeight="1">
      <c r="A13" s="2507" t="s">
        <v>2457</v>
      </c>
      <c r="B13" s="759" t="s">
        <v>613</v>
      </c>
      <c r="C13" s="760">
        <f>ROUND(D13*E13/10000,0)</f>
        <v>552</v>
      </c>
      <c r="D13" s="761">
        <f>'数据-汇总表'!E6</f>
        <v>55210.880000000005</v>
      </c>
      <c r="E13" s="760">
        <f>'数据-取费表'!B28</f>
        <v>100</v>
      </c>
      <c r="F13" s="758"/>
      <c r="G13" s="762"/>
    </row>
    <row r="14" spans="1:25" s="2189" customFormat="1" ht="13.5" customHeight="1">
      <c r="A14" s="2500" t="s">
        <v>2451</v>
      </c>
      <c r="B14" s="2506" t="s">
        <v>2454</v>
      </c>
      <c r="C14" s="2504"/>
      <c r="D14" s="761"/>
      <c r="E14" s="760"/>
      <c r="F14" s="2505"/>
      <c r="G14" s="2508" t="s">
        <v>2459</v>
      </c>
    </row>
    <row r="15" spans="1:25" s="2189" customFormat="1" ht="13.5" customHeight="1">
      <c r="A15" s="2500" t="s">
        <v>2456</v>
      </c>
      <c r="B15" s="2506" t="s">
        <v>2455</v>
      </c>
      <c r="C15" s="2504"/>
      <c r="D15" s="761"/>
      <c r="E15" s="760"/>
      <c r="F15" s="2505"/>
      <c r="G15" s="2508" t="s">
        <v>2460</v>
      </c>
    </row>
    <row r="16" spans="1:25" s="2190" customFormat="1" ht="48">
      <c r="A16" s="2500">
        <v>3</v>
      </c>
      <c r="B16" s="751" t="s">
        <v>616</v>
      </c>
      <c r="C16" s="2504"/>
      <c r="D16" s="763"/>
      <c r="E16" s="752"/>
      <c r="F16" s="764"/>
      <c r="G16" s="762"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1" t="s">
        <v>617</v>
      </c>
      <c r="C17" s="260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1" t="s">
        <v>618</v>
      </c>
      <c r="C18" s="752">
        <f>ROUND((C7+C10+C16)*F18,0)</f>
        <v>0</v>
      </c>
      <c r="D18" s="765"/>
      <c r="E18" s="766"/>
      <c r="F18" s="764">
        <f>'数据-取费表'!Q16</f>
        <v>0.24</v>
      </c>
      <c r="G18" s="768"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1" t="s">
        <v>620</v>
      </c>
      <c r="C19" s="752">
        <f ca="1">C7+C10+C16+C17+C18</f>
        <v>0</v>
      </c>
      <c r="D19" s="763"/>
      <c r="E19" s="752"/>
      <c r="F19" s="764"/>
      <c r="G19" s="768"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1" t="s">
        <v>622</v>
      </c>
      <c r="C20" s="752">
        <f ca="1">ROUND(C19*F20,0)</f>
        <v>0</v>
      </c>
      <c r="D20" s="763"/>
      <c r="E20" s="752"/>
      <c r="F20" s="1349"/>
      <c r="G20" s="768"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1" t="s">
        <v>624</v>
      </c>
      <c r="C21" s="752">
        <f ca="1">C19+C20</f>
        <v>0</v>
      </c>
      <c r="D21" s="763"/>
      <c r="E21" s="752"/>
      <c r="F21" s="764"/>
      <c r="G21" s="768"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1" t="s">
        <v>626</v>
      </c>
      <c r="C22" s="752">
        <f ca="1">ROUND(C21*F22,0)</f>
        <v>0</v>
      </c>
      <c r="D22" s="763"/>
      <c r="E22" s="752"/>
      <c r="F22" s="769">
        <f>'数据-取费表'!AP16</f>
        <v>0.90300000000000002</v>
      </c>
      <c r="G22" s="768"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70" t="s">
        <v>628</v>
      </c>
      <c r="C23" s="771">
        <f ca="1">C22</f>
        <v>0</v>
      </c>
      <c r="D23" s="772"/>
      <c r="E23" s="771"/>
      <c r="F23" s="773"/>
      <c r="G23" s="774"/>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B26" sqref="B26"/>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3201</v>
      </c>
      <c r="D1" s="2052"/>
      <c r="E1" s="2418" t="s">
        <v>873</v>
      </c>
      <c r="F1" s="2419">
        <f ca="1">J53</f>
        <v>36.520000000000003</v>
      </c>
      <c r="G1" s="777">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9476</v>
      </c>
      <c r="C2" s="2060"/>
      <c r="D2" s="2058"/>
      <c r="E2" s="2059"/>
      <c r="F2" s="2059"/>
      <c r="G2" s="1592"/>
      <c r="H2" s="2060"/>
      <c r="I2" s="2060"/>
      <c r="J2" s="2060"/>
      <c r="K2" s="2061"/>
      <c r="L2" s="2060"/>
      <c r="M2" s="2060"/>
    </row>
    <row r="3" spans="1:33" ht="18" customHeight="1" thickBot="1">
      <c r="A3" s="836" t="s">
        <v>520</v>
      </c>
      <c r="B3" s="837">
        <f ca="1">IF(ISERROR(B2*10000/F43),0,ROUND(B2*10000/F43,0))</f>
        <v>16691</v>
      </c>
      <c r="C3" s="2060"/>
      <c r="D3" s="2058"/>
      <c r="E3" s="2059"/>
      <c r="F3" s="2059"/>
      <c r="G3" s="1592"/>
      <c r="H3" s="779" t="s">
        <v>697</v>
      </c>
      <c r="I3" s="1364"/>
      <c r="J3" s="1364"/>
      <c r="K3" s="1593"/>
      <c r="L3" s="1364"/>
      <c r="M3" s="1364"/>
    </row>
    <row r="4" spans="1:33" ht="18" customHeight="1">
      <c r="A4" s="780" t="s">
        <v>700</v>
      </c>
      <c r="B4" s="781" t="s">
        <v>632</v>
      </c>
      <c r="C4" s="781" t="s">
        <v>1734</v>
      </c>
      <c r="D4" s="781" t="s">
        <v>634</v>
      </c>
      <c r="E4" s="782" t="s">
        <v>635</v>
      </c>
      <c r="F4" s="783"/>
      <c r="G4" s="1594"/>
      <c r="H4" s="780" t="s">
        <v>700</v>
      </c>
      <c r="I4" s="781" t="s">
        <v>632</v>
      </c>
      <c r="J4" s="781" t="s">
        <v>1734</v>
      </c>
      <c r="K4" s="781" t="s">
        <v>1739</v>
      </c>
      <c r="L4" s="782" t="s">
        <v>635</v>
      </c>
      <c r="M4" s="783"/>
    </row>
    <row r="5" spans="1:33" ht="18" customHeight="1">
      <c r="A5" s="784">
        <v>1</v>
      </c>
      <c r="B5" s="785" t="s">
        <v>2469</v>
      </c>
      <c r="C5" s="55">
        <f ca="1">C6+C10+C12</f>
        <v>561</v>
      </c>
      <c r="D5" s="2527" t="s">
        <v>2472</v>
      </c>
      <c r="E5" s="2521"/>
      <c r="F5" s="2522"/>
      <c r="G5" s="1594"/>
      <c r="H5" s="784">
        <v>1</v>
      </c>
      <c r="I5" s="785" t="s">
        <v>2469</v>
      </c>
      <c r="J5" s="55">
        <f ca="1">J6+J10+J12</f>
        <v>0</v>
      </c>
      <c r="K5" s="2527" t="s">
        <v>2472</v>
      </c>
      <c r="L5" s="2521"/>
      <c r="M5" s="2522"/>
    </row>
    <row r="6" spans="1:33" ht="18" customHeight="1">
      <c r="A6" s="1833" t="s">
        <v>1829</v>
      </c>
      <c r="B6" s="3499" t="s">
        <v>2474</v>
      </c>
      <c r="C6" s="786">
        <f ca="1">ROUND(F6*F8*F7*(1-F9)/10000,0)</f>
        <v>560</v>
      </c>
      <c r="D6" s="2528" t="s">
        <v>2473</v>
      </c>
      <c r="E6" s="787" t="s">
        <v>638</v>
      </c>
      <c r="F6" s="788">
        <f ca="1">INDIRECT("'数据-取费表'!u"&amp;$G$1)</f>
        <v>3</v>
      </c>
      <c r="G6" s="1594"/>
      <c r="H6" s="2535" t="s">
        <v>1829</v>
      </c>
      <c r="I6" s="3499" t="s">
        <v>2474</v>
      </c>
      <c r="J6" s="786">
        <f ca="1">ROUND(M6*M8*M7*(1-M9)/10000,0)</f>
        <v>0</v>
      </c>
      <c r="K6" s="344" t="s">
        <v>1741</v>
      </c>
      <c r="L6" s="787" t="s">
        <v>638</v>
      </c>
      <c r="M6" s="788">
        <f ca="1">INDIRECT("'数据-取费表'!z"&amp;$G$1)</f>
        <v>0</v>
      </c>
    </row>
    <row r="7" spans="1:33" ht="18" customHeight="1">
      <c r="A7" s="2531"/>
      <c r="B7" s="3500"/>
      <c r="C7" s="791"/>
      <c r="D7" s="792"/>
      <c r="E7" s="787" t="s">
        <v>639</v>
      </c>
      <c r="F7" s="788">
        <f ca="1">IF(INDIRECT("'数据-取费表'!ah"&amp;$G$1)="",INDIRECT("'数据-取费表'!k"&amp;$G$1),INDIRECT("'数据-取费表'!ah"&amp;$G$1))</f>
        <v>5677.36</v>
      </c>
      <c r="G7" s="1594"/>
      <c r="H7" s="2520"/>
      <c r="I7" s="3500"/>
      <c r="J7" s="791"/>
      <c r="K7" s="792"/>
      <c r="L7" s="787" t="s">
        <v>639</v>
      </c>
      <c r="M7" s="788">
        <f ca="1">F7</f>
        <v>5677.36</v>
      </c>
    </row>
    <row r="8" spans="1:33" ht="18" customHeight="1">
      <c r="A8" s="2524"/>
      <c r="B8" s="3501"/>
      <c r="C8" s="791"/>
      <c r="D8" s="792"/>
      <c r="E8" s="787" t="s">
        <v>640</v>
      </c>
      <c r="F8" s="788">
        <f ca="1">INDIRECT("'数据-取费表'!ai"&amp;$G$1)</f>
        <v>365</v>
      </c>
      <c r="G8" s="1594"/>
      <c r="H8" s="2520"/>
      <c r="I8" s="3501"/>
      <c r="J8" s="791"/>
      <c r="K8" s="792"/>
      <c r="L8" s="787" t="s">
        <v>640</v>
      </c>
      <c r="M8" s="788">
        <f ca="1">INDIRECT("'数据-取费表'!ai"&amp;$G$1)</f>
        <v>365</v>
      </c>
    </row>
    <row r="9" spans="1:33" ht="18" customHeight="1">
      <c r="A9" s="789"/>
      <c r="B9" s="3502"/>
      <c r="C9" s="791"/>
      <c r="D9" s="792"/>
      <c r="E9" s="787" t="s">
        <v>641</v>
      </c>
      <c r="F9" s="797">
        <f ca="1">INDIRECT("'数据-取费表'!w"&amp;$G$1)</f>
        <v>0.1</v>
      </c>
      <c r="G9" s="1594"/>
      <c r="H9" s="2536"/>
      <c r="I9" s="3501"/>
      <c r="J9" s="791"/>
      <c r="K9" s="792"/>
      <c r="L9" s="798" t="s">
        <v>641</v>
      </c>
      <c r="M9" s="799">
        <f ca="1">INDIRECT("'数据-取费表'!ab"&amp;$G$1)</f>
        <v>0</v>
      </c>
    </row>
    <row r="10" spans="1:33" ht="18" customHeight="1">
      <c r="A10" s="1833" t="s">
        <v>1830</v>
      </c>
      <c r="B10" s="2525" t="s">
        <v>2470</v>
      </c>
      <c r="C10" s="802">
        <f ca="1">ROUND(IF(F10="押一",F6*F8*F7/12*F11,IF(F10="押二",F6*F8*F7/12*2*F11,IF(F10="押三",F6*F8*F7/12*3*F11,C11*F11)))/10000,0)</f>
        <v>1</v>
      </c>
      <c r="D10" s="2532" t="s">
        <v>2477</v>
      </c>
      <c r="E10" s="2529" t="s">
        <v>2475</v>
      </c>
      <c r="F10" s="2652" t="s">
        <v>3205</v>
      </c>
      <c r="G10" s="1594"/>
      <c r="H10" s="2592" t="s">
        <v>1830</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2467</v>
      </c>
      <c r="F11" s="799">
        <f ca="1">'数据-取费表'!B39</f>
        <v>1.4999999999999999E-2</v>
      </c>
      <c r="G11" s="1594"/>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4"/>
      <c r="H12" s="2582" t="s">
        <v>2479</v>
      </c>
      <c r="I12" s="2595" t="s">
        <v>2471</v>
      </c>
      <c r="J12" s="2596"/>
      <c r="K12" s="2571"/>
      <c r="L12" s="2572"/>
      <c r="M12" s="2585"/>
    </row>
    <row r="13" spans="1:33" ht="18" customHeight="1" thickTop="1">
      <c r="A13" s="1832">
        <v>2</v>
      </c>
      <c r="B13" s="1830" t="s">
        <v>645</v>
      </c>
      <c r="C13" s="795">
        <f ca="1">ROUND(C29*F13,0)</f>
        <v>3708</v>
      </c>
      <c r="D13" s="1837" t="s">
        <v>2307</v>
      </c>
      <c r="E13" s="1837" t="s">
        <v>644</v>
      </c>
      <c r="F13" s="2567">
        <f ca="1">INDIRECT("'数据-取费表'!y"&amp;$G$1)</f>
        <v>1</v>
      </c>
      <c r="G13" s="1594"/>
      <c r="H13" s="1832">
        <v>2</v>
      </c>
      <c r="I13" s="1830" t="s">
        <v>645</v>
      </c>
      <c r="J13" s="1822">
        <f ca="1">ROUND(J14*J15,0)</f>
        <v>0</v>
      </c>
      <c r="K13" s="1824" t="s">
        <v>1747</v>
      </c>
      <c r="L13" s="2583"/>
      <c r="M13" s="2584"/>
    </row>
    <row r="14" spans="1:33" ht="18" customHeight="1">
      <c r="A14" s="1650" t="s">
        <v>1836</v>
      </c>
      <c r="B14" s="787" t="s">
        <v>646</v>
      </c>
      <c r="C14" s="807">
        <f ca="1">INDIRECT("'数据-取费表'!m"&amp;$G$1)+INDIRECT("'数据-取费表'!t"&amp;$G$1)</f>
        <v>2271</v>
      </c>
      <c r="D14" s="3152" t="s">
        <v>647</v>
      </c>
      <c r="E14" s="3153"/>
      <c r="F14" s="808"/>
      <c r="G14" s="1594"/>
      <c r="H14" s="1651" t="s">
        <v>1829</v>
      </c>
      <c r="I14" s="2237" t="s">
        <v>2840</v>
      </c>
      <c r="J14" s="53">
        <f ca="1">C29</f>
        <v>3708</v>
      </c>
      <c r="K14" s="26"/>
      <c r="L14" s="804"/>
      <c r="M14" s="805"/>
    </row>
    <row r="15" spans="1:33" s="2067" customFormat="1" ht="18" customHeight="1" thickBot="1">
      <c r="A15" s="1650" t="s">
        <v>1837</v>
      </c>
      <c r="B15" s="787" t="s">
        <v>648</v>
      </c>
      <c r="C15" s="53">
        <f ca="1">ROUND(C14*F15,0)</f>
        <v>114</v>
      </c>
      <c r="D15" s="809" t="s">
        <v>649</v>
      </c>
      <c r="E15" s="809" t="s">
        <v>650</v>
      </c>
      <c r="F15" s="810">
        <f>'数据-取费表'!B33</f>
        <v>0.05</v>
      </c>
      <c r="G15" s="1595"/>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1838</v>
      </c>
      <c r="B16" s="787" t="s">
        <v>651</v>
      </c>
      <c r="C16" s="53">
        <f ca="1">ROUND(INDIRECT("'数据-取费表'!m"&amp;$G$1)*F16,0)</f>
        <v>0</v>
      </c>
      <c r="D16" s="787" t="s">
        <v>649</v>
      </c>
      <c r="E16" s="787" t="s">
        <v>650</v>
      </c>
      <c r="F16" s="812">
        <f ca="1">IF(INDIRECT("'数据-取费表'!c"&amp;$G$1)="住宅",'数据-取费表'!B34,0)</f>
        <v>0</v>
      </c>
      <c r="G16" s="1594"/>
      <c r="H16" s="1832" t="s">
        <v>1752</v>
      </c>
      <c r="I16" s="1830" t="s">
        <v>1753</v>
      </c>
      <c r="J16" s="795">
        <f ca="1">ROUND(J17+J22+J23+J24,0)</f>
        <v>106</v>
      </c>
      <c r="K16" s="1824" t="s">
        <v>653</v>
      </c>
      <c r="L16" s="3154"/>
      <c r="M16" s="2522"/>
    </row>
    <row r="17" spans="1:33" s="2067" customFormat="1" ht="18" customHeight="1">
      <c r="A17" s="1650" t="s">
        <v>1892</v>
      </c>
      <c r="B17" s="787" t="s">
        <v>654</v>
      </c>
      <c r="C17" s="53">
        <f ca="1">ROUND(F17*(F43+INDIRECT("'数据-取费表'!S"&amp;$G$1))/10000,0)</f>
        <v>114</v>
      </c>
      <c r="D17" s="787" t="s">
        <v>655</v>
      </c>
      <c r="E17" s="787" t="s">
        <v>656</v>
      </c>
      <c r="F17" s="56">
        <f>'数据-取费表'!B35</f>
        <v>200</v>
      </c>
      <c r="G17" s="1595"/>
      <c r="H17" s="1651" t="s">
        <v>1829</v>
      </c>
      <c r="I17" s="787" t="s">
        <v>657</v>
      </c>
      <c r="J17" s="53">
        <f ca="1">ROUND(IF(项目基本情况!B11="自然人",J5*M17,J18+J19+J20),0)</f>
        <v>32</v>
      </c>
      <c r="K17" s="3152" t="s">
        <v>1757</v>
      </c>
      <c r="L17" s="3150" t="s">
        <v>659</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34</v>
      </c>
      <c r="D18" s="787" t="s">
        <v>649</v>
      </c>
      <c r="E18" s="787" t="s">
        <v>650</v>
      </c>
      <c r="F18" s="812">
        <f>'数据-取费表'!B36</f>
        <v>1.4999999999999999E-2</v>
      </c>
      <c r="G18" s="1595"/>
      <c r="H18" s="1650" t="s">
        <v>1836</v>
      </c>
      <c r="I18" s="787" t="s">
        <v>661</v>
      </c>
      <c r="J18" s="53">
        <f ca="1">ROUND(J5*M18/1.05,1)</f>
        <v>0</v>
      </c>
      <c r="K18" s="3150" t="s">
        <v>662</v>
      </c>
      <c r="L18" s="787" t="s">
        <v>650</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1829</v>
      </c>
      <c r="B19" s="787" t="s">
        <v>663</v>
      </c>
      <c r="C19" s="53">
        <f ca="1">SUM(C14:C18)</f>
        <v>2533</v>
      </c>
      <c r="D19" s="261" t="s">
        <v>664</v>
      </c>
      <c r="E19" s="3160"/>
      <c r="F19" s="56"/>
      <c r="G19" s="1594"/>
      <c r="H19" s="1650" t="s">
        <v>1837</v>
      </c>
      <c r="I19" s="787" t="s">
        <v>1762</v>
      </c>
      <c r="J19" s="53">
        <f ca="1">IF(K19="按租金收入计税",ROUND(J5*M19,1),ROUND(C29*F33*0.7,1))</f>
        <v>31.1</v>
      </c>
      <c r="K19" s="814" t="s">
        <v>666</v>
      </c>
      <c r="L19" s="787" t="s">
        <v>650</v>
      </c>
      <c r="M19" s="812">
        <f>IF(K19="按租金收入计税",'数据-取费表'!B51,'数据-取费表'!B50)</f>
        <v>1.2E-2</v>
      </c>
    </row>
    <row r="20" spans="1:33" s="2067" customFormat="1" ht="18" customHeight="1">
      <c r="A20" s="1651" t="s">
        <v>1894</v>
      </c>
      <c r="B20" s="787" t="s">
        <v>667</v>
      </c>
      <c r="C20" s="53">
        <f ca="1">ROUND(C19*F20,0)</f>
        <v>51</v>
      </c>
      <c r="D20" s="815" t="s">
        <v>1763</v>
      </c>
      <c r="E20" s="787" t="s">
        <v>650</v>
      </c>
      <c r="F20" s="812">
        <f>'数据-取费表'!B37</f>
        <v>0.02</v>
      </c>
      <c r="G20" s="1595"/>
      <c r="H20" s="1653" t="s">
        <v>1838</v>
      </c>
      <c r="I20" s="344" t="s">
        <v>669</v>
      </c>
      <c r="J20" s="54">
        <f ca="1">ROUND(M20*M21/10000,0)</f>
        <v>1</v>
      </c>
      <c r="K20" s="817" t="s">
        <v>1765</v>
      </c>
      <c r="L20" s="787" t="s">
        <v>671</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672</v>
      </c>
      <c r="C21" s="53" t="s">
        <v>1768</v>
      </c>
      <c r="D21" s="815" t="s">
        <v>2308</v>
      </c>
      <c r="E21" s="787" t="s">
        <v>1769</v>
      </c>
      <c r="F21" s="812">
        <f>'数据-取费表'!B38</f>
        <v>0.02</v>
      </c>
      <c r="G21" s="1595"/>
      <c r="H21" s="2537"/>
      <c r="I21" s="796"/>
      <c r="J21" s="69"/>
      <c r="K21" s="819"/>
      <c r="L21" s="787" t="s">
        <v>1770</v>
      </c>
      <c r="M21" s="788">
        <f ca="1">INDIRECT("'数据-取费表'!r"&amp;$G$1)</f>
        <v>2008.57</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676</v>
      </c>
      <c r="C22" s="53"/>
      <c r="D22" s="2603" t="str">
        <f>IF(F23&lt;=1,"单利计息。","复利计息。")&amp;"建造成本、管理费用、销售费用产生的利息。"</f>
        <v>复利计息。建造成本、管理费用、销售费用产生的利息。</v>
      </c>
      <c r="E22" s="3160"/>
      <c r="F22" s="56"/>
      <c r="G22" s="1594"/>
      <c r="H22" s="1651" t="s">
        <v>1894</v>
      </c>
      <c r="I22" s="787" t="s">
        <v>677</v>
      </c>
      <c r="J22" s="53">
        <f ca="1">ROUND(J14*M22,0)</f>
        <v>74</v>
      </c>
      <c r="K22" s="3150" t="s">
        <v>1773</v>
      </c>
      <c r="L22" s="787" t="s">
        <v>650</v>
      </c>
      <c r="M22" s="820">
        <f ca="1">INDIRECT("'数据-取费表'!Ak"&amp;$G$1)</f>
        <v>0.02</v>
      </c>
    </row>
    <row r="23" spans="1:33" s="2067" customFormat="1" ht="18" customHeight="1">
      <c r="A23" s="1650" t="s">
        <v>1836</v>
      </c>
      <c r="B23" s="787" t="s">
        <v>2447</v>
      </c>
      <c r="C23" s="53">
        <f ca="1">ROUND(IF('数据-取费表'!B22&lt;=1,(C19+C20)*F24*F23/2,(C19+C20)*(POWER((1+F24),F23/2)-1)),0)</f>
        <v>186</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3150" t="s">
        <v>1775</v>
      </c>
      <c r="L23" s="787" t="s">
        <v>650</v>
      </c>
      <c r="M23" s="821">
        <f ca="1">INDIRECT("'数据-取费表'!Al"&amp;$G$1)</f>
        <v>2E-3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683</v>
      </c>
      <c r="F24" s="822">
        <f ca="1">'数据-取费表'!B40</f>
        <v>4.7500000000000001E-2</v>
      </c>
      <c r="G24" s="1595"/>
      <c r="H24" s="2582" t="s">
        <v>1896</v>
      </c>
      <c r="I24" s="2577" t="s">
        <v>667</v>
      </c>
      <c r="J24" s="2575">
        <f ca="1">ROUND(J5*M24,0)</f>
        <v>0</v>
      </c>
      <c r="K24" s="2576" t="s">
        <v>1778</v>
      </c>
      <c r="L24" s="2577" t="s">
        <v>650</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686</v>
      </c>
      <c r="E25" s="3160"/>
      <c r="F25" s="56"/>
      <c r="G25" s="1594"/>
      <c r="H25" s="1832" t="s">
        <v>1780</v>
      </c>
      <c r="I25" s="3045" t="s">
        <v>2837</v>
      </c>
      <c r="J25" s="795">
        <f ca="1">J5-J16</f>
        <v>-106</v>
      </c>
      <c r="K25" s="2579" t="s">
        <v>702</v>
      </c>
      <c r="L25" s="2580"/>
      <c r="M25" s="2581"/>
    </row>
    <row r="26" spans="1:33" ht="18" customHeight="1">
      <c r="A26" s="1650" t="s">
        <v>1836</v>
      </c>
      <c r="B26" s="787" t="s">
        <v>2448</v>
      </c>
      <c r="C26" s="53">
        <f ca="1">ROUND((C19+C20)*F26,0)</f>
        <v>646</v>
      </c>
      <c r="D26" s="815" t="s">
        <v>703</v>
      </c>
      <c r="E26" s="798" t="s">
        <v>1783</v>
      </c>
      <c r="F26" s="797">
        <f ca="1">INDIRECT("'数据-取费表'!q"&amp;$G$1)</f>
        <v>0.25</v>
      </c>
      <c r="G26" s="1594"/>
      <c r="H26" s="2533" t="s">
        <v>1784</v>
      </c>
      <c r="I26" s="2238" t="s">
        <v>2842</v>
      </c>
      <c r="J26" s="786">
        <f ca="1">IF(J5&lt;&gt;0,ROUND(J25*(1-((1+M28)/(1+M26))^M27)/(M26-M28),0),0)</f>
        <v>0</v>
      </c>
      <c r="K26" s="817" t="s">
        <v>706</v>
      </c>
      <c r="L26" s="787" t="s">
        <v>2429</v>
      </c>
      <c r="M26" s="797">
        <f ca="1">INDIRECT("'数据-取费表'!I"&amp;$G$1)</f>
        <v>5.5E-2</v>
      </c>
    </row>
    <row r="27" spans="1:33" ht="18" customHeight="1">
      <c r="A27" s="1650" t="s">
        <v>1837</v>
      </c>
      <c r="B27" s="787" t="s">
        <v>687</v>
      </c>
      <c r="C27" s="53">
        <f ca="1">ROUND(F21*F26,4)</f>
        <v>5.0000000000000001E-3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650</v>
      </c>
      <c r="F28" s="812">
        <f>'数据-取费表'!B41</f>
        <v>5.5000000000000007E-2</v>
      </c>
      <c r="G28" s="1595"/>
      <c r="H28" s="1832"/>
      <c r="I28" s="794"/>
      <c r="J28" s="795"/>
      <c r="K28" s="819"/>
      <c r="L28" s="787" t="s">
        <v>712</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3708</v>
      </c>
      <c r="D29" s="2576"/>
      <c r="E29" s="2577"/>
      <c r="F29" s="2578"/>
      <c r="G29" s="1595"/>
      <c r="H29" s="826" t="s">
        <v>1791</v>
      </c>
      <c r="I29" s="827" t="s">
        <v>1792</v>
      </c>
      <c r="J29" s="828">
        <f ca="1">ROUND(J26/(1+F40)^F41,0)</f>
        <v>0</v>
      </c>
      <c r="K29" s="829" t="s">
        <v>689</v>
      </c>
      <c r="L29" s="830"/>
      <c r="M29" s="831">
        <f ca="1">INDIRECT("'数据-取费表'!k"&amp;$G$1)</f>
        <v>5677.36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1753</v>
      </c>
      <c r="C30" s="795">
        <f ca="1">ROUND(C31+C36+C37+C38,0)</f>
        <v>155</v>
      </c>
      <c r="D30" s="1824" t="s">
        <v>653</v>
      </c>
      <c r="E30" s="3154"/>
      <c r="F30" s="2522"/>
      <c r="G30" s="2065"/>
      <c r="H30" s="2068"/>
      <c r="I30" s="2069"/>
      <c r="J30" s="2070"/>
      <c r="K30" s="2071"/>
      <c r="L30" s="2072"/>
      <c r="M30" s="2073"/>
    </row>
    <row r="31" spans="1:33" ht="18" customHeight="1">
      <c r="A31" s="1651" t="s">
        <v>1829</v>
      </c>
      <c r="B31" s="787" t="s">
        <v>657</v>
      </c>
      <c r="C31" s="53">
        <f ca="1">ROUND(IF(项目基本情况!B11="自然人",C5*F31,C32+C33+C34),1)</f>
        <v>61.7</v>
      </c>
      <c r="D31" s="3152" t="s">
        <v>1757</v>
      </c>
      <c r="E31" s="3150"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661</v>
      </c>
      <c r="C32" s="53">
        <f ca="1">ROUND(C5*F32/1.05,1)</f>
        <v>29.4</v>
      </c>
      <c r="D32" s="3150" t="s">
        <v>662</v>
      </c>
      <c r="E32" s="787" t="s">
        <v>650</v>
      </c>
      <c r="F32" s="812">
        <f>'数据-取费表'!B41</f>
        <v>5.5000000000000007E-2</v>
      </c>
      <c r="G32" s="2065"/>
      <c r="H32" s="2074"/>
      <c r="I32" s="2075"/>
      <c r="J32" s="2076"/>
      <c r="K32" s="2077"/>
      <c r="L32" s="2078"/>
      <c r="M32" s="2079"/>
    </row>
    <row r="33" spans="1:18" ht="18" customHeight="1">
      <c r="A33" s="1650" t="s">
        <v>1837</v>
      </c>
      <c r="B33" s="787" t="s">
        <v>1762</v>
      </c>
      <c r="C33" s="53">
        <f ca="1">IF(D33="按租金收入计税",ROUND(C5*F33,1),IF(D33="按房产原值计税",ROUND(C29*F33*0.7,1),INDIRECT("'数据-取费表'!Aj"&amp;$G$1)))</f>
        <v>31.1</v>
      </c>
      <c r="D33" s="814" t="s">
        <v>1684</v>
      </c>
      <c r="E33" s="787" t="s">
        <v>650</v>
      </c>
      <c r="F33" s="812">
        <f>IF(D33="按租金收入计税",'数据-取费表'!B51,'数据-取费表'!B50)</f>
        <v>1.2E-2</v>
      </c>
      <c r="G33" s="2065"/>
      <c r="H33" s="2080"/>
      <c r="I33" s="2080"/>
      <c r="J33" s="2080"/>
      <c r="K33" s="2081"/>
      <c r="L33" s="2080"/>
      <c r="M33" s="2080"/>
    </row>
    <row r="34" spans="1:18" ht="18" customHeight="1">
      <c r="A34" s="1653" t="s">
        <v>1838</v>
      </c>
      <c r="B34" s="344" t="s">
        <v>669</v>
      </c>
      <c r="C34" s="54">
        <f ca="1">ROUND(F34*F35/10000,1)</f>
        <v>1.2</v>
      </c>
      <c r="D34" s="817" t="s">
        <v>1765</v>
      </c>
      <c r="E34" s="787" t="s">
        <v>671</v>
      </c>
      <c r="F34" s="643">
        <f>'数据-取费表'!B52</f>
        <v>6</v>
      </c>
      <c r="G34" s="2065"/>
      <c r="H34" s="2068"/>
      <c r="I34" s="838" t="s">
        <v>1818</v>
      </c>
      <c r="J34" s="839"/>
      <c r="K34" s="2083"/>
      <c r="L34" s="2082"/>
      <c r="M34" s="2082"/>
    </row>
    <row r="35" spans="1:18" ht="18" customHeight="1">
      <c r="A35" s="818"/>
      <c r="B35" s="796"/>
      <c r="C35" s="69"/>
      <c r="D35" s="819"/>
      <c r="E35" s="787" t="s">
        <v>1770</v>
      </c>
      <c r="F35" s="788">
        <f ca="1">INDIRECT("'数据-取费表'!r"&amp;$G$1)</f>
        <v>2008.57</v>
      </c>
      <c r="G35" s="2065"/>
      <c r="H35" s="2068"/>
      <c r="I35" s="840" t="s">
        <v>1819</v>
      </c>
      <c r="J35" s="841">
        <f ca="1">ROUND(C13*J36,0)</f>
        <v>315</v>
      </c>
      <c r="K35" s="2081"/>
      <c r="L35" s="2080"/>
      <c r="M35" s="2080"/>
    </row>
    <row r="36" spans="1:18" ht="18" customHeight="1">
      <c r="A36" s="1651" t="s">
        <v>1894</v>
      </c>
      <c r="B36" s="787" t="s">
        <v>677</v>
      </c>
      <c r="C36" s="53">
        <f ca="1">ROUND(C29*F36,1)</f>
        <v>74.2</v>
      </c>
      <c r="D36" s="3150" t="s">
        <v>693</v>
      </c>
      <c r="E36" s="787" t="s">
        <v>650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7.4</v>
      </c>
      <c r="D37" s="3150" t="s">
        <v>1775</v>
      </c>
      <c r="E37" s="787" t="s">
        <v>650</v>
      </c>
      <c r="F37" s="821">
        <f ca="1">INDIRECT("'数据-取费表'!Al"&amp;$G$1)</f>
        <v>2E-3</v>
      </c>
      <c r="G37" s="2065"/>
      <c r="H37" s="2080"/>
      <c r="I37" s="844" t="s">
        <v>1821</v>
      </c>
      <c r="J37" s="845"/>
      <c r="K37" s="2085"/>
      <c r="L37" s="2080"/>
      <c r="M37" s="2080"/>
    </row>
    <row r="38" spans="1:18" ht="18" customHeight="1" thickBot="1">
      <c r="A38" s="2582" t="s">
        <v>1896</v>
      </c>
      <c r="B38" s="2577" t="s">
        <v>667</v>
      </c>
      <c r="C38" s="2575">
        <f ca="1">ROUND(C5*F38,1)</f>
        <v>11.2</v>
      </c>
      <c r="D38" s="2576" t="s">
        <v>1778</v>
      </c>
      <c r="E38" s="2577" t="s">
        <v>650</v>
      </c>
      <c r="F38" s="2573">
        <f ca="1">INDIRECT("'数据-取费表'!Am"&amp;$G$1)</f>
        <v>0.02</v>
      </c>
      <c r="G38" s="2065"/>
      <c r="H38" s="2080"/>
      <c r="I38" s="846" t="s">
        <v>1822</v>
      </c>
      <c r="J38" s="847"/>
      <c r="K38" s="2086"/>
      <c r="L38" s="2080"/>
      <c r="M38" s="2080"/>
    </row>
    <row r="39" spans="1:18" ht="24.6" customHeight="1" thickTop="1">
      <c r="A39" s="1832" t="s">
        <v>1780</v>
      </c>
      <c r="B39" s="3045" t="s">
        <v>2837</v>
      </c>
      <c r="C39" s="795">
        <f ca="1">C5-C30</f>
        <v>406</v>
      </c>
      <c r="D39" s="2579" t="s">
        <v>702</v>
      </c>
      <c r="E39" s="2580"/>
      <c r="F39" s="2581"/>
      <c r="G39" s="2065"/>
      <c r="H39" s="2080"/>
      <c r="I39" s="840" t="s">
        <v>1823</v>
      </c>
      <c r="J39" s="848">
        <f ca="1">ROUND(J35/C39,3)</f>
        <v>0.77600000000000002</v>
      </c>
      <c r="K39" s="2086"/>
      <c r="L39" s="2080"/>
      <c r="M39" s="2080"/>
    </row>
    <row r="40" spans="1:18" ht="18" customHeight="1">
      <c r="A40" s="784" t="s">
        <v>1784</v>
      </c>
      <c r="B40" s="2238" t="s">
        <v>2311</v>
      </c>
      <c r="C40" s="786">
        <f ca="1">ROUND(C39*(1-((1+F42)/(1+F40))^F41)/(F40-F42),0)</f>
        <v>9476</v>
      </c>
      <c r="D40" s="817" t="s">
        <v>706</v>
      </c>
      <c r="E40" s="787" t="s">
        <v>2429</v>
      </c>
      <c r="F40" s="797">
        <f ca="1">INDIRECT("'数据-取费表'!I"&amp;$G$1)</f>
        <v>5.5E-2</v>
      </c>
      <c r="G40" s="2065"/>
      <c r="H40" s="2065"/>
      <c r="I40" s="840" t="s">
        <v>1824</v>
      </c>
      <c r="J40" s="848">
        <f ca="1">1-J39</f>
        <v>0.22399999999999998</v>
      </c>
      <c r="K40" s="2086"/>
      <c r="L40" s="2065"/>
      <c r="M40" s="2065"/>
    </row>
    <row r="41" spans="1:18" ht="18" customHeight="1">
      <c r="A41" s="789"/>
      <c r="B41" s="790"/>
      <c r="C41" s="791"/>
      <c r="D41" s="824" t="s">
        <v>1812</v>
      </c>
      <c r="E41" s="787" t="s">
        <v>1788</v>
      </c>
      <c r="F41" s="825">
        <f ca="1">IF(INDIRECT("'数据-取费表'!af"&amp;$G$1)=0,INDIRECT("'数据-取费表'!ae"&amp;$G$1),INDIRECT("'数据-取费表'!af"&amp;$G$1))</f>
        <v>36.520000000000003</v>
      </c>
      <c r="G41" s="2065"/>
      <c r="H41" s="1990"/>
      <c r="I41" s="846" t="s">
        <v>1825</v>
      </c>
      <c r="J41" s="849"/>
      <c r="K41" s="2085"/>
      <c r="L41" s="1990"/>
      <c r="M41" s="1990"/>
    </row>
    <row r="42" spans="1:18" ht="18" customHeight="1">
      <c r="A42" s="793"/>
      <c r="B42" s="794"/>
      <c r="C42" s="795"/>
      <c r="D42" s="819"/>
      <c r="E42" s="787" t="s">
        <v>712</v>
      </c>
      <c r="F42" s="797">
        <f ca="1">INDIRECT("'数据-取费表'!v"&amp;$G$1)</f>
        <v>0.03</v>
      </c>
      <c r="G42" s="2065"/>
      <c r="H42" s="1990"/>
      <c r="I42" s="850" t="s">
        <v>1826</v>
      </c>
      <c r="J42" s="848">
        <f ca="1">ROUND(C13/C40,3)</f>
        <v>0.39100000000000001</v>
      </c>
      <c r="K42" s="2085"/>
      <c r="L42" s="1990"/>
      <c r="M42" s="1990"/>
    </row>
    <row r="43" spans="1:18" ht="18" customHeight="1" thickBot="1">
      <c r="A43" s="826" t="s">
        <v>1791</v>
      </c>
      <c r="B43" s="827" t="s">
        <v>1815</v>
      </c>
      <c r="C43" s="828">
        <f ca="1">ROUND(C40*10000/F43,0)</f>
        <v>16691</v>
      </c>
      <c r="D43" s="829" t="s">
        <v>1816</v>
      </c>
      <c r="E43" s="830" t="s">
        <v>1817</v>
      </c>
      <c r="F43" s="831">
        <f ca="1">INDIRECT("'数据-取费表'!k"&amp;$G$1)</f>
        <v>5677.36</v>
      </c>
      <c r="G43" s="2065"/>
      <c r="H43" s="1990"/>
      <c r="I43" s="850" t="s">
        <v>1827</v>
      </c>
      <c r="J43" s="851">
        <f ca="1">1-J42</f>
        <v>0.60899999999999999</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-11255</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3047</v>
      </c>
      <c r="K47" s="2394" t="s">
        <v>2359</v>
      </c>
      <c r="L47" s="2395">
        <f ca="1">INDIRECT("'数据-取费表'!d"&amp;$G$1)</f>
        <v>40</v>
      </c>
      <c r="M47" s="1606"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2306</v>
      </c>
      <c r="F48" s="2383"/>
      <c r="G48" s="2093"/>
      <c r="I48" s="2389" t="s">
        <v>2354</v>
      </c>
      <c r="J48" s="2396" t="s">
        <v>2360</v>
      </c>
      <c r="K48" s="2397" t="s">
        <v>2361</v>
      </c>
      <c r="L48" s="2398">
        <f ca="1">INDIRECT("'数据-取费表'!f"&amp;$G$1)</f>
        <v>36.520000000000003</v>
      </c>
      <c r="O48" s="2429" t="s">
        <v>2389</v>
      </c>
      <c r="P48" s="2430" t="s">
        <v>2415</v>
      </c>
      <c r="Q48" s="2431">
        <f ca="1">C40+J29</f>
        <v>9476</v>
      </c>
      <c r="R48" s="2430" t="s">
        <v>2390</v>
      </c>
    </row>
    <row r="49" spans="1:18" s="2062" customFormat="1" ht="18" customHeight="1" thickBot="1">
      <c r="A49" s="789"/>
      <c r="B49" s="790"/>
      <c r="C49" s="791"/>
      <c r="D49" s="792"/>
      <c r="E49" s="787" t="s">
        <v>639</v>
      </c>
      <c r="F49" s="788">
        <f ca="1">F7</f>
        <v>5677.36</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640</v>
      </c>
      <c r="F50" s="788">
        <f ca="1">F8</f>
        <v>365</v>
      </c>
      <c r="G50" s="2101"/>
      <c r="H50" s="2096"/>
      <c r="I50" s="2389" t="s">
        <v>2356</v>
      </c>
      <c r="J50" s="2402">
        <f>SUMPRODUCT((I63:I65=J47)*(J62:L62=J48)*(J63:L65))</f>
        <v>60</v>
      </c>
      <c r="K50" s="2400" t="s">
        <v>2363</v>
      </c>
      <c r="L50" s="2401"/>
      <c r="O50" s="2432" t="s">
        <v>2393</v>
      </c>
      <c r="P50" s="2430" t="s">
        <v>2417</v>
      </c>
      <c r="Q50" s="2431">
        <f ca="1">C29</f>
        <v>3708</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-19421343</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36.520000000000003</v>
      </c>
      <c r="K53" s="35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4"/>
      <c r="O53" s="2432" t="s">
        <v>2398</v>
      </c>
      <c r="P53" s="2430" t="s">
        <v>2399</v>
      </c>
      <c r="Q53" s="2431">
        <f ca="1">J53</f>
        <v>36.520000000000003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9476</v>
      </c>
      <c r="R54" s="2434" t="s">
        <v>2402</v>
      </c>
    </row>
    <row r="55" spans="1:18" s="2062" customFormat="1" ht="18" customHeight="1" thickTop="1" thickBot="1">
      <c r="A55" s="800">
        <v>2</v>
      </c>
      <c r="B55" s="801" t="s">
        <v>645</v>
      </c>
      <c r="C55" s="802">
        <f ca="1">C13</f>
        <v>3708</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2310</v>
      </c>
      <c r="C56" s="53">
        <f ca="1">C29</f>
        <v>3708</v>
      </c>
      <c r="D56" s="3150"/>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114</v>
      </c>
      <c r="D57" s="26" t="s">
        <v>653</v>
      </c>
      <c r="E57" s="3160"/>
      <c r="F57" s="56"/>
      <c r="I57" s="2410" t="s">
        <v>2368</v>
      </c>
      <c r="J57" s="2412" t="str">
        <f ca="1">IF(OR(M47="住宅",J51&lt;L48,J56="是"),"——",J51-L48)</f>
        <v>——</v>
      </c>
      <c r="K57" s="2389" t="s">
        <v>2373</v>
      </c>
      <c r="L57" s="2398" t="str">
        <f ca="1">IF(L48&lt;J51,"——",IF(L55="比较法",L49,IF(L55="基准地价",L50,L51)))</f>
        <v>——</v>
      </c>
      <c r="O57" s="2429" t="s">
        <v>2389</v>
      </c>
      <c r="P57" s="2430" t="s">
        <v>2415</v>
      </c>
      <c r="Q57" s="2431">
        <f ca="1">C40+J29</f>
        <v>9476</v>
      </c>
      <c r="R57" s="2430" t="s">
        <v>2390</v>
      </c>
    </row>
    <row r="58" spans="1:18" s="2062" customFormat="1" ht="28.5" customHeight="1" thickBot="1">
      <c r="A58" s="1651" t="s">
        <v>1829</v>
      </c>
      <c r="B58" s="787" t="s">
        <v>657</v>
      </c>
      <c r="C58" s="53">
        <f ca="1">ROUND(IF(项目基本情况!B11="自然人",C47*F58,C59+C60+C61),1)</f>
        <v>32.299999999999997</v>
      </c>
      <c r="D58" s="3152" t="s">
        <v>658</v>
      </c>
      <c r="E58" s="3150"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3150" t="s">
        <v>662</v>
      </c>
      <c r="E59" s="787" t="s">
        <v>650</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31.1</v>
      </c>
      <c r="D60" s="3150" t="str">
        <f>D33</f>
        <v>按房产原值计税</v>
      </c>
      <c r="E60" s="787" t="s">
        <v>650</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1.2</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2008.57</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74.2</v>
      </c>
      <c r="D63" s="3150" t="s">
        <v>693</v>
      </c>
      <c r="E63" s="787" t="s">
        <v>650</v>
      </c>
      <c r="F63" s="820">
        <f t="shared" ca="1" si="0"/>
        <v>0.02</v>
      </c>
      <c r="I63" s="2415" t="s">
        <v>2380</v>
      </c>
      <c r="J63" s="2416">
        <v>70</v>
      </c>
      <c r="K63" s="2416">
        <v>50</v>
      </c>
      <c r="L63" s="2416">
        <v>80</v>
      </c>
      <c r="M63" s="3136">
        <v>0.02</v>
      </c>
      <c r="O63" s="2429" t="s">
        <v>2401</v>
      </c>
      <c r="P63" s="2430" t="s">
        <v>2418</v>
      </c>
      <c r="Q63" s="2431">
        <f ca="1">Q57+Q58</f>
        <v>9476</v>
      </c>
      <c r="R63" s="2434" t="s">
        <v>2402</v>
      </c>
    </row>
    <row r="64" spans="1:18" s="2062" customFormat="1" ht="16.5" thickBot="1">
      <c r="A64" s="1651" t="s">
        <v>1895</v>
      </c>
      <c r="B64" s="787" t="s">
        <v>680</v>
      </c>
      <c r="C64" s="53">
        <f ca="1">ROUND(C55*F64,1)</f>
        <v>7.4</v>
      </c>
      <c r="D64" s="3150" t="s">
        <v>681</v>
      </c>
      <c r="E64" s="787" t="s">
        <v>650</v>
      </c>
      <c r="F64" s="821">
        <f t="shared" ca="1" si="0"/>
        <v>2E-3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3150" t="s">
        <v>684</v>
      </c>
      <c r="E65" s="787" t="s">
        <v>650</v>
      </c>
      <c r="F65" s="797">
        <f t="shared" ca="1" si="0"/>
        <v>0.02</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-114</v>
      </c>
      <c r="D66" s="3152" t="s">
        <v>702</v>
      </c>
      <c r="E66" s="3155"/>
      <c r="F66" s="823"/>
      <c r="K66" s="2089"/>
      <c r="O66" s="2429" t="s">
        <v>2389</v>
      </c>
      <c r="P66" s="2430" t="s">
        <v>2415</v>
      </c>
      <c r="Q66" s="2431">
        <f ca="1">C40+J29</f>
        <v>9476</v>
      </c>
      <c r="R66" s="2430" t="s">
        <v>2390</v>
      </c>
    </row>
    <row r="67" spans="1:18" s="2062" customFormat="1" ht="20.25" thickBot="1">
      <c r="A67" s="784" t="s">
        <v>1784</v>
      </c>
      <c r="B67" s="2238" t="s">
        <v>2311</v>
      </c>
      <c r="C67" s="786">
        <f ca="1">ROUND(C66*(1-((1+F69)/(1+F67))^F68)/(F67-F69),0)</f>
        <v>-1779</v>
      </c>
      <c r="D67" s="817" t="s">
        <v>706</v>
      </c>
      <c r="E67" s="787" t="s">
        <v>707</v>
      </c>
      <c r="F67" s="797">
        <f ca="1">F40</f>
        <v>5.5E-2</v>
      </c>
      <c r="K67" s="2089"/>
      <c r="O67" s="2429" t="s">
        <v>2391</v>
      </c>
      <c r="P67" s="2430" t="s">
        <v>2422</v>
      </c>
      <c r="Q67" s="2431">
        <f ca="1">L60</f>
        <v>0</v>
      </c>
      <c r="R67" s="2434" t="s">
        <v>2424</v>
      </c>
    </row>
    <row r="68" spans="1:18" ht="21.75" thickBot="1">
      <c r="A68" s="789"/>
      <c r="B68" s="790"/>
      <c r="C68" s="791"/>
      <c r="D68" s="824" t="s">
        <v>1812</v>
      </c>
      <c r="E68" s="787" t="s">
        <v>1788</v>
      </c>
      <c r="F68" s="825">
        <f ca="1">F41</f>
        <v>36.520000000000003</v>
      </c>
      <c r="O68" s="2432" t="s">
        <v>2393</v>
      </c>
      <c r="P68" s="2430" t="s">
        <v>2423</v>
      </c>
      <c r="Q68" s="2436">
        <f ca="1">L51</f>
        <v>-19421343</v>
      </c>
      <c r="R68" s="2437" t="s">
        <v>2426</v>
      </c>
    </row>
    <row r="69" spans="1:18" ht="20.25" thickBot="1">
      <c r="A69" s="793"/>
      <c r="B69" s="794"/>
      <c r="C69" s="795"/>
      <c r="D69" s="819"/>
      <c r="E69" s="787" t="s">
        <v>712</v>
      </c>
      <c r="F69" s="2377"/>
      <c r="O69" s="2432" t="s">
        <v>2394</v>
      </c>
      <c r="P69" s="2438" t="s">
        <v>2408</v>
      </c>
      <c r="Q69" s="2431">
        <f ca="1">ROUND(Q70-Q71*Q72,0)</f>
        <v>91</v>
      </c>
      <c r="R69" s="2434"/>
    </row>
    <row r="70" spans="1:18" ht="15.75" thickBot="1">
      <c r="A70" s="826" t="s">
        <v>1791</v>
      </c>
      <c r="B70" s="827" t="s">
        <v>1815</v>
      </c>
      <c r="C70" s="828">
        <f ca="1">ROUND(C67*10000/F70,0)</f>
        <v>-3133</v>
      </c>
      <c r="D70" s="829" t="s">
        <v>1816</v>
      </c>
      <c r="E70" s="830" t="s">
        <v>1817</v>
      </c>
      <c r="F70" s="831">
        <f ca="1">F43</f>
        <v>5677.36</v>
      </c>
      <c r="O70" s="2432" t="s">
        <v>2409</v>
      </c>
      <c r="P70" s="2438" t="s">
        <v>2410</v>
      </c>
      <c r="Q70" s="2431">
        <f ca="1">C39</f>
        <v>406</v>
      </c>
      <c r="R70" s="2430" t="s">
        <v>2390</v>
      </c>
    </row>
    <row r="71" spans="1:18" ht="15.75" thickBot="1">
      <c r="O71" s="2432" t="s">
        <v>2411</v>
      </c>
      <c r="P71" s="2438" t="s">
        <v>2412</v>
      </c>
      <c r="Q71" s="2431">
        <f ca="1">C13</f>
        <v>3708</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9476</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C27" sqref="C2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3032</v>
      </c>
      <c r="E1" s="2657"/>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143550</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18125</v>
      </c>
      <c r="C3" s="855" t="s">
        <v>725</v>
      </c>
      <c r="D3" s="854">
        <f>SUMIF('数据-汇总表'!$C19:$C33,D1,'数据-汇总表'!$E19:$E33)</f>
        <v>79200</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36" t="s">
        <v>523</v>
      </c>
      <c r="D4" s="3437"/>
      <c r="E4" s="3461" t="s">
        <v>524</v>
      </c>
      <c r="F4" s="3462"/>
      <c r="G4" s="3436" t="s">
        <v>525</v>
      </c>
      <c r="H4" s="3437"/>
      <c r="I4" s="3436" t="s">
        <v>526</v>
      </c>
      <c r="J4" s="3437"/>
      <c r="K4" s="856" t="s">
        <v>527</v>
      </c>
      <c r="L4" s="2139"/>
      <c r="M4" s="2140"/>
      <c r="N4" s="2140"/>
      <c r="O4" s="2140"/>
      <c r="P4" s="3438" t="s">
        <v>528</v>
      </c>
      <c r="Q4" s="3439"/>
      <c r="R4" s="3424" t="s">
        <v>524</v>
      </c>
      <c r="S4" s="3425"/>
      <c r="T4" s="3424" t="s">
        <v>525</v>
      </c>
      <c r="U4" s="3425"/>
      <c r="V4" s="3444" t="s">
        <v>526</v>
      </c>
      <c r="W4" s="3444"/>
      <c r="X4" s="1569"/>
      <c r="Y4" s="3424" t="s">
        <v>528</v>
      </c>
      <c r="Z4" s="3425"/>
      <c r="AA4" s="3419" t="s">
        <v>524</v>
      </c>
      <c r="AB4" s="3419" t="s">
        <v>525</v>
      </c>
      <c r="AC4" s="3419" t="s">
        <v>526</v>
      </c>
    </row>
    <row r="5" spans="1:29" ht="15">
      <c r="A5" s="518"/>
      <c r="B5" s="519"/>
      <c r="C5" s="3447" t="s">
        <v>2935</v>
      </c>
      <c r="D5" s="3448"/>
      <c r="E5" s="3526" t="s">
        <v>3073</v>
      </c>
      <c r="F5" s="3464"/>
      <c r="G5" s="3449" t="s">
        <v>3074</v>
      </c>
      <c r="H5" s="3448"/>
      <c r="I5" s="3449" t="s">
        <v>3260</v>
      </c>
      <c r="J5" s="3448"/>
      <c r="K5" s="857"/>
      <c r="L5" s="2139"/>
      <c r="M5" s="2140"/>
      <c r="N5" s="2140"/>
      <c r="O5" s="2140"/>
      <c r="P5" s="3440"/>
      <c r="Q5" s="3441"/>
      <c r="R5" s="3426"/>
      <c r="S5" s="3427"/>
      <c r="T5" s="3426"/>
      <c r="U5" s="3427"/>
      <c r="V5" s="3444"/>
      <c r="W5" s="3444"/>
      <c r="X5" s="1569"/>
      <c r="Y5" s="3426"/>
      <c r="Z5" s="3427"/>
      <c r="AA5" s="3420"/>
      <c r="AB5" s="3420"/>
      <c r="AC5" s="3420"/>
    </row>
    <row r="6" spans="1:29" ht="15.75" thickBot="1">
      <c r="A6" s="520"/>
      <c r="B6" s="521"/>
      <c r="C6" s="3465" t="s">
        <v>2939</v>
      </c>
      <c r="D6" s="3446"/>
      <c r="E6" s="3466" t="s">
        <v>2939</v>
      </c>
      <c r="F6" s="3467"/>
      <c r="G6" s="3465" t="s">
        <v>2939</v>
      </c>
      <c r="H6" s="3446"/>
      <c r="I6" s="3465" t="s">
        <v>2939</v>
      </c>
      <c r="J6" s="3446"/>
      <c r="K6" s="857" t="s">
        <v>529</v>
      </c>
      <c r="L6" s="2139"/>
      <c r="M6" s="2140"/>
      <c r="N6" s="2140"/>
      <c r="O6" s="2140"/>
      <c r="P6" s="3442"/>
      <c r="Q6" s="3443"/>
      <c r="R6" s="3426"/>
      <c r="S6" s="3427"/>
      <c r="T6" s="3428"/>
      <c r="U6" s="3429"/>
      <c r="V6" s="3444"/>
      <c r="W6" s="3444"/>
      <c r="X6" s="1569"/>
      <c r="Y6" s="3428"/>
      <c r="Z6" s="3429"/>
      <c r="AA6" s="3421"/>
      <c r="AB6" s="3421"/>
      <c r="AC6" s="3421"/>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22" t="s">
        <v>531</v>
      </c>
      <c r="Q7" s="3431"/>
      <c r="R7" s="1570" t="s">
        <v>13</v>
      </c>
      <c r="S7" s="1571">
        <f t="shared" ref="S7:S15" si="0">F7</f>
        <v>100</v>
      </c>
      <c r="T7" s="1570" t="s">
        <v>13</v>
      </c>
      <c r="U7" s="1571">
        <f t="shared" ref="U7:U15" si="1">H7</f>
        <v>100</v>
      </c>
      <c r="V7" s="1570" t="s">
        <v>13</v>
      </c>
      <c r="W7" s="1571">
        <f t="shared" ref="W7:W15" si="2">J7</f>
        <v>100</v>
      </c>
      <c r="X7" s="1572"/>
      <c r="Y7" s="3422" t="s">
        <v>531</v>
      </c>
      <c r="Z7" s="3423"/>
      <c r="AA7" s="1573">
        <f>D7/F7</f>
        <v>1</v>
      </c>
      <c r="AB7" s="1573">
        <f>D7/H7</f>
        <v>1</v>
      </c>
      <c r="AC7" s="1573">
        <f>D7/J7</f>
        <v>1</v>
      </c>
    </row>
    <row r="8" spans="1:29" s="1220" customFormat="1" ht="15.75" thickBot="1">
      <c r="A8" s="2948"/>
      <c r="B8" s="2955" t="s">
        <v>532</v>
      </c>
      <c r="C8" s="528" t="s">
        <v>577</v>
      </c>
      <c r="D8" s="523">
        <v>100</v>
      </c>
      <c r="E8" s="859" t="s">
        <v>3071</v>
      </c>
      <c r="F8" s="525">
        <f>SUMIF(61:61,E8,62:62)-SUMIF(61:61,C8,62:62)+100</f>
        <v>100</v>
      </c>
      <c r="G8" s="528" t="s">
        <v>3071</v>
      </c>
      <c r="H8" s="523">
        <f>SUMIF(61:61,G8,62:62)-SUMIF(61:61,C8,62:62)+100</f>
        <v>100</v>
      </c>
      <c r="I8" s="859" t="s">
        <v>3071</v>
      </c>
      <c r="J8" s="523">
        <f>SUMIF(61:61,I8,62:62)-SUMIF(61:61,C8,62:62)+100</f>
        <v>100</v>
      </c>
      <c r="K8" s="858"/>
      <c r="L8" s="2141"/>
      <c r="M8" s="2142"/>
      <c r="N8" s="2142"/>
      <c r="O8" s="2142"/>
      <c r="P8" s="3422" t="s">
        <v>534</v>
      </c>
      <c r="Q8" s="3423"/>
      <c r="R8" s="1570" t="s">
        <v>13</v>
      </c>
      <c r="S8" s="1571">
        <f t="shared" si="0"/>
        <v>100</v>
      </c>
      <c r="T8" s="1570" t="s">
        <v>13</v>
      </c>
      <c r="U8" s="1571">
        <f t="shared" si="1"/>
        <v>100</v>
      </c>
      <c r="V8" s="1570" t="s">
        <v>13</v>
      </c>
      <c r="W8" s="1571">
        <f t="shared" si="2"/>
        <v>100</v>
      </c>
      <c r="X8" s="1572"/>
      <c r="Y8" s="3422" t="s">
        <v>534</v>
      </c>
      <c r="Z8" s="3423"/>
      <c r="AA8" s="1573">
        <f t="shared" ref="AA8:AA46" si="3">D8/F8</f>
        <v>1</v>
      </c>
      <c r="AB8" s="1573">
        <f t="shared" ref="AB8:AB46" si="4">D8/H8</f>
        <v>1</v>
      </c>
      <c r="AC8" s="1573">
        <f t="shared" ref="AC8:AC46" si="5">D8/J8</f>
        <v>1</v>
      </c>
    </row>
    <row r="9" spans="1:29" s="1220" customFormat="1" ht="15">
      <c r="A9" s="2949"/>
      <c r="B9" s="2956" t="s">
        <v>2771</v>
      </c>
      <c r="C9" s="3161" t="s">
        <v>3034</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30" t="s">
        <v>536</v>
      </c>
      <c r="Q9" s="1151" t="str">
        <f t="shared" ref="Q9:Q15" si="6">B9</f>
        <v>用途</v>
      </c>
      <c r="R9" s="1570" t="s">
        <v>8</v>
      </c>
      <c r="S9" s="1571">
        <f t="shared" si="0"/>
        <v>100</v>
      </c>
      <c r="T9" s="1570" t="s">
        <v>8</v>
      </c>
      <c r="U9" s="1571">
        <f t="shared" si="1"/>
        <v>100</v>
      </c>
      <c r="V9" s="1570" t="s">
        <v>8</v>
      </c>
      <c r="W9" s="1571">
        <f t="shared" si="2"/>
        <v>100</v>
      </c>
      <c r="X9" s="1572"/>
      <c r="Y9" s="3388" t="s">
        <v>537</v>
      </c>
      <c r="Z9" s="1150" t="str">
        <f t="shared" ref="Z9:Z15" si="7">Q9</f>
        <v>用途</v>
      </c>
      <c r="AA9" s="1573">
        <f t="shared" si="3"/>
        <v>1</v>
      </c>
      <c r="AB9" s="1573">
        <f t="shared" si="4"/>
        <v>1</v>
      </c>
      <c r="AC9" s="1573">
        <f t="shared" si="5"/>
        <v>1</v>
      </c>
    </row>
    <row r="10" spans="1:29" s="1338" customFormat="1" ht="27">
      <c r="A10" s="2950"/>
      <c r="B10" s="2955" t="s">
        <v>2772</v>
      </c>
      <c r="C10" s="864" t="s">
        <v>3072</v>
      </c>
      <c r="D10" s="255">
        <v>100</v>
      </c>
      <c r="E10" s="865" t="s">
        <v>3072</v>
      </c>
      <c r="F10" s="866">
        <f>SUMIF(65:65,E10,66:66)-SUMIF(65:65,C10,66:66)+100</f>
        <v>100</v>
      </c>
      <c r="G10" s="864" t="s">
        <v>3072</v>
      </c>
      <c r="H10" s="255">
        <f>SUMIF(65:65,G10,66:66)-SUMIF(65:65,C10,66:66)+100</f>
        <v>100</v>
      </c>
      <c r="I10" s="864" t="s">
        <v>3072</v>
      </c>
      <c r="J10" s="255">
        <f>SUMIF(65:65,I10,66:66)-SUMIF(65:65,C10,66:66)+100</f>
        <v>100</v>
      </c>
      <c r="K10" s="867">
        <v>2</v>
      </c>
      <c r="L10" s="2144"/>
      <c r="M10" s="2184"/>
      <c r="N10" s="2184"/>
      <c r="O10" s="2145"/>
      <c r="P10" s="3430"/>
      <c r="Q10" s="1151" t="str">
        <f t="shared" si="6"/>
        <v>土地使用年限（年）</v>
      </c>
      <c r="R10" s="1570" t="s">
        <v>8</v>
      </c>
      <c r="S10" s="1571">
        <f t="shared" si="0"/>
        <v>100</v>
      </c>
      <c r="T10" s="1570" t="s">
        <v>8</v>
      </c>
      <c r="U10" s="1571">
        <f t="shared" si="1"/>
        <v>100</v>
      </c>
      <c r="V10" s="1570" t="s">
        <v>8</v>
      </c>
      <c r="W10" s="1571">
        <f t="shared" si="2"/>
        <v>100</v>
      </c>
      <c r="X10" s="1572"/>
      <c r="Y10" s="3388"/>
      <c r="Z10" s="1150"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30"/>
      <c r="Q11" s="1151" t="str">
        <f t="shared" si="6"/>
        <v>容积率</v>
      </c>
      <c r="R11" s="1570" t="s">
        <v>11</v>
      </c>
      <c r="S11" s="1571">
        <f t="shared" si="0"/>
        <v>100</v>
      </c>
      <c r="T11" s="1570" t="s">
        <v>11</v>
      </c>
      <c r="U11" s="1571">
        <f t="shared" si="1"/>
        <v>98</v>
      </c>
      <c r="V11" s="1570" t="s">
        <v>11</v>
      </c>
      <c r="W11" s="1571">
        <f t="shared" si="2"/>
        <v>100</v>
      </c>
      <c r="X11" s="1572"/>
      <c r="Y11" s="3388"/>
      <c r="Z11" s="1150" t="str">
        <f t="shared" si="7"/>
        <v>容积率</v>
      </c>
      <c r="AA11" s="1573">
        <f t="shared" si="3"/>
        <v>1</v>
      </c>
      <c r="AB11" s="1573">
        <f t="shared" si="4"/>
        <v>1.0204081632653061</v>
      </c>
      <c r="AC11" s="1573">
        <f t="shared" si="5"/>
        <v>1</v>
      </c>
    </row>
    <row r="12" spans="1:29" s="1220" customFormat="1" ht="15" hidden="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30"/>
      <c r="Q12" s="1151">
        <f t="shared" si="6"/>
        <v>0</v>
      </c>
      <c r="R12" s="1570" t="s">
        <v>11</v>
      </c>
      <c r="S12" s="1571">
        <f t="shared" si="0"/>
        <v>100</v>
      </c>
      <c r="T12" s="1570" t="s">
        <v>11</v>
      </c>
      <c r="U12" s="1571">
        <f t="shared" si="1"/>
        <v>100</v>
      </c>
      <c r="V12" s="1570" t="s">
        <v>11</v>
      </c>
      <c r="W12" s="1571">
        <f t="shared" si="2"/>
        <v>100</v>
      </c>
      <c r="X12" s="1572"/>
      <c r="Y12" s="3388"/>
      <c r="Z12" s="1150">
        <f t="shared" si="7"/>
        <v>0</v>
      </c>
      <c r="AA12" s="1573">
        <f>D12/F12</f>
        <v>1</v>
      </c>
      <c r="AB12" s="1573">
        <f>D12/H12</f>
        <v>1</v>
      </c>
      <c r="AC12" s="1573">
        <f>D12/J12</f>
        <v>1</v>
      </c>
    </row>
    <row r="13" spans="1:29" ht="15" hidden="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30"/>
      <c r="Q13" s="1151">
        <f t="shared" si="6"/>
        <v>0</v>
      </c>
      <c r="R13" s="1570" t="s">
        <v>11</v>
      </c>
      <c r="S13" s="1571">
        <f t="shared" si="0"/>
        <v>100</v>
      </c>
      <c r="T13" s="1570" t="s">
        <v>11</v>
      </c>
      <c r="U13" s="1571">
        <f t="shared" si="1"/>
        <v>100</v>
      </c>
      <c r="V13" s="1570" t="s">
        <v>11</v>
      </c>
      <c r="W13" s="1571">
        <f t="shared" si="2"/>
        <v>100</v>
      </c>
      <c r="X13" s="1572"/>
      <c r="Y13" s="3388"/>
      <c r="Z13" s="1150">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30"/>
      <c r="Q14" s="1151">
        <f t="shared" si="6"/>
        <v>0</v>
      </c>
      <c r="R14" s="1570" t="s">
        <v>11</v>
      </c>
      <c r="S14" s="1571">
        <f t="shared" si="0"/>
        <v>100</v>
      </c>
      <c r="T14" s="1570" t="s">
        <v>11</v>
      </c>
      <c r="U14" s="1571">
        <f t="shared" si="1"/>
        <v>100</v>
      </c>
      <c r="V14" s="1570" t="s">
        <v>11</v>
      </c>
      <c r="W14" s="1571">
        <f t="shared" si="2"/>
        <v>100</v>
      </c>
      <c r="X14" s="1572"/>
      <c r="Y14" s="3388"/>
      <c r="Z14" s="1150">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3266</v>
      </c>
      <c r="F15" s="554">
        <f>SUMIF(76:76,E16,77:77)-SUMIF(76:76,C16,77:77)+100</f>
        <v>98</v>
      </c>
      <c r="G15" s="3163" t="s">
        <v>3266</v>
      </c>
      <c r="H15" s="552">
        <f>SUMIF(76:76,G16,77:77)-SUMIF(76:76,C16,77:77)+100</f>
        <v>98</v>
      </c>
      <c r="I15" s="3163" t="s">
        <v>3271</v>
      </c>
      <c r="J15" s="552">
        <f>SUMIF(76:76,I16,77:77)-SUMIF(76:76,C16,77:77)+100</f>
        <v>98</v>
      </c>
      <c r="K15" s="871">
        <v>2</v>
      </c>
      <c r="L15" s="2148"/>
      <c r="M15" s="2140"/>
      <c r="N15" s="2140"/>
      <c r="O15" s="2147"/>
      <c r="P15" s="3432" t="s">
        <v>541</v>
      </c>
      <c r="Q15" s="1574" t="str">
        <f t="shared" si="6"/>
        <v>居住社区成熟度</v>
      </c>
      <c r="R15" s="1575" t="s">
        <v>11</v>
      </c>
      <c r="S15" s="1576">
        <f t="shared" si="0"/>
        <v>98</v>
      </c>
      <c r="T15" s="1575" t="s">
        <v>11</v>
      </c>
      <c r="U15" s="1576">
        <f t="shared" si="1"/>
        <v>98</v>
      </c>
      <c r="V15" s="1575" t="s">
        <v>11</v>
      </c>
      <c r="W15" s="1576">
        <f t="shared" si="2"/>
        <v>98</v>
      </c>
      <c r="X15" s="1569"/>
      <c r="Y15" s="3432" t="s">
        <v>541</v>
      </c>
      <c r="Z15" s="1577" t="str">
        <f t="shared" si="7"/>
        <v>居住社区成熟度</v>
      </c>
      <c r="AA15" s="1578">
        <f t="shared" si="3"/>
        <v>1.0204081632653061</v>
      </c>
      <c r="AB15" s="1578">
        <f t="shared" si="4"/>
        <v>1.0204081632653061</v>
      </c>
      <c r="AC15" s="1578">
        <f t="shared" si="5"/>
        <v>1.0204081632653061</v>
      </c>
    </row>
    <row r="16" spans="1:29" ht="15">
      <c r="A16" s="535"/>
      <c r="B16" s="872"/>
      <c r="C16" s="579" t="s">
        <v>3088</v>
      </c>
      <c r="D16" s="558"/>
      <c r="E16" s="559" t="s">
        <v>3000</v>
      </c>
      <c r="F16" s="560"/>
      <c r="G16" s="561" t="s">
        <v>3000</v>
      </c>
      <c r="H16" s="562"/>
      <c r="I16" s="559" t="s">
        <v>3000</v>
      </c>
      <c r="J16" s="558"/>
      <c r="K16" s="873"/>
      <c r="L16" s="2148"/>
      <c r="M16" s="2140"/>
      <c r="N16" s="2140"/>
      <c r="O16" s="2147"/>
      <c r="P16" s="3433"/>
      <c r="Q16" s="1574"/>
      <c r="R16" s="1575"/>
      <c r="S16" s="1576"/>
      <c r="T16" s="1575"/>
      <c r="U16" s="1576"/>
      <c r="V16" s="1575"/>
      <c r="W16" s="1576"/>
      <c r="X16" s="1569"/>
      <c r="Y16" s="3433"/>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3267</v>
      </c>
      <c r="F17" s="566">
        <f>SUMIF(78:78,E18,79:79)-SUMIF(78:78,C18,79:79)+100</f>
        <v>100</v>
      </c>
      <c r="G17" s="565" t="s">
        <v>3267</v>
      </c>
      <c r="H17" s="568">
        <f>SUMIF(78:78,G18,79:79)-SUMIF(78:78,C18,79:79)+100</f>
        <v>100</v>
      </c>
      <c r="I17" s="565" t="s">
        <v>3272</v>
      </c>
      <c r="J17" s="568">
        <f>SUMIF(78:78,I18,79:79)-SUMIF(78:78,C18,79:79)+100</f>
        <v>100</v>
      </c>
      <c r="K17" s="871">
        <v>2</v>
      </c>
      <c r="L17" s="2148"/>
      <c r="M17" s="2140"/>
      <c r="N17" s="2140"/>
      <c r="O17" s="2147"/>
      <c r="P17" s="3433"/>
      <c r="Q17" s="1574" t="str">
        <f>B17</f>
        <v>交通便捷度</v>
      </c>
      <c r="R17" s="1575" t="s">
        <v>11</v>
      </c>
      <c r="S17" s="1576">
        <f>F17</f>
        <v>100</v>
      </c>
      <c r="T17" s="1575" t="s">
        <v>11</v>
      </c>
      <c r="U17" s="1576">
        <f>H17</f>
        <v>100</v>
      </c>
      <c r="V17" s="1575" t="s">
        <v>11</v>
      </c>
      <c r="W17" s="1576">
        <f>J17</f>
        <v>100</v>
      </c>
      <c r="X17" s="1569"/>
      <c r="Y17" s="3433"/>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33"/>
      <c r="Q18" s="1574"/>
      <c r="R18" s="1575"/>
      <c r="S18" s="1576"/>
      <c r="T18" s="1575"/>
      <c r="U18" s="1576"/>
      <c r="V18" s="1575"/>
      <c r="W18" s="1576"/>
      <c r="X18" s="1569"/>
      <c r="Y18" s="3433"/>
      <c r="Z18" s="1577"/>
      <c r="AA18" s="1578">
        <v>1</v>
      </c>
      <c r="AB18" s="1578">
        <v>1</v>
      </c>
      <c r="AC18" s="1578">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3268</v>
      </c>
      <c r="F19" s="574">
        <f>SUMIF(80:80,E20,81:81)-SUMIF(80:80,C20,81:81)+100</f>
        <v>100</v>
      </c>
      <c r="G19" s="3164" t="s">
        <v>3268</v>
      </c>
      <c r="H19" s="562">
        <f>SUMIF(80:80,G20,81:81)-SUMIF(80:80,C20,81:81)+100</f>
        <v>100</v>
      </c>
      <c r="I19" s="3164" t="s">
        <v>3273</v>
      </c>
      <c r="J19" s="562">
        <f>SUMIF(80:80,I20,81:81)-SUMIF(80:80,C20,81:81)+100</f>
        <v>100</v>
      </c>
      <c r="K19" s="871">
        <v>2</v>
      </c>
      <c r="L19" s="2148"/>
      <c r="M19" s="2140"/>
      <c r="N19" s="2140"/>
      <c r="O19" s="2147"/>
      <c r="P19" s="3433"/>
      <c r="Q19" s="1574" t="str">
        <f>B19</f>
        <v>公共配套设施</v>
      </c>
      <c r="R19" s="1575" t="s">
        <v>11</v>
      </c>
      <c r="S19" s="1576">
        <f>F19</f>
        <v>100</v>
      </c>
      <c r="T19" s="1575" t="s">
        <v>11</v>
      </c>
      <c r="U19" s="1576">
        <f>H19</f>
        <v>100</v>
      </c>
      <c r="V19" s="1575" t="s">
        <v>11</v>
      </c>
      <c r="W19" s="1576">
        <f>J19</f>
        <v>100</v>
      </c>
      <c r="X19" s="1569"/>
      <c r="Y19" s="3433"/>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33"/>
      <c r="Q20" s="1574"/>
      <c r="R20" s="1575"/>
      <c r="S20" s="1576"/>
      <c r="T20" s="1575"/>
      <c r="U20" s="1576"/>
      <c r="V20" s="1575"/>
      <c r="W20" s="1576"/>
      <c r="X20" s="1569"/>
      <c r="Y20" s="3433"/>
      <c r="Z20" s="1577"/>
      <c r="AA20" s="1578">
        <v>1</v>
      </c>
      <c r="AB20" s="1578">
        <v>1</v>
      </c>
      <c r="AC20" s="1578">
        <v>1</v>
      </c>
    </row>
    <row r="21" spans="1:29" ht="42.75">
      <c r="A21" s="535"/>
      <c r="B21" s="2624" t="s">
        <v>2570</v>
      </c>
      <c r="C21" s="875" t="str">
        <f>估价对象房地状况!C8</f>
        <v>估价对象所在区域基础设施水平达“六通”。</v>
      </c>
      <c r="D21" s="568">
        <v>100</v>
      </c>
      <c r="E21" s="575" t="s">
        <v>3269</v>
      </c>
      <c r="F21" s="574">
        <f>SUMIF(82:82,E22,83:83)-SUMIF(82:82,C22,83:83)+100</f>
        <v>100</v>
      </c>
      <c r="G21" s="575" t="s">
        <v>3270</v>
      </c>
      <c r="H21" s="568">
        <f>SUMIF(82:82,G22,83:83)-SUMIF(82:82,C22,83:83)+100</f>
        <v>100</v>
      </c>
      <c r="I21" s="573" t="s">
        <v>3080</v>
      </c>
      <c r="J21" s="568">
        <f>SUMIF(82:82,I22,83:83)-SUMIF(82:82,C22,83:83)+100</f>
        <v>100</v>
      </c>
      <c r="K21" s="871">
        <v>2</v>
      </c>
      <c r="L21" s="2148"/>
      <c r="M21" s="2140"/>
      <c r="N21" s="2140"/>
      <c r="O21" s="2147"/>
      <c r="P21" s="3433"/>
      <c r="Q21" s="2610" t="str">
        <f>B21</f>
        <v>基础设施水平</v>
      </c>
      <c r="R21" s="1575" t="s">
        <v>11</v>
      </c>
      <c r="S21" s="1576">
        <f>F21</f>
        <v>100</v>
      </c>
      <c r="T21" s="1575" t="s">
        <v>11</v>
      </c>
      <c r="U21" s="1576">
        <f>H21</f>
        <v>100</v>
      </c>
      <c r="V21" s="1575" t="s">
        <v>11</v>
      </c>
      <c r="W21" s="1576">
        <f>J21</f>
        <v>100</v>
      </c>
      <c r="X21" s="2612"/>
      <c r="Y21" s="3433"/>
      <c r="Z21" s="2611" t="str">
        <f>Q21</f>
        <v>基础设施水平</v>
      </c>
      <c r="AA21" s="1578">
        <f t="shared" ref="AA21" si="8">D21/F21</f>
        <v>1</v>
      </c>
      <c r="AB21" s="1578">
        <f t="shared" ref="AB21" si="9">D21/H21</f>
        <v>1</v>
      </c>
      <c r="AC21" s="1578">
        <f t="shared" ref="AC21" si="10">D21/J21</f>
        <v>1</v>
      </c>
    </row>
    <row r="22" spans="1:29" ht="15">
      <c r="A22" s="535"/>
      <c r="B22" s="923"/>
      <c r="C22" s="876" t="s">
        <v>3001</v>
      </c>
      <c r="D22" s="558"/>
      <c r="E22" s="579" t="s">
        <v>3001</v>
      </c>
      <c r="F22" s="560"/>
      <c r="G22" s="579" t="s">
        <v>3001</v>
      </c>
      <c r="H22" s="558"/>
      <c r="I22" s="579" t="s">
        <v>3001</v>
      </c>
      <c r="J22" s="558"/>
      <c r="K22" s="2630"/>
      <c r="L22" s="2148"/>
      <c r="M22" s="2140"/>
      <c r="N22" s="2140"/>
      <c r="O22" s="2147"/>
      <c r="P22" s="3433"/>
      <c r="Q22" s="2610"/>
      <c r="R22" s="1575"/>
      <c r="S22" s="1576"/>
      <c r="T22" s="1575"/>
      <c r="U22" s="1576"/>
      <c r="V22" s="1575"/>
      <c r="W22" s="1576"/>
      <c r="X22" s="2612"/>
      <c r="Y22" s="3433"/>
      <c r="Z22" s="2611"/>
      <c r="AA22" s="1578">
        <v>1</v>
      </c>
      <c r="AB22" s="1578">
        <v>1</v>
      </c>
      <c r="AC22" s="1578">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3084</v>
      </c>
      <c r="F23" s="566">
        <f>SUMIF(84:84,E24,85:85)-SUMIF(84:84,C24,85:85)+100</f>
        <v>100</v>
      </c>
      <c r="G23" s="3148" t="s">
        <v>3084</v>
      </c>
      <c r="H23" s="562">
        <f>SUMIF(84:84,G24,85:85)-SUMIF(84:84,C24,85:85)+100</f>
        <v>100</v>
      </c>
      <c r="I23" s="3148" t="s">
        <v>3274</v>
      </c>
      <c r="J23" s="562">
        <f>SUMIF(84:84,I24,85:85)-SUMIF(84:84,C24,85:85)+100</f>
        <v>98</v>
      </c>
      <c r="K23" s="871">
        <v>2</v>
      </c>
      <c r="L23" s="2148"/>
      <c r="M23" s="2140"/>
      <c r="N23" s="2140"/>
      <c r="O23" s="2147"/>
      <c r="P23" s="3433"/>
      <c r="Q23" s="1574" t="str">
        <f>B23</f>
        <v>自然及人文环境</v>
      </c>
      <c r="R23" s="1575" t="s">
        <v>11</v>
      </c>
      <c r="S23" s="1576">
        <f>F23</f>
        <v>100</v>
      </c>
      <c r="T23" s="1575" t="s">
        <v>11</v>
      </c>
      <c r="U23" s="1576">
        <f>H23</f>
        <v>100</v>
      </c>
      <c r="V23" s="1575" t="s">
        <v>11</v>
      </c>
      <c r="W23" s="1576">
        <f>J23</f>
        <v>98</v>
      </c>
      <c r="X23" s="1569"/>
      <c r="Y23" s="3433"/>
      <c r="Z23" s="1577" t="str">
        <f>Q23</f>
        <v>自然及人文环境</v>
      </c>
      <c r="AA23" s="1578">
        <f t="shared" si="3"/>
        <v>1</v>
      </c>
      <c r="AB23" s="1578">
        <f t="shared" si="4"/>
        <v>1</v>
      </c>
      <c r="AC23" s="1578">
        <f t="shared" si="5"/>
        <v>1.0204081632653061</v>
      </c>
    </row>
    <row r="24" spans="1:29" ht="15">
      <c r="A24" s="535"/>
      <c r="B24" s="598"/>
      <c r="C24" s="579" t="s">
        <v>3000</v>
      </c>
      <c r="D24" s="558"/>
      <c r="E24" s="559" t="s">
        <v>3000</v>
      </c>
      <c r="F24" s="560"/>
      <c r="G24" s="561" t="s">
        <v>3000</v>
      </c>
      <c r="H24" s="558"/>
      <c r="I24" s="559" t="s">
        <v>3086</v>
      </c>
      <c r="J24" s="558"/>
      <c r="K24" s="873"/>
      <c r="L24" s="2148"/>
      <c r="M24" s="2140"/>
      <c r="N24" s="2140"/>
      <c r="O24" s="2147"/>
      <c r="P24" s="3433"/>
      <c r="Q24" s="1574"/>
      <c r="R24" s="1575"/>
      <c r="S24" s="1576"/>
      <c r="T24" s="1575"/>
      <c r="U24" s="1576"/>
      <c r="V24" s="1575"/>
      <c r="W24" s="1576"/>
      <c r="X24" s="1569"/>
      <c r="Y24" s="3433"/>
      <c r="Z24" s="1577"/>
      <c r="AA24" s="1578">
        <v>1</v>
      </c>
      <c r="AB24" s="1578">
        <v>1</v>
      </c>
      <c r="AC24" s="1578">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33"/>
      <c r="Q25" s="1574" t="str">
        <f t="shared" ref="Q25:Q46" si="11">B25</f>
        <v>楼层-1</v>
      </c>
      <c r="R25" s="1575" t="s">
        <v>11</v>
      </c>
      <c r="S25" s="1576">
        <f>F25</f>
        <v>100</v>
      </c>
      <c r="T25" s="1575" t="s">
        <v>11</v>
      </c>
      <c r="U25" s="1576">
        <f>H25</f>
        <v>100</v>
      </c>
      <c r="V25" s="1575" t="s">
        <v>11</v>
      </c>
      <c r="W25" s="1576">
        <f>J25</f>
        <v>100</v>
      </c>
      <c r="X25" s="1569"/>
      <c r="Y25" s="3433"/>
      <c r="Z25" s="1577" t="str">
        <f>Q25</f>
        <v>楼层-1</v>
      </c>
      <c r="AA25" s="1578">
        <f t="shared" si="3"/>
        <v>1</v>
      </c>
      <c r="AB25" s="1578">
        <f t="shared" si="4"/>
        <v>1</v>
      </c>
      <c r="AC25" s="1578">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33"/>
      <c r="Q26" s="1574" t="str">
        <f t="shared" si="11"/>
        <v>朝向</v>
      </c>
      <c r="R26" s="1575" t="s">
        <v>11</v>
      </c>
      <c r="S26" s="1576">
        <f>F26</f>
        <v>100</v>
      </c>
      <c r="T26" s="1575" t="s">
        <v>11</v>
      </c>
      <c r="U26" s="1576">
        <f>H26</f>
        <v>100</v>
      </c>
      <c r="V26" s="1575" t="s">
        <v>11</v>
      </c>
      <c r="W26" s="1576">
        <f>J26</f>
        <v>100</v>
      </c>
      <c r="X26" s="1569"/>
      <c r="Y26" s="3433"/>
      <c r="Z26" s="1577" t="str">
        <f>Q26</f>
        <v>朝向</v>
      </c>
      <c r="AA26" s="1578">
        <f t="shared" si="3"/>
        <v>1</v>
      </c>
      <c r="AB26" s="1578">
        <f t="shared" si="4"/>
        <v>1</v>
      </c>
      <c r="AC26" s="1578">
        <f t="shared" si="5"/>
        <v>1</v>
      </c>
    </row>
    <row r="27" spans="1:29" s="1220" customFormat="1" ht="15.75" thickBot="1">
      <c r="A27" s="539"/>
      <c r="B27" s="540" t="s">
        <v>727</v>
      </c>
      <c r="C27" s="3162" t="s">
        <v>3217</v>
      </c>
      <c r="D27" s="878">
        <v>100</v>
      </c>
      <c r="E27" s="3165" t="s">
        <v>3218</v>
      </c>
      <c r="F27" s="879">
        <f>SUMIF(90:90,E27,91:91)-SUMIF(90:90,C27,91:91)+100</f>
        <v>96</v>
      </c>
      <c r="G27" s="3166" t="s">
        <v>3219</v>
      </c>
      <c r="H27" s="878">
        <f>SUMIF(90:90,G27,91:91)-SUMIF(90:90,C27,91:91)+100</f>
        <v>96</v>
      </c>
      <c r="I27" s="3165" t="s">
        <v>3218</v>
      </c>
      <c r="J27" s="878">
        <f>SUMIF(90:90,I27,91:91)-SUMIF(90:90,C27,91:91)+100</f>
        <v>96</v>
      </c>
      <c r="K27" s="868"/>
      <c r="L27" s="2141"/>
      <c r="M27" s="2142"/>
      <c r="N27" s="2142"/>
      <c r="O27" s="2143"/>
      <c r="P27" s="3433"/>
      <c r="Q27" s="1151" t="str">
        <f t="shared" si="11"/>
        <v>道路级别</v>
      </c>
      <c r="R27" s="1570" t="s">
        <v>11</v>
      </c>
      <c r="S27" s="1571">
        <f>F27</f>
        <v>96</v>
      </c>
      <c r="T27" s="1570" t="s">
        <v>11</v>
      </c>
      <c r="U27" s="1571">
        <f>H27</f>
        <v>96</v>
      </c>
      <c r="V27" s="1570" t="s">
        <v>11</v>
      </c>
      <c r="W27" s="1571">
        <f>J27</f>
        <v>96</v>
      </c>
      <c r="X27" s="1572"/>
      <c r="Y27" s="3433"/>
      <c r="Z27" s="1150" t="str">
        <f>Q27</f>
        <v>道路级别</v>
      </c>
      <c r="AA27" s="1578">
        <f>D27/F27</f>
        <v>1.0416666666666667</v>
      </c>
      <c r="AB27" s="1578">
        <f>D27/H27</f>
        <v>1.0416666666666667</v>
      </c>
      <c r="AC27" s="1578">
        <f>D27/J27</f>
        <v>1.0416666666666667</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33"/>
      <c r="Q28" s="1574">
        <f t="shared" si="11"/>
        <v>0</v>
      </c>
      <c r="R28" s="1575" t="s">
        <v>11</v>
      </c>
      <c r="S28" s="1576">
        <f t="shared" ref="S28:S46" si="12">F28</f>
        <v>100</v>
      </c>
      <c r="T28" s="1575" t="s">
        <v>11</v>
      </c>
      <c r="U28" s="1576">
        <f t="shared" ref="U28:U46" si="13">H28</f>
        <v>100</v>
      </c>
      <c r="V28" s="1575" t="s">
        <v>11</v>
      </c>
      <c r="W28" s="1576">
        <f t="shared" ref="W28:W46" si="14">J28</f>
        <v>100</v>
      </c>
      <c r="X28" s="1569"/>
      <c r="Y28" s="3433"/>
      <c r="Z28" s="1577">
        <f t="shared" ref="Z28:Z46" si="15">Q28</f>
        <v>0</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33"/>
      <c r="Q29" s="1574">
        <f t="shared" si="11"/>
        <v>0</v>
      </c>
      <c r="R29" s="1575" t="s">
        <v>11</v>
      </c>
      <c r="S29" s="1576">
        <f t="shared" si="12"/>
        <v>100</v>
      </c>
      <c r="T29" s="1575" t="s">
        <v>11</v>
      </c>
      <c r="U29" s="1576">
        <f t="shared" si="13"/>
        <v>100</v>
      </c>
      <c r="V29" s="1575" t="s">
        <v>11</v>
      </c>
      <c r="W29" s="1576">
        <f t="shared" si="14"/>
        <v>100</v>
      </c>
      <c r="X29" s="1569"/>
      <c r="Y29" s="3433"/>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33"/>
      <c r="Q30" s="1574">
        <f t="shared" si="11"/>
        <v>0</v>
      </c>
      <c r="R30" s="1575" t="s">
        <v>11</v>
      </c>
      <c r="S30" s="1576">
        <f t="shared" si="12"/>
        <v>100</v>
      </c>
      <c r="T30" s="1575" t="s">
        <v>11</v>
      </c>
      <c r="U30" s="1576">
        <f t="shared" si="13"/>
        <v>100</v>
      </c>
      <c r="V30" s="1575" t="s">
        <v>11</v>
      </c>
      <c r="W30" s="1576">
        <f t="shared" si="14"/>
        <v>100</v>
      </c>
      <c r="X30" s="1569"/>
      <c r="Y30" s="3433"/>
      <c r="Z30" s="1577">
        <f t="shared" si="15"/>
        <v>0</v>
      </c>
      <c r="AA30" s="1578">
        <f t="shared" si="3"/>
        <v>1</v>
      </c>
      <c r="AB30" s="1578">
        <f t="shared" si="4"/>
        <v>1</v>
      </c>
      <c r="AC30" s="1578">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33"/>
      <c r="Q31" s="1574">
        <f t="shared" si="11"/>
        <v>0</v>
      </c>
      <c r="R31" s="1575" t="s">
        <v>11</v>
      </c>
      <c r="S31" s="1576">
        <f t="shared" si="12"/>
        <v>100</v>
      </c>
      <c r="T31" s="1575" t="s">
        <v>11</v>
      </c>
      <c r="U31" s="1576">
        <f t="shared" si="13"/>
        <v>100</v>
      </c>
      <c r="V31" s="1575" t="s">
        <v>11</v>
      </c>
      <c r="W31" s="1576">
        <f t="shared" si="14"/>
        <v>100</v>
      </c>
      <c r="X31" s="1569"/>
      <c r="Y31" s="3433"/>
      <c r="Z31" s="1577">
        <f t="shared" si="15"/>
        <v>0</v>
      </c>
      <c r="AA31" s="1578">
        <f t="shared" si="3"/>
        <v>1</v>
      </c>
      <c r="AB31" s="1578">
        <f t="shared" si="4"/>
        <v>1</v>
      </c>
      <c r="AC31" s="1578">
        <f t="shared" si="5"/>
        <v>1</v>
      </c>
    </row>
    <row r="32" spans="1:29" ht="15">
      <c r="A32" s="2942" t="s">
        <v>2770</v>
      </c>
      <c r="B32" s="172" t="s">
        <v>728</v>
      </c>
      <c r="C32" s="881" t="s">
        <v>3044</v>
      </c>
      <c r="D32" s="600">
        <v>100</v>
      </c>
      <c r="E32" s="882" t="s">
        <v>3044</v>
      </c>
      <c r="F32" s="578">
        <f>SUMIF(100:100,E32,101:101)-SUMIF(100:100,C32,101:101)+100</f>
        <v>100</v>
      </c>
      <c r="G32" s="881" t="s">
        <v>3042</v>
      </c>
      <c r="H32" s="600">
        <f>SUMIF(100:100,G32,101:101)-SUMIF(100:100,C32,101:101)+100</f>
        <v>105</v>
      </c>
      <c r="I32" s="882" t="s">
        <v>3044</v>
      </c>
      <c r="J32" s="543">
        <f>SUMIF(100:100,I32,101:101)-SUMIF(100:100,C32,101:101)+100</f>
        <v>100</v>
      </c>
      <c r="K32" s="867">
        <v>5</v>
      </c>
      <c r="L32" s="2148"/>
      <c r="M32" s="2140"/>
      <c r="N32" s="2140"/>
      <c r="O32" s="2147"/>
      <c r="P32" s="3434" t="s">
        <v>551</v>
      </c>
      <c r="Q32" s="1574" t="str">
        <f t="shared" si="11"/>
        <v>建筑类型</v>
      </c>
      <c r="R32" s="1575" t="s">
        <v>11</v>
      </c>
      <c r="S32" s="1576">
        <f t="shared" si="12"/>
        <v>100</v>
      </c>
      <c r="T32" s="1575" t="s">
        <v>11</v>
      </c>
      <c r="U32" s="1576">
        <f t="shared" si="13"/>
        <v>105</v>
      </c>
      <c r="V32" s="1575" t="s">
        <v>11</v>
      </c>
      <c r="W32" s="1576">
        <f t="shared" si="14"/>
        <v>100</v>
      </c>
      <c r="X32" s="1569"/>
      <c r="Y32" s="3435" t="s">
        <v>551</v>
      </c>
      <c r="Z32" s="1577" t="str">
        <f t="shared" si="15"/>
        <v>建筑类型</v>
      </c>
      <c r="AA32" s="1578">
        <f t="shared" si="3"/>
        <v>1</v>
      </c>
      <c r="AB32" s="1578">
        <f t="shared" si="4"/>
        <v>0.95238095238095233</v>
      </c>
      <c r="AC32" s="1578">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35"/>
      <c r="Q33" s="1607" t="str">
        <f t="shared" si="11"/>
        <v>项目建筑规模</v>
      </c>
      <c r="R33" s="1579" t="s">
        <v>11</v>
      </c>
      <c r="S33" s="1580">
        <f t="shared" si="12"/>
        <v>100</v>
      </c>
      <c r="T33" s="1579" t="s">
        <v>11</v>
      </c>
      <c r="U33" s="1580">
        <f t="shared" si="13"/>
        <v>102</v>
      </c>
      <c r="V33" s="1579" t="s">
        <v>11</v>
      </c>
      <c r="W33" s="1580">
        <f t="shared" si="14"/>
        <v>102</v>
      </c>
      <c r="X33" s="1581"/>
      <c r="Y33" s="3435"/>
      <c r="Z33" s="1582" t="str">
        <f t="shared" si="15"/>
        <v>项目建筑规模</v>
      </c>
      <c r="AA33" s="1578">
        <f t="shared" si="3"/>
        <v>1</v>
      </c>
      <c r="AB33" s="1578">
        <f t="shared" si="4"/>
        <v>0.98039215686274506</v>
      </c>
      <c r="AC33" s="1578">
        <f t="shared" si="5"/>
        <v>0.98039215686274506</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5" t="s">
        <v>3047</v>
      </c>
      <c r="J34" s="543">
        <f>SUMIF(105:105,I34,106:106)-SUMIF(105:105,C34,106:106)+100</f>
        <v>100</v>
      </c>
      <c r="K34" s="867">
        <v>2</v>
      </c>
      <c r="L34" s="2148"/>
      <c r="M34" s="2140"/>
      <c r="N34" s="2140"/>
      <c r="O34" s="2147"/>
      <c r="P34" s="3435"/>
      <c r="Q34" s="1574" t="str">
        <f t="shared" si="11"/>
        <v>建筑结构</v>
      </c>
      <c r="R34" s="1575" t="s">
        <v>11</v>
      </c>
      <c r="S34" s="1576">
        <f t="shared" si="12"/>
        <v>100</v>
      </c>
      <c r="T34" s="1575" t="s">
        <v>11</v>
      </c>
      <c r="U34" s="1576">
        <f t="shared" si="13"/>
        <v>100</v>
      </c>
      <c r="V34" s="1575" t="s">
        <v>11</v>
      </c>
      <c r="W34" s="1576">
        <f t="shared" si="14"/>
        <v>100</v>
      </c>
      <c r="X34" s="1569"/>
      <c r="Y34" s="3435"/>
      <c r="Z34" s="1577" t="str">
        <f t="shared" si="15"/>
        <v>建筑结构</v>
      </c>
      <c r="AA34" s="1578">
        <f t="shared" si="3"/>
        <v>1</v>
      </c>
      <c r="AB34" s="1578">
        <f t="shared" si="4"/>
        <v>1</v>
      </c>
      <c r="AC34" s="1578">
        <f t="shared" si="5"/>
        <v>1</v>
      </c>
    </row>
    <row r="35" spans="1:29" ht="15">
      <c r="A35" s="597"/>
      <c r="B35" s="530" t="s">
        <v>731</v>
      </c>
      <c r="C35" s="602" t="s">
        <v>3051</v>
      </c>
      <c r="D35" s="543">
        <v>100</v>
      </c>
      <c r="E35" s="877" t="s">
        <v>3051</v>
      </c>
      <c r="F35" s="578">
        <f>SUMIF(107:107,E35,108:108)-SUMIF(107:107,C35,108:108)+100</f>
        <v>100</v>
      </c>
      <c r="G35" s="602" t="s">
        <v>3051</v>
      </c>
      <c r="H35" s="543">
        <f>SUMIF(107:107,G35,108:108)-SUMIF(107:107,C35,108:108)+100</f>
        <v>100</v>
      </c>
      <c r="I35" s="877" t="s">
        <v>3051</v>
      </c>
      <c r="J35" s="543">
        <f>SUMIF(107:107,I35,108:108)-SUMIF(107:107,C35,108:108)+100</f>
        <v>100</v>
      </c>
      <c r="K35" s="867">
        <v>2</v>
      </c>
      <c r="L35" s="2148"/>
      <c r="M35" s="2140"/>
      <c r="N35" s="2140"/>
      <c r="O35" s="2147"/>
      <c r="P35" s="3435"/>
      <c r="Q35" s="1574" t="str">
        <f t="shared" si="11"/>
        <v>建筑品质</v>
      </c>
      <c r="R35" s="1575" t="s">
        <v>11</v>
      </c>
      <c r="S35" s="1576">
        <f t="shared" si="12"/>
        <v>100</v>
      </c>
      <c r="T35" s="1575" t="s">
        <v>11</v>
      </c>
      <c r="U35" s="1576">
        <f t="shared" si="13"/>
        <v>100</v>
      </c>
      <c r="V35" s="1575" t="s">
        <v>11</v>
      </c>
      <c r="W35" s="1576">
        <f t="shared" si="14"/>
        <v>100</v>
      </c>
      <c r="X35" s="1569"/>
      <c r="Y35" s="3435"/>
      <c r="Z35" s="1577" t="str">
        <f t="shared" si="15"/>
        <v>建筑品质</v>
      </c>
      <c r="AA35" s="1578">
        <f t="shared" si="3"/>
        <v>1</v>
      </c>
      <c r="AB35" s="1578">
        <f t="shared" si="4"/>
        <v>1</v>
      </c>
      <c r="AC35" s="1578">
        <f t="shared" si="5"/>
        <v>1</v>
      </c>
    </row>
    <row r="36" spans="1:29" ht="15">
      <c r="A36" s="597"/>
      <c r="B36" s="530" t="s">
        <v>732</v>
      </c>
      <c r="C36" s="602" t="s">
        <v>3053</v>
      </c>
      <c r="D36" s="543">
        <v>100</v>
      </c>
      <c r="E36" s="877" t="s">
        <v>3053</v>
      </c>
      <c r="F36" s="578">
        <f>SUMIF(109:109,E36,110:110)-SUMIF(109:109,C36,110:110)+100</f>
        <v>100</v>
      </c>
      <c r="G36" s="602" t="s">
        <v>3053</v>
      </c>
      <c r="H36" s="543">
        <f>SUMIF(109:109,G36,110:110)-SUMIF(109:109,C36,110:110)+100</f>
        <v>100</v>
      </c>
      <c r="I36" s="877" t="s">
        <v>3053</v>
      </c>
      <c r="J36" s="543">
        <f>SUMIF(109:109,I36,110:110)-SUMIF(109:109,C36,110:110)+100</f>
        <v>100</v>
      </c>
      <c r="K36" s="867">
        <v>2</v>
      </c>
      <c r="L36" s="2148"/>
      <c r="M36" s="2140"/>
      <c r="N36" s="2140"/>
      <c r="O36" s="2147"/>
      <c r="P36" s="3435"/>
      <c r="Q36" s="1574" t="str">
        <f t="shared" si="11"/>
        <v>公共部分装修</v>
      </c>
      <c r="R36" s="1575" t="s">
        <v>11</v>
      </c>
      <c r="S36" s="1576">
        <f t="shared" si="12"/>
        <v>100</v>
      </c>
      <c r="T36" s="1575" t="s">
        <v>11</v>
      </c>
      <c r="U36" s="1576">
        <f t="shared" si="13"/>
        <v>100</v>
      </c>
      <c r="V36" s="1575" t="s">
        <v>11</v>
      </c>
      <c r="W36" s="1576">
        <f t="shared" si="14"/>
        <v>100</v>
      </c>
      <c r="X36" s="1569"/>
      <c r="Y36" s="3435"/>
      <c r="Z36" s="1577" t="str">
        <f t="shared" si="15"/>
        <v>公共部分装修</v>
      </c>
      <c r="AA36" s="1578">
        <f t="shared" si="3"/>
        <v>1</v>
      </c>
      <c r="AB36" s="1578">
        <f t="shared" si="4"/>
        <v>1</v>
      </c>
      <c r="AC36" s="1578">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35"/>
      <c r="Q37" s="1151" t="str">
        <f t="shared" si="11"/>
        <v>成新度</v>
      </c>
      <c r="R37" s="1570" t="s">
        <v>11</v>
      </c>
      <c r="S37" s="1571">
        <f t="shared" si="12"/>
        <v>100</v>
      </c>
      <c r="T37" s="1570" t="s">
        <v>11</v>
      </c>
      <c r="U37" s="1571">
        <f t="shared" si="13"/>
        <v>100</v>
      </c>
      <c r="V37" s="1570" t="s">
        <v>11</v>
      </c>
      <c r="W37" s="1571">
        <f t="shared" si="14"/>
        <v>100</v>
      </c>
      <c r="X37" s="1572"/>
      <c r="Y37" s="3435"/>
      <c r="Z37" s="1150" t="str">
        <f t="shared" si="15"/>
        <v>成新度</v>
      </c>
      <c r="AA37" s="1573">
        <f t="shared" si="3"/>
        <v>1</v>
      </c>
      <c r="AB37" s="1573">
        <f t="shared" si="4"/>
        <v>1</v>
      </c>
      <c r="AC37" s="1573">
        <f t="shared" si="5"/>
        <v>1</v>
      </c>
    </row>
    <row r="38" spans="1:29" ht="15">
      <c r="A38" s="597"/>
      <c r="B38" s="530" t="s">
        <v>734</v>
      </c>
      <c r="C38" s="602" t="s">
        <v>3059</v>
      </c>
      <c r="D38" s="543">
        <v>100</v>
      </c>
      <c r="E38" s="877" t="s">
        <v>3059</v>
      </c>
      <c r="F38" s="578">
        <f>SUMIF(114:114,E38,115:115)-SUMIF(114:114,C38,115:115)+100</f>
        <v>100</v>
      </c>
      <c r="G38" s="602" t="s">
        <v>3059</v>
      </c>
      <c r="H38" s="543">
        <f>SUMIF(114:114,G38,115:115)-SUMIF(114:114,C38,115:115)+100</f>
        <v>100</v>
      </c>
      <c r="I38" s="877" t="s">
        <v>3059</v>
      </c>
      <c r="J38" s="543">
        <f>SUMIF(114:114,I38,115:115)-SUMIF(114:114,C38,115:115)+100</f>
        <v>100</v>
      </c>
      <c r="K38" s="867">
        <v>2</v>
      </c>
      <c r="L38" s="2148"/>
      <c r="M38" s="2140"/>
      <c r="N38" s="2140"/>
      <c r="O38" s="2147"/>
      <c r="P38" s="3435" t="s">
        <v>551</v>
      </c>
      <c r="Q38" s="1574" t="str">
        <f t="shared" si="11"/>
        <v>物业管理</v>
      </c>
      <c r="R38" s="1575" t="s">
        <v>11</v>
      </c>
      <c r="S38" s="1576">
        <f t="shared" si="12"/>
        <v>100</v>
      </c>
      <c r="T38" s="1575" t="s">
        <v>11</v>
      </c>
      <c r="U38" s="1576">
        <f t="shared" si="13"/>
        <v>100</v>
      </c>
      <c r="V38" s="1575" t="s">
        <v>11</v>
      </c>
      <c r="W38" s="1576">
        <f t="shared" si="14"/>
        <v>100</v>
      </c>
      <c r="X38" s="1569"/>
      <c r="Y38" s="3435" t="s">
        <v>551</v>
      </c>
      <c r="Z38" s="1577" t="str">
        <f t="shared" si="15"/>
        <v>物业管理</v>
      </c>
      <c r="AA38" s="1578">
        <f t="shared" si="3"/>
        <v>1</v>
      </c>
      <c r="AB38" s="1578">
        <f t="shared" si="4"/>
        <v>1</v>
      </c>
      <c r="AC38" s="1578">
        <f t="shared" si="5"/>
        <v>1</v>
      </c>
    </row>
    <row r="39" spans="1:29" ht="15">
      <c r="A39" s="597"/>
      <c r="B39" s="1898" t="s">
        <v>2576</v>
      </c>
      <c r="C39" s="602" t="s">
        <v>3063</v>
      </c>
      <c r="D39" s="543">
        <v>100</v>
      </c>
      <c r="E39" s="877" t="s">
        <v>3063</v>
      </c>
      <c r="F39" s="578">
        <f>SUMIF(116:116,E39,117:117)-SUMIF(116:116,C39,117:117)+100</f>
        <v>100</v>
      </c>
      <c r="G39" s="602" t="s">
        <v>3063</v>
      </c>
      <c r="H39" s="543">
        <f>SUMIF(116:116,G39,117:117)-SUMIF(116:116,C39,117:117)+100</f>
        <v>100</v>
      </c>
      <c r="I39" s="877" t="s">
        <v>3063</v>
      </c>
      <c r="J39" s="543">
        <f>SUMIF(116:116,I39,117:117)-SUMIF(116:116,C39,117:117)+100</f>
        <v>100</v>
      </c>
      <c r="K39" s="867">
        <v>2</v>
      </c>
      <c r="L39" s="2148"/>
      <c r="M39" s="2140"/>
      <c r="N39" s="2140"/>
      <c r="O39" s="2147"/>
      <c r="P39" s="3435"/>
      <c r="Q39" s="1574" t="str">
        <f t="shared" si="11"/>
        <v>市政基础设施</v>
      </c>
      <c r="R39" s="1575" t="s">
        <v>11</v>
      </c>
      <c r="S39" s="1576">
        <f t="shared" si="12"/>
        <v>100</v>
      </c>
      <c r="T39" s="1575" t="s">
        <v>11</v>
      </c>
      <c r="U39" s="1576">
        <f t="shared" si="13"/>
        <v>100</v>
      </c>
      <c r="V39" s="1575" t="s">
        <v>11</v>
      </c>
      <c r="W39" s="1576">
        <f t="shared" si="14"/>
        <v>100</v>
      </c>
      <c r="X39" s="1569"/>
      <c r="Y39" s="3435"/>
      <c r="Z39" s="1577" t="str">
        <f t="shared" si="15"/>
        <v>市政基础设施</v>
      </c>
      <c r="AA39" s="1578">
        <f t="shared" si="3"/>
        <v>1</v>
      </c>
      <c r="AB39" s="1578">
        <f t="shared" si="4"/>
        <v>1</v>
      </c>
      <c r="AC39" s="1578">
        <f t="shared" si="5"/>
        <v>1</v>
      </c>
    </row>
    <row r="40" spans="1:29" ht="15" hidden="1">
      <c r="A40" s="597"/>
      <c r="B40" s="530" t="s">
        <v>735</v>
      </c>
      <c r="C40" s="602" t="s">
        <v>3069</v>
      </c>
      <c r="D40" s="543">
        <v>100</v>
      </c>
      <c r="E40" s="877" t="s">
        <v>3069</v>
      </c>
      <c r="F40" s="578">
        <f>SUMIF(118:118,E40,119:119)-SUMIF(118:118,C40,119:119)+100</f>
        <v>100</v>
      </c>
      <c r="G40" s="602" t="s">
        <v>3069</v>
      </c>
      <c r="H40" s="543">
        <f>SUMIF(118:118,G40,119:119)-SUMIF(118:118,C40,119:119)+100</f>
        <v>100</v>
      </c>
      <c r="I40" s="877" t="s">
        <v>3069</v>
      </c>
      <c r="J40" s="543">
        <f>SUMIF(118:118,I40,119:119)-SUMIF(118:118,C40,119:119)+100</f>
        <v>100</v>
      </c>
      <c r="K40" s="867">
        <v>0</v>
      </c>
      <c r="L40" s="2148"/>
      <c r="M40" s="2140"/>
      <c r="N40" s="2140"/>
      <c r="O40" s="2147"/>
      <c r="P40" s="3435"/>
      <c r="Q40" s="1574" t="str">
        <f t="shared" si="11"/>
        <v>房型</v>
      </c>
      <c r="R40" s="1575" t="s">
        <v>11</v>
      </c>
      <c r="S40" s="1576">
        <f t="shared" si="12"/>
        <v>100</v>
      </c>
      <c r="T40" s="1575" t="s">
        <v>11</v>
      </c>
      <c r="U40" s="1576">
        <f t="shared" si="13"/>
        <v>100</v>
      </c>
      <c r="V40" s="1575" t="s">
        <v>11</v>
      </c>
      <c r="W40" s="1576">
        <f t="shared" si="14"/>
        <v>100</v>
      </c>
      <c r="X40" s="1569"/>
      <c r="Y40" s="3435"/>
      <c r="Z40" s="1577" t="str">
        <f t="shared" si="15"/>
        <v>房型</v>
      </c>
      <c r="AA40" s="1578">
        <f t="shared" si="3"/>
        <v>1</v>
      </c>
      <c r="AB40" s="1578">
        <f t="shared" si="4"/>
        <v>1</v>
      </c>
      <c r="AC40" s="1578">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35"/>
      <c r="Q41" s="1607" t="str">
        <f t="shared" si="11"/>
        <v>单套/主力户型建筑面积</v>
      </c>
      <c r="R41" s="1579" t="s">
        <v>11</v>
      </c>
      <c r="S41" s="1580">
        <f t="shared" si="12"/>
        <v>100</v>
      </c>
      <c r="T41" s="1579" t="s">
        <v>11</v>
      </c>
      <c r="U41" s="1580">
        <f t="shared" si="13"/>
        <v>100</v>
      </c>
      <c r="V41" s="1579" t="s">
        <v>11</v>
      </c>
      <c r="W41" s="1580">
        <f t="shared" si="14"/>
        <v>100</v>
      </c>
      <c r="X41" s="1581"/>
      <c r="Y41" s="3435"/>
      <c r="Z41" s="1582" t="str">
        <f t="shared" si="15"/>
        <v>单套/主力户型建筑面积</v>
      </c>
      <c r="AA41" s="1578">
        <f t="shared" si="3"/>
        <v>1</v>
      </c>
      <c r="AB41" s="1578">
        <f t="shared" si="4"/>
        <v>1</v>
      </c>
      <c r="AC41" s="1578">
        <f t="shared" si="5"/>
        <v>1</v>
      </c>
    </row>
    <row r="42" spans="1:29" ht="15.75" thickBot="1">
      <c r="A42" s="597"/>
      <c r="B42" s="530" t="s">
        <v>737</v>
      </c>
      <c r="C42" s="602" t="s">
        <v>3057</v>
      </c>
      <c r="D42" s="543">
        <v>100</v>
      </c>
      <c r="E42" s="877" t="s">
        <v>3057</v>
      </c>
      <c r="F42" s="578">
        <f>SUMIF(122:122,E42,123:123)-SUMIF(122:122,C42,123:123)+100</f>
        <v>100</v>
      </c>
      <c r="G42" s="602" t="s">
        <v>3057</v>
      </c>
      <c r="H42" s="543">
        <f>SUMIF(122:122,G42,123:123)-SUMIF(122:122,C42,123:123)+100</f>
        <v>100</v>
      </c>
      <c r="I42" s="877" t="s">
        <v>3057</v>
      </c>
      <c r="J42" s="543">
        <f>SUMIF(122:122,I42,123:123)-SUMIF(122:122,C42,123:123)+100</f>
        <v>100</v>
      </c>
      <c r="K42" s="867">
        <v>2</v>
      </c>
      <c r="L42" s="2148"/>
      <c r="M42" s="2140"/>
      <c r="N42" s="2140"/>
      <c r="O42" s="2147"/>
      <c r="P42" s="3435"/>
      <c r="Q42" s="1574" t="str">
        <f t="shared" si="11"/>
        <v>内部装修</v>
      </c>
      <c r="R42" s="1575" t="s">
        <v>11</v>
      </c>
      <c r="S42" s="1576">
        <f t="shared" si="12"/>
        <v>100</v>
      </c>
      <c r="T42" s="1575" t="s">
        <v>11</v>
      </c>
      <c r="U42" s="1576">
        <f t="shared" si="13"/>
        <v>100</v>
      </c>
      <c r="V42" s="1575" t="s">
        <v>11</v>
      </c>
      <c r="W42" s="1576">
        <f t="shared" si="14"/>
        <v>100</v>
      </c>
      <c r="X42" s="1569"/>
      <c r="Y42" s="3435"/>
      <c r="Z42" s="1577" t="str">
        <f t="shared" si="15"/>
        <v>内部装修</v>
      </c>
      <c r="AA42" s="1578">
        <f t="shared" si="3"/>
        <v>1</v>
      </c>
      <c r="AB42" s="1578">
        <f t="shared" si="4"/>
        <v>1</v>
      </c>
      <c r="AC42" s="1578">
        <f t="shared" si="5"/>
        <v>1</v>
      </c>
    </row>
    <row r="43" spans="1:29" ht="27" hidden="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35"/>
      <c r="Q43" s="1574" t="str">
        <f t="shared" si="11"/>
        <v>内部装修维护情况</v>
      </c>
      <c r="R43" s="1575" t="s">
        <v>11</v>
      </c>
      <c r="S43" s="1576">
        <f t="shared" si="12"/>
        <v>100</v>
      </c>
      <c r="T43" s="1575" t="s">
        <v>11</v>
      </c>
      <c r="U43" s="1576">
        <f t="shared" si="13"/>
        <v>100</v>
      </c>
      <c r="V43" s="1575" t="s">
        <v>11</v>
      </c>
      <c r="W43" s="1576">
        <f t="shared" si="14"/>
        <v>100</v>
      </c>
      <c r="X43" s="1569"/>
      <c r="Y43" s="3435"/>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35"/>
      <c r="Q44" s="1151">
        <f t="shared" si="11"/>
        <v>0</v>
      </c>
      <c r="R44" s="1570" t="s">
        <v>11</v>
      </c>
      <c r="S44" s="1571">
        <f t="shared" si="12"/>
        <v>100</v>
      </c>
      <c r="T44" s="1570" t="s">
        <v>11</v>
      </c>
      <c r="U44" s="1571">
        <f t="shared" si="13"/>
        <v>100</v>
      </c>
      <c r="V44" s="1570" t="s">
        <v>11</v>
      </c>
      <c r="W44" s="1571">
        <f t="shared" si="14"/>
        <v>100</v>
      </c>
      <c r="X44" s="1572"/>
      <c r="Y44" s="3435"/>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35"/>
      <c r="Q45" s="1574">
        <f t="shared" si="11"/>
        <v>0</v>
      </c>
      <c r="R45" s="1575" t="s">
        <v>11</v>
      </c>
      <c r="S45" s="1576">
        <f t="shared" si="12"/>
        <v>100</v>
      </c>
      <c r="T45" s="1575" t="s">
        <v>11</v>
      </c>
      <c r="U45" s="1576">
        <f t="shared" si="13"/>
        <v>100</v>
      </c>
      <c r="V45" s="1575" t="s">
        <v>11</v>
      </c>
      <c r="W45" s="1576">
        <f t="shared" si="14"/>
        <v>100</v>
      </c>
      <c r="X45" s="1569"/>
      <c r="Y45" s="3435"/>
      <c r="Z45" s="1577">
        <f t="shared" si="15"/>
        <v>0</v>
      </c>
      <c r="AA45" s="1578">
        <f t="shared" si="3"/>
        <v>1</v>
      </c>
      <c r="AB45" s="1578">
        <f t="shared" si="4"/>
        <v>1</v>
      </c>
      <c r="AC45" s="1578">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1574">
        <f t="shared" si="11"/>
        <v>0</v>
      </c>
      <c r="R46" s="1575" t="s">
        <v>10</v>
      </c>
      <c r="S46" s="1576">
        <f t="shared" si="12"/>
        <v>100</v>
      </c>
      <c r="T46" s="1575" t="s">
        <v>10</v>
      </c>
      <c r="U46" s="1576">
        <f t="shared" si="13"/>
        <v>100</v>
      </c>
      <c r="V46" s="1575" t="s">
        <v>10</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9</v>
      </c>
      <c r="D47" s="2659"/>
      <c r="E47" s="2660">
        <v>17000</v>
      </c>
      <c r="F47" s="2661"/>
      <c r="G47" s="2662">
        <v>18000</v>
      </c>
      <c r="H47" s="2663"/>
      <c r="I47" s="2660">
        <v>17000</v>
      </c>
      <c r="J47" s="2663"/>
      <c r="K47" s="1608"/>
      <c r="L47" s="2150"/>
      <c r="M47" s="2151"/>
      <c r="N47" s="2140"/>
      <c r="O47" s="2151"/>
      <c r="P47" s="3430" t="str">
        <f>A47</f>
        <v>成交单价（元/平方米）</v>
      </c>
      <c r="Q47" s="3430"/>
      <c r="R47" s="3528">
        <f>E47</f>
        <v>17000</v>
      </c>
      <c r="S47" s="3528"/>
      <c r="T47" s="3528">
        <f>G47</f>
        <v>18000</v>
      </c>
      <c r="U47" s="3528"/>
      <c r="V47" s="3528">
        <f>I47</f>
        <v>17000</v>
      </c>
      <c r="W47" s="3528"/>
      <c r="X47" s="1561"/>
      <c r="Y47" s="1583"/>
      <c r="Z47" s="1561"/>
      <c r="AA47" s="1561"/>
      <c r="AB47" s="1561"/>
      <c r="AC47" s="1561"/>
    </row>
    <row r="48" spans="1:29" ht="15.75" thickBot="1">
      <c r="A48" s="618" t="s">
        <v>2775</v>
      </c>
      <c r="B48" s="891"/>
      <c r="C48" s="2664">
        <f>R49</f>
        <v>18125</v>
      </c>
      <c r="D48" s="2665"/>
      <c r="E48" s="2666">
        <f>R48</f>
        <v>18070</v>
      </c>
      <c r="F48" s="2666"/>
      <c r="G48" s="2664">
        <f>T48</f>
        <v>18229</v>
      </c>
      <c r="H48" s="2665"/>
      <c r="I48" s="2666">
        <f>V48</f>
        <v>18077</v>
      </c>
      <c r="J48" s="2665"/>
      <c r="K48" s="1609"/>
      <c r="L48" s="2150"/>
      <c r="M48" s="2151"/>
      <c r="N48" s="2151"/>
      <c r="O48" s="2151"/>
      <c r="P48" s="3430" t="str">
        <f>A48</f>
        <v>比较价格（元/平方米）</v>
      </c>
      <c r="Q48" s="3430"/>
      <c r="R48" s="3528">
        <f>IF(F1="售价",ROUND(PRODUCT(R47,AA7:AA46),0),ROUND(PRODUCT(R47,AA7:AA46),1))</f>
        <v>18070</v>
      </c>
      <c r="S48" s="3528"/>
      <c r="T48" s="3528">
        <f>IF(F1="售价",ROUND(PRODUCT(T47,AB7:AB46),0),ROUND(PRODUCT(T47,AB7:AB46),1))</f>
        <v>18229</v>
      </c>
      <c r="U48" s="3528"/>
      <c r="V48" s="3528">
        <f>IF(F1="售价",ROUND(PRODUCT(V47,AC7:AC46),0),ROUND(PRODUCT(V47,AC7:AC46),1))</f>
        <v>18077</v>
      </c>
      <c r="W48" s="3528"/>
      <c r="X48" s="1561"/>
      <c r="Y48" s="1561"/>
      <c r="Z48" s="1561"/>
      <c r="AA48" s="1561"/>
      <c r="AB48" s="1561"/>
      <c r="AC48" s="1561"/>
    </row>
    <row r="49" spans="1:29" ht="15.75" thickBot="1">
      <c r="A49" s="624" t="s">
        <v>2941</v>
      </c>
      <c r="B49" s="625"/>
      <c r="C49" s="2667">
        <f>R49</f>
        <v>18125</v>
      </c>
      <c r="D49" s="2667"/>
      <c r="E49" s="2667"/>
      <c r="F49" s="2667"/>
      <c r="G49" s="2667"/>
      <c r="H49" s="2667"/>
      <c r="I49" s="2667"/>
      <c r="J49" s="2667"/>
      <c r="K49" s="1610"/>
      <c r="L49" s="2150"/>
      <c r="M49" s="2151"/>
      <c r="N49" s="2151"/>
      <c r="O49" s="2151"/>
      <c r="P49" s="3452" t="str">
        <f>A49</f>
        <v>估价对象XX用房的比较价格（楼面单价，元/平方米）</v>
      </c>
      <c r="Q49" s="3453"/>
      <c r="R49" s="3527">
        <f>IF(F1="售价",ROUND(AVERAGE(R48:V48),0),ROUND(AVERAGE(R48:V48),1))</f>
        <v>18125</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6.2941176470588278E-2</v>
      </c>
      <c r="F52" s="630" t="str">
        <f>IF(OR(E52&gt;=0.3,E52&lt;=-0.3),"超过30%","")</f>
        <v/>
      </c>
      <c r="G52" s="629">
        <f>IF(G47&lt;G48,G48/G47-1,G47/G48-1)</f>
        <v>1.2722222222222301E-2</v>
      </c>
      <c r="H52" s="630" t="str">
        <f>IF(OR(G52&gt;=0.3,G52&lt;=-0.3),"超过30%","")</f>
        <v/>
      </c>
      <c r="I52" s="629">
        <f>IF(I47&lt;I48,I48/I47-1,I47/I48-1)</f>
        <v>6.3352941176470612E-2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8.7991145545103233E-3</v>
      </c>
      <c r="F53" s="630" t="str">
        <f>IF(OR(E53&gt;=0.2,E53&lt;=-0.2),"超过20%","")</f>
        <v/>
      </c>
      <c r="G53" s="629">
        <f>IF(G48&lt;I48,I48/G48-1,G48/I48-1)</f>
        <v>8.4084748575536938E-3</v>
      </c>
      <c r="H53" s="630" t="str">
        <f>IF(OR(G53&gt;=0.2,G53&lt;=-0.2),"超过20%","")</f>
        <v/>
      </c>
      <c r="I53" s="629">
        <f>IF(I48&lt;E48,E48/I48-1,I48/E48-1)</f>
        <v>3.873824017708305E-4</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5.8823529411764719E-2</v>
      </c>
      <c r="F54" s="630" t="str">
        <f>IF(OR(E54&gt;=0.3,E54&lt;=-0.3),"超过30%","")</f>
        <v/>
      </c>
      <c r="G54" s="629">
        <f>IF(G47&lt;I47,I47/G47-1,G47/I47-1)</f>
        <v>5.8823529411764719E-2</v>
      </c>
      <c r="H54" s="630" t="str">
        <f>IF(OR(G54&gt;=0.3,G54&lt;=-0.3),"超过30%","")</f>
        <v/>
      </c>
      <c r="I54" s="629">
        <f>IF(I47&lt;E47,E47/I47-1,I47/E47-1)</f>
        <v>0</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3035</v>
      </c>
      <c r="D90" s="3146" t="s">
        <v>3036</v>
      </c>
      <c r="E90" s="3146" t="s">
        <v>3037</v>
      </c>
      <c r="F90" s="3146" t="s">
        <v>3038</v>
      </c>
      <c r="G90" s="3146" t="s">
        <v>3039</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98</v>
      </c>
      <c r="E91" s="695">
        <v>96</v>
      </c>
      <c r="F91" s="695">
        <v>94</v>
      </c>
      <c r="G91" s="695">
        <v>92</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3040</v>
      </c>
      <c r="D100" s="3145" t="s">
        <v>3041</v>
      </c>
      <c r="E100" s="3145" t="s">
        <v>3043</v>
      </c>
      <c r="F100" s="3145" t="s">
        <v>3045</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3046</v>
      </c>
      <c r="D105" s="3146" t="s">
        <v>3048</v>
      </c>
      <c r="E105" s="3147" t="s">
        <v>3049</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3050</v>
      </c>
      <c r="D107" s="3147" t="s">
        <v>3052</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3054</v>
      </c>
      <c r="D109" s="3146" t="s">
        <v>3055</v>
      </c>
      <c r="E109" s="3146" t="s">
        <v>3056</v>
      </c>
      <c r="F109" s="3147" t="s">
        <v>3058</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3060</v>
      </c>
      <c r="D114" s="3146" t="s">
        <v>3061</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3062</v>
      </c>
      <c r="D116" s="3146" t="s">
        <v>3064</v>
      </c>
      <c r="E116" s="3146" t="s">
        <v>3065</v>
      </c>
      <c r="F116" s="3146" t="s">
        <v>3066</v>
      </c>
      <c r="G116" s="3146" t="s">
        <v>3067</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3068</v>
      </c>
      <c r="D118" s="3147" t="s">
        <v>3070</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2275</v>
      </c>
      <c r="H138" s="1931" t="s">
        <v>2276</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2280</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3201</v>
      </c>
      <c r="E1" s="2657"/>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10384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18291</v>
      </c>
      <c r="C3" s="855" t="s">
        <v>725</v>
      </c>
      <c r="D3" s="854">
        <f>SUMIF('数据-汇总表'!$C19:$C33,D1,'数据-汇总表'!$E19:$E33)</f>
        <v>5677.36</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36" t="s">
        <v>523</v>
      </c>
      <c r="D4" s="3437"/>
      <c r="E4" s="3461" t="s">
        <v>524</v>
      </c>
      <c r="F4" s="3462"/>
      <c r="G4" s="3436" t="s">
        <v>525</v>
      </c>
      <c r="H4" s="3437"/>
      <c r="I4" s="3436" t="s">
        <v>526</v>
      </c>
      <c r="J4" s="3437"/>
      <c r="K4" s="856" t="s">
        <v>527</v>
      </c>
      <c r="L4" s="2139"/>
      <c r="M4" s="2140"/>
      <c r="N4" s="2140"/>
      <c r="O4" s="2140"/>
      <c r="P4" s="3438" t="s">
        <v>528</v>
      </c>
      <c r="Q4" s="3439"/>
      <c r="R4" s="3424" t="s">
        <v>524</v>
      </c>
      <c r="S4" s="3425"/>
      <c r="T4" s="3424" t="s">
        <v>525</v>
      </c>
      <c r="U4" s="3425"/>
      <c r="V4" s="3444" t="s">
        <v>526</v>
      </c>
      <c r="W4" s="3444"/>
      <c r="X4" s="3156"/>
      <c r="Y4" s="3424" t="s">
        <v>528</v>
      </c>
      <c r="Z4" s="3425"/>
      <c r="AA4" s="3419" t="s">
        <v>524</v>
      </c>
      <c r="AB4" s="3419" t="s">
        <v>525</v>
      </c>
      <c r="AC4" s="3419" t="s">
        <v>526</v>
      </c>
    </row>
    <row r="5" spans="1:29" ht="15">
      <c r="A5" s="518"/>
      <c r="B5" s="519"/>
      <c r="C5" s="3447" t="s">
        <v>2935</v>
      </c>
      <c r="D5" s="3448"/>
      <c r="E5" s="3526" t="s">
        <v>3073</v>
      </c>
      <c r="F5" s="3464"/>
      <c r="G5" s="3449" t="s">
        <v>3074</v>
      </c>
      <c r="H5" s="3448"/>
      <c r="I5" s="3449" t="s">
        <v>3075</v>
      </c>
      <c r="J5" s="3448"/>
      <c r="K5" s="857"/>
      <c r="L5" s="2139"/>
      <c r="M5" s="2140"/>
      <c r="N5" s="2140"/>
      <c r="O5" s="2140"/>
      <c r="P5" s="3440"/>
      <c r="Q5" s="3441"/>
      <c r="R5" s="3426"/>
      <c r="S5" s="3427"/>
      <c r="T5" s="3426"/>
      <c r="U5" s="3427"/>
      <c r="V5" s="3444"/>
      <c r="W5" s="3444"/>
      <c r="X5" s="3156"/>
      <c r="Y5" s="3426"/>
      <c r="Z5" s="3427"/>
      <c r="AA5" s="3420"/>
      <c r="AB5" s="3420"/>
      <c r="AC5" s="3420"/>
    </row>
    <row r="6" spans="1:29" ht="15.75" thickBot="1">
      <c r="A6" s="520"/>
      <c r="B6" s="521"/>
      <c r="C6" s="3465" t="s">
        <v>2939</v>
      </c>
      <c r="D6" s="3446"/>
      <c r="E6" s="3466" t="s">
        <v>2939</v>
      </c>
      <c r="F6" s="3467"/>
      <c r="G6" s="3465" t="s">
        <v>2939</v>
      </c>
      <c r="H6" s="3446"/>
      <c r="I6" s="3465" t="s">
        <v>2939</v>
      </c>
      <c r="J6" s="3446"/>
      <c r="K6" s="857" t="s">
        <v>529</v>
      </c>
      <c r="L6" s="2139"/>
      <c r="M6" s="2140"/>
      <c r="N6" s="2140"/>
      <c r="O6" s="2140"/>
      <c r="P6" s="3442"/>
      <c r="Q6" s="3443"/>
      <c r="R6" s="3426"/>
      <c r="S6" s="3427"/>
      <c r="T6" s="3428"/>
      <c r="U6" s="3429"/>
      <c r="V6" s="3444"/>
      <c r="W6" s="3444"/>
      <c r="X6" s="3156"/>
      <c r="Y6" s="3428"/>
      <c r="Z6" s="3429"/>
      <c r="AA6" s="3421"/>
      <c r="AB6" s="3421"/>
      <c r="AC6" s="3421"/>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22" t="s">
        <v>531</v>
      </c>
      <c r="Q7" s="3431"/>
      <c r="R7" s="1570" t="s">
        <v>13</v>
      </c>
      <c r="S7" s="1571">
        <f t="shared" ref="S7:S15" si="0">F7</f>
        <v>100</v>
      </c>
      <c r="T7" s="1570" t="s">
        <v>13</v>
      </c>
      <c r="U7" s="1571">
        <f t="shared" ref="U7:U15" si="1">H7</f>
        <v>100</v>
      </c>
      <c r="V7" s="1570" t="s">
        <v>13</v>
      </c>
      <c r="W7" s="1571">
        <f t="shared" ref="W7:W15" si="2">J7</f>
        <v>100</v>
      </c>
      <c r="X7" s="1572"/>
      <c r="Y7" s="3422" t="s">
        <v>531</v>
      </c>
      <c r="Z7" s="3423"/>
      <c r="AA7" s="1573">
        <f>D7/F7</f>
        <v>1</v>
      </c>
      <c r="AB7" s="1573">
        <f>D7/H7</f>
        <v>1</v>
      </c>
      <c r="AC7" s="1573">
        <f>D7/J7</f>
        <v>1</v>
      </c>
    </row>
    <row r="8" spans="1:29" s="1220" customFormat="1" ht="15.75" thickBot="1">
      <c r="A8" s="2948"/>
      <c r="B8" s="2955" t="s">
        <v>532</v>
      </c>
      <c r="C8" s="528" t="s">
        <v>577</v>
      </c>
      <c r="D8" s="523">
        <v>100</v>
      </c>
      <c r="E8" s="859" t="s">
        <v>3071</v>
      </c>
      <c r="F8" s="525">
        <f>SUMIF(61:61,E8,62:62)-SUMIF(61:61,C8,62:62)+100</f>
        <v>100</v>
      </c>
      <c r="G8" s="528" t="s">
        <v>3071</v>
      </c>
      <c r="H8" s="523">
        <f>SUMIF(61:61,G8,62:62)-SUMIF(61:61,C8,62:62)+100</f>
        <v>100</v>
      </c>
      <c r="I8" s="859" t="s">
        <v>3071</v>
      </c>
      <c r="J8" s="523">
        <f>SUMIF(61:61,I8,62:62)-SUMIF(61:61,C8,62:62)+100</f>
        <v>100</v>
      </c>
      <c r="K8" s="858"/>
      <c r="L8" s="2141"/>
      <c r="M8" s="2142"/>
      <c r="N8" s="2142"/>
      <c r="O8" s="2142"/>
      <c r="P8" s="3422" t="s">
        <v>534</v>
      </c>
      <c r="Q8" s="3423"/>
      <c r="R8" s="1570" t="s">
        <v>13</v>
      </c>
      <c r="S8" s="1571">
        <f t="shared" si="0"/>
        <v>100</v>
      </c>
      <c r="T8" s="1570" t="s">
        <v>13</v>
      </c>
      <c r="U8" s="1571">
        <f t="shared" si="1"/>
        <v>100</v>
      </c>
      <c r="V8" s="1570" t="s">
        <v>13</v>
      </c>
      <c r="W8" s="1571">
        <f t="shared" si="2"/>
        <v>100</v>
      </c>
      <c r="X8" s="1572"/>
      <c r="Y8" s="3422" t="s">
        <v>534</v>
      </c>
      <c r="Z8" s="3423"/>
      <c r="AA8" s="1573">
        <f t="shared" ref="AA8:AA46" si="3">D8/F8</f>
        <v>1</v>
      </c>
      <c r="AB8" s="1573">
        <f t="shared" ref="AB8:AB46" si="4">D8/H8</f>
        <v>1</v>
      </c>
      <c r="AC8" s="1573">
        <f t="shared" ref="AC8:AC46" si="5">D8/J8</f>
        <v>1</v>
      </c>
    </row>
    <row r="9" spans="1:29" s="1220" customFormat="1" ht="15">
      <c r="A9" s="2949"/>
      <c r="B9" s="2956" t="s">
        <v>2771</v>
      </c>
      <c r="C9" s="3161" t="s">
        <v>3034</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30" t="s">
        <v>536</v>
      </c>
      <c r="Q9" s="3151" t="str">
        <f t="shared" ref="Q9:Q15" si="6">B9</f>
        <v>用途</v>
      </c>
      <c r="R9" s="1570" t="s">
        <v>8</v>
      </c>
      <c r="S9" s="1571">
        <f t="shared" si="0"/>
        <v>100</v>
      </c>
      <c r="T9" s="1570" t="s">
        <v>8</v>
      </c>
      <c r="U9" s="1571">
        <f t="shared" si="1"/>
        <v>100</v>
      </c>
      <c r="V9" s="1570" t="s">
        <v>8</v>
      </c>
      <c r="W9" s="1571">
        <f t="shared" si="2"/>
        <v>100</v>
      </c>
      <c r="X9" s="1572"/>
      <c r="Y9" s="3388" t="s">
        <v>537</v>
      </c>
      <c r="Z9" s="3149" t="str">
        <f t="shared" ref="Z9:Z15" si="7">Q9</f>
        <v>用途</v>
      </c>
      <c r="AA9" s="1573">
        <f t="shared" si="3"/>
        <v>1</v>
      </c>
      <c r="AB9" s="1573">
        <f t="shared" si="4"/>
        <v>1</v>
      </c>
      <c r="AC9" s="1573">
        <f t="shared" si="5"/>
        <v>1</v>
      </c>
    </row>
    <row r="10" spans="1:29" s="1338" customFormat="1" ht="27">
      <c r="A10" s="2950"/>
      <c r="B10" s="2955" t="s">
        <v>2772</v>
      </c>
      <c r="C10" s="864" t="s">
        <v>3072</v>
      </c>
      <c r="D10" s="255">
        <v>100</v>
      </c>
      <c r="E10" s="865" t="s">
        <v>3072</v>
      </c>
      <c r="F10" s="866">
        <f>SUMIF(65:65,E10,66:66)-SUMIF(65:65,C10,66:66)+100</f>
        <v>100</v>
      </c>
      <c r="G10" s="864" t="s">
        <v>3072</v>
      </c>
      <c r="H10" s="255">
        <f>SUMIF(65:65,G10,66:66)-SUMIF(65:65,C10,66:66)+100</f>
        <v>100</v>
      </c>
      <c r="I10" s="864" t="s">
        <v>3072</v>
      </c>
      <c r="J10" s="255">
        <f>SUMIF(65:65,I10,66:66)-SUMIF(65:65,C10,66:66)+100</f>
        <v>100</v>
      </c>
      <c r="K10" s="867">
        <v>2</v>
      </c>
      <c r="L10" s="2144"/>
      <c r="M10" s="2184"/>
      <c r="N10" s="2184"/>
      <c r="O10" s="2145"/>
      <c r="P10" s="3430"/>
      <c r="Q10" s="3151" t="str">
        <f t="shared" si="6"/>
        <v>土地使用年限（年）</v>
      </c>
      <c r="R10" s="1570" t="s">
        <v>8</v>
      </c>
      <c r="S10" s="1571">
        <f t="shared" si="0"/>
        <v>100</v>
      </c>
      <c r="T10" s="1570" t="s">
        <v>8</v>
      </c>
      <c r="U10" s="1571">
        <f t="shared" si="1"/>
        <v>100</v>
      </c>
      <c r="V10" s="1570" t="s">
        <v>8</v>
      </c>
      <c r="W10" s="1571">
        <f t="shared" si="2"/>
        <v>100</v>
      </c>
      <c r="X10" s="1572"/>
      <c r="Y10" s="3388"/>
      <c r="Z10" s="3149"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30"/>
      <c r="Q11" s="3151" t="str">
        <f t="shared" si="6"/>
        <v>容积率</v>
      </c>
      <c r="R11" s="1570" t="s">
        <v>11</v>
      </c>
      <c r="S11" s="1571">
        <f t="shared" si="0"/>
        <v>100</v>
      </c>
      <c r="T11" s="1570" t="s">
        <v>11</v>
      </c>
      <c r="U11" s="1571">
        <f t="shared" si="1"/>
        <v>98</v>
      </c>
      <c r="V11" s="1570" t="s">
        <v>11</v>
      </c>
      <c r="W11" s="1571">
        <f t="shared" si="2"/>
        <v>100</v>
      </c>
      <c r="X11" s="1572"/>
      <c r="Y11" s="3388"/>
      <c r="Z11" s="3149" t="str">
        <f t="shared" si="7"/>
        <v>容积率</v>
      </c>
      <c r="AA11" s="1573">
        <f t="shared" si="3"/>
        <v>1</v>
      </c>
      <c r="AB11" s="1573">
        <f t="shared" si="4"/>
        <v>1.0204081632653061</v>
      </c>
      <c r="AC11" s="1573">
        <f t="shared" si="5"/>
        <v>1</v>
      </c>
    </row>
    <row r="12" spans="1:29" s="1220" customFormat="1" ht="15.75" hidden="1" thickBot="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30"/>
      <c r="Q12" s="3151">
        <f t="shared" si="6"/>
        <v>0</v>
      </c>
      <c r="R12" s="1570" t="s">
        <v>11</v>
      </c>
      <c r="S12" s="1571">
        <f t="shared" si="0"/>
        <v>100</v>
      </c>
      <c r="T12" s="1570" t="s">
        <v>11</v>
      </c>
      <c r="U12" s="1571">
        <f t="shared" si="1"/>
        <v>100</v>
      </c>
      <c r="V12" s="1570" t="s">
        <v>11</v>
      </c>
      <c r="W12" s="1571">
        <f t="shared" si="2"/>
        <v>100</v>
      </c>
      <c r="X12" s="1572"/>
      <c r="Y12" s="3388"/>
      <c r="Z12" s="3149">
        <f t="shared" si="7"/>
        <v>0</v>
      </c>
      <c r="AA12" s="1573">
        <f>D12/F12</f>
        <v>1</v>
      </c>
      <c r="AB12" s="1573">
        <f>D12/H12</f>
        <v>1</v>
      </c>
      <c r="AC12" s="1573">
        <f>D12/J12</f>
        <v>1</v>
      </c>
    </row>
    <row r="13" spans="1:29" ht="15.75" hidden="1" thickBot="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30"/>
      <c r="Q13" s="3151">
        <f t="shared" si="6"/>
        <v>0</v>
      </c>
      <c r="R13" s="1570" t="s">
        <v>11</v>
      </c>
      <c r="S13" s="1571">
        <f t="shared" si="0"/>
        <v>100</v>
      </c>
      <c r="T13" s="1570" t="s">
        <v>11</v>
      </c>
      <c r="U13" s="1571">
        <f t="shared" si="1"/>
        <v>100</v>
      </c>
      <c r="V13" s="1570" t="s">
        <v>11</v>
      </c>
      <c r="W13" s="1571">
        <f t="shared" si="2"/>
        <v>100</v>
      </c>
      <c r="X13" s="1572"/>
      <c r="Y13" s="3388"/>
      <c r="Z13" s="3149">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30"/>
      <c r="Q14" s="3151">
        <f t="shared" si="6"/>
        <v>0</v>
      </c>
      <c r="R14" s="1570" t="s">
        <v>11</v>
      </c>
      <c r="S14" s="1571">
        <f t="shared" si="0"/>
        <v>100</v>
      </c>
      <c r="T14" s="1570" t="s">
        <v>11</v>
      </c>
      <c r="U14" s="1571">
        <f t="shared" si="1"/>
        <v>100</v>
      </c>
      <c r="V14" s="1570" t="s">
        <v>11</v>
      </c>
      <c r="W14" s="1571">
        <f t="shared" si="2"/>
        <v>100</v>
      </c>
      <c r="X14" s="1572"/>
      <c r="Y14" s="3388"/>
      <c r="Z14" s="3149">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3076</v>
      </c>
      <c r="F15" s="554">
        <f>SUMIF(76:76,E16,77:77)-SUMIF(76:76,C16,77:77)+100</f>
        <v>97</v>
      </c>
      <c r="G15" s="3163" t="s">
        <v>3076</v>
      </c>
      <c r="H15" s="552">
        <f>SUMIF(76:76,G16,77:77)-SUMIF(76:76,C16,77:77)+100</f>
        <v>97</v>
      </c>
      <c r="I15" s="3163" t="s">
        <v>3081</v>
      </c>
      <c r="J15" s="552">
        <f>SUMIF(76:76,I16,77:77)-SUMIF(76:76,C16,77:77)+100</f>
        <v>97</v>
      </c>
      <c r="K15" s="871">
        <v>3</v>
      </c>
      <c r="L15" s="2148"/>
      <c r="M15" s="2140"/>
      <c r="N15" s="2140"/>
      <c r="O15" s="2147"/>
      <c r="P15" s="3432" t="s">
        <v>541</v>
      </c>
      <c r="Q15" s="3157" t="str">
        <f t="shared" si="6"/>
        <v>居住社区成熟度</v>
      </c>
      <c r="R15" s="1575" t="s">
        <v>11</v>
      </c>
      <c r="S15" s="1576">
        <f t="shared" si="0"/>
        <v>97</v>
      </c>
      <c r="T15" s="1575" t="s">
        <v>11</v>
      </c>
      <c r="U15" s="1576">
        <f t="shared" si="1"/>
        <v>97</v>
      </c>
      <c r="V15" s="1575" t="s">
        <v>11</v>
      </c>
      <c r="W15" s="1576">
        <f t="shared" si="2"/>
        <v>97</v>
      </c>
      <c r="X15" s="3156"/>
      <c r="Y15" s="3432" t="s">
        <v>541</v>
      </c>
      <c r="Z15" s="3158" t="str">
        <f t="shared" si="7"/>
        <v>居住社区成熟度</v>
      </c>
      <c r="AA15" s="3159">
        <f t="shared" si="3"/>
        <v>1.0309278350515463</v>
      </c>
      <c r="AB15" s="3159">
        <f t="shared" si="4"/>
        <v>1.0309278350515463</v>
      </c>
      <c r="AC15" s="3159">
        <f t="shared" si="5"/>
        <v>1.0309278350515463</v>
      </c>
    </row>
    <row r="16" spans="1:29" ht="15">
      <c r="A16" s="535"/>
      <c r="B16" s="872"/>
      <c r="C16" s="579" t="s">
        <v>3088</v>
      </c>
      <c r="D16" s="558"/>
      <c r="E16" s="559" t="s">
        <v>3000</v>
      </c>
      <c r="F16" s="560"/>
      <c r="G16" s="561" t="s">
        <v>3000</v>
      </c>
      <c r="H16" s="562"/>
      <c r="I16" s="559" t="s">
        <v>3000</v>
      </c>
      <c r="J16" s="558"/>
      <c r="K16" s="873"/>
      <c r="L16" s="2148"/>
      <c r="M16" s="2140"/>
      <c r="N16" s="2140"/>
      <c r="O16" s="2147"/>
      <c r="P16" s="3433"/>
      <c r="Q16" s="3157"/>
      <c r="R16" s="1575"/>
      <c r="S16" s="1576"/>
      <c r="T16" s="1575"/>
      <c r="U16" s="1576"/>
      <c r="V16" s="1575"/>
      <c r="W16" s="1576"/>
      <c r="X16" s="3156"/>
      <c r="Y16" s="3433"/>
      <c r="Z16" s="3158"/>
      <c r="AA16" s="3159">
        <v>1</v>
      </c>
      <c r="AB16" s="3159">
        <v>1</v>
      </c>
      <c r="AC16" s="3159">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3077</v>
      </c>
      <c r="F17" s="566">
        <f>SUMIF(78:78,E18,79:79)-SUMIF(78:78,C18,79:79)+100</f>
        <v>100</v>
      </c>
      <c r="G17" s="565" t="s">
        <v>3078</v>
      </c>
      <c r="H17" s="568">
        <f>SUMIF(78:78,G18,79:79)-SUMIF(78:78,C18,79:79)+100</f>
        <v>100</v>
      </c>
      <c r="I17" s="565" t="s">
        <v>3082</v>
      </c>
      <c r="J17" s="568">
        <f>SUMIF(78:78,I18,79:79)-SUMIF(78:78,C18,79:79)+100</f>
        <v>100</v>
      </c>
      <c r="K17" s="871">
        <v>3</v>
      </c>
      <c r="L17" s="2148"/>
      <c r="M17" s="2140"/>
      <c r="N17" s="2140"/>
      <c r="O17" s="2147"/>
      <c r="P17" s="3433"/>
      <c r="Q17" s="3157" t="str">
        <f>B17</f>
        <v>交通便捷度</v>
      </c>
      <c r="R17" s="1575" t="s">
        <v>11</v>
      </c>
      <c r="S17" s="1576">
        <f>F17</f>
        <v>100</v>
      </c>
      <c r="T17" s="1575" t="s">
        <v>11</v>
      </c>
      <c r="U17" s="1576">
        <f>H17</f>
        <v>100</v>
      </c>
      <c r="V17" s="1575" t="s">
        <v>11</v>
      </c>
      <c r="W17" s="1576">
        <f>J17</f>
        <v>100</v>
      </c>
      <c r="X17" s="3156"/>
      <c r="Y17" s="3433"/>
      <c r="Z17" s="3158" t="str">
        <f>Q17</f>
        <v>交通便捷度</v>
      </c>
      <c r="AA17" s="3159">
        <f t="shared" si="3"/>
        <v>1</v>
      </c>
      <c r="AB17" s="3159">
        <f t="shared" si="4"/>
        <v>1</v>
      </c>
      <c r="AC17" s="3159">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33"/>
      <c r="Q18" s="3157"/>
      <c r="R18" s="1575"/>
      <c r="S18" s="1576"/>
      <c r="T18" s="1575"/>
      <c r="U18" s="1576"/>
      <c r="V18" s="1575"/>
      <c r="W18" s="1576"/>
      <c r="X18" s="3156"/>
      <c r="Y18" s="3433"/>
      <c r="Z18" s="3158"/>
      <c r="AA18" s="3159">
        <v>1</v>
      </c>
      <c r="AB18" s="3159">
        <v>1</v>
      </c>
      <c r="AC18" s="3159">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3079</v>
      </c>
      <c r="F19" s="574">
        <f>SUMIF(80:80,E20,81:81)-SUMIF(80:80,C20,81:81)+100</f>
        <v>100</v>
      </c>
      <c r="G19" s="3164" t="s">
        <v>3079</v>
      </c>
      <c r="H19" s="562">
        <f>SUMIF(80:80,G20,81:81)-SUMIF(80:80,C20,81:81)+100</f>
        <v>100</v>
      </c>
      <c r="I19" s="3164" t="s">
        <v>3083</v>
      </c>
      <c r="J19" s="562">
        <f>SUMIF(80:80,I20,81:81)-SUMIF(80:80,C20,81:81)+100</f>
        <v>100</v>
      </c>
      <c r="K19" s="871">
        <v>3</v>
      </c>
      <c r="L19" s="2148"/>
      <c r="M19" s="2140"/>
      <c r="N19" s="2140"/>
      <c r="O19" s="2147"/>
      <c r="P19" s="3433"/>
      <c r="Q19" s="3157" t="str">
        <f>B19</f>
        <v>公共配套设施</v>
      </c>
      <c r="R19" s="1575" t="s">
        <v>11</v>
      </c>
      <c r="S19" s="1576">
        <f>F19</f>
        <v>100</v>
      </c>
      <c r="T19" s="1575" t="s">
        <v>11</v>
      </c>
      <c r="U19" s="1576">
        <f>H19</f>
        <v>100</v>
      </c>
      <c r="V19" s="1575" t="s">
        <v>11</v>
      </c>
      <c r="W19" s="1576">
        <f>J19</f>
        <v>100</v>
      </c>
      <c r="X19" s="3156"/>
      <c r="Y19" s="3433"/>
      <c r="Z19" s="3158" t="str">
        <f>Q19</f>
        <v>公共配套设施</v>
      </c>
      <c r="AA19" s="3159">
        <f t="shared" si="3"/>
        <v>1</v>
      </c>
      <c r="AB19" s="3159">
        <f t="shared" si="4"/>
        <v>1</v>
      </c>
      <c r="AC19" s="3159">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33"/>
      <c r="Q20" s="3157"/>
      <c r="R20" s="1575"/>
      <c r="S20" s="1576"/>
      <c r="T20" s="1575"/>
      <c r="U20" s="1576"/>
      <c r="V20" s="1575"/>
      <c r="W20" s="1576"/>
      <c r="X20" s="3156"/>
      <c r="Y20" s="3433"/>
      <c r="Z20" s="3158"/>
      <c r="AA20" s="3159">
        <v>1</v>
      </c>
      <c r="AB20" s="3159">
        <v>1</v>
      </c>
      <c r="AC20" s="3159">
        <v>1</v>
      </c>
    </row>
    <row r="21" spans="1:29" ht="42.75">
      <c r="A21" s="535"/>
      <c r="B21" s="2624" t="s">
        <v>2559</v>
      </c>
      <c r="C21" s="875" t="str">
        <f>估价对象房地状况!C8</f>
        <v>估价对象所在区域基础设施水平达“六通”。</v>
      </c>
      <c r="D21" s="568">
        <v>100</v>
      </c>
      <c r="E21" s="575" t="s">
        <v>3080</v>
      </c>
      <c r="F21" s="574">
        <f>SUMIF(82:82,E22,83:83)-SUMIF(82:82,C22,83:83)+100</f>
        <v>100</v>
      </c>
      <c r="G21" s="575" t="s">
        <v>3080</v>
      </c>
      <c r="H21" s="568">
        <f>SUMIF(82:82,G22,83:83)-SUMIF(82:82,C22,83:83)+100</f>
        <v>100</v>
      </c>
      <c r="I21" s="573" t="s">
        <v>3080</v>
      </c>
      <c r="J21" s="568">
        <f>SUMIF(82:82,I22,83:83)-SUMIF(82:82,C22,83:83)+100</f>
        <v>100</v>
      </c>
      <c r="K21" s="871">
        <v>3</v>
      </c>
      <c r="L21" s="2148"/>
      <c r="M21" s="2140"/>
      <c r="N21" s="2140"/>
      <c r="O21" s="2147"/>
      <c r="P21" s="3433"/>
      <c r="Q21" s="3157" t="str">
        <f>B21</f>
        <v>基础设施水平</v>
      </c>
      <c r="R21" s="1575" t="s">
        <v>11</v>
      </c>
      <c r="S21" s="1576">
        <f>F21</f>
        <v>100</v>
      </c>
      <c r="T21" s="1575" t="s">
        <v>11</v>
      </c>
      <c r="U21" s="1576">
        <f>H21</f>
        <v>100</v>
      </c>
      <c r="V21" s="1575" t="s">
        <v>11</v>
      </c>
      <c r="W21" s="1576">
        <f>J21</f>
        <v>100</v>
      </c>
      <c r="X21" s="3156"/>
      <c r="Y21" s="3433"/>
      <c r="Z21" s="3158" t="str">
        <f>Q21</f>
        <v>基础设施水平</v>
      </c>
      <c r="AA21" s="3159">
        <f t="shared" ref="AA21" si="8">D21/F21</f>
        <v>1</v>
      </c>
      <c r="AB21" s="3159">
        <f t="shared" ref="AB21" si="9">D21/H21</f>
        <v>1</v>
      </c>
      <c r="AC21" s="3159">
        <f t="shared" ref="AC21" si="10">D21/J21</f>
        <v>1</v>
      </c>
    </row>
    <row r="22" spans="1:29" ht="15">
      <c r="A22" s="535"/>
      <c r="B22" s="923"/>
      <c r="C22" s="876" t="s">
        <v>3001</v>
      </c>
      <c r="D22" s="558"/>
      <c r="E22" s="579" t="s">
        <v>3001</v>
      </c>
      <c r="F22" s="560"/>
      <c r="G22" s="579" t="s">
        <v>3001</v>
      </c>
      <c r="H22" s="558"/>
      <c r="I22" s="579" t="s">
        <v>3001</v>
      </c>
      <c r="J22" s="558"/>
      <c r="K22" s="2630"/>
      <c r="L22" s="2148"/>
      <c r="M22" s="2140"/>
      <c r="N22" s="2140"/>
      <c r="O22" s="2147"/>
      <c r="P22" s="3433"/>
      <c r="Q22" s="3157"/>
      <c r="R22" s="1575"/>
      <c r="S22" s="1576"/>
      <c r="T22" s="1575"/>
      <c r="U22" s="1576"/>
      <c r="V22" s="1575"/>
      <c r="W22" s="1576"/>
      <c r="X22" s="3156"/>
      <c r="Y22" s="3433"/>
      <c r="Z22" s="3158"/>
      <c r="AA22" s="3159">
        <v>1</v>
      </c>
      <c r="AB22" s="3159">
        <v>1</v>
      </c>
      <c r="AC22" s="3159">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3084</v>
      </c>
      <c r="F23" s="566">
        <f>SUMIF(84:84,E24,85:85)-SUMIF(84:84,C24,85:85)+100</f>
        <v>100</v>
      </c>
      <c r="G23" s="3148" t="s">
        <v>3084</v>
      </c>
      <c r="H23" s="562">
        <f>SUMIF(84:84,G24,85:85)-SUMIF(84:84,C24,85:85)+100</f>
        <v>100</v>
      </c>
      <c r="I23" s="3148" t="s">
        <v>3085</v>
      </c>
      <c r="J23" s="562">
        <f>SUMIF(84:84,I24,85:85)-SUMIF(84:84,C24,85:85)+100</f>
        <v>97</v>
      </c>
      <c r="K23" s="871">
        <v>3</v>
      </c>
      <c r="L23" s="2148"/>
      <c r="M23" s="2140"/>
      <c r="N23" s="2140"/>
      <c r="O23" s="2147"/>
      <c r="P23" s="3433"/>
      <c r="Q23" s="3157" t="str">
        <f>B23</f>
        <v>自然及人文环境</v>
      </c>
      <c r="R23" s="1575" t="s">
        <v>11</v>
      </c>
      <c r="S23" s="1576">
        <f>F23</f>
        <v>100</v>
      </c>
      <c r="T23" s="1575" t="s">
        <v>11</v>
      </c>
      <c r="U23" s="1576">
        <f>H23</f>
        <v>100</v>
      </c>
      <c r="V23" s="1575" t="s">
        <v>11</v>
      </c>
      <c r="W23" s="1576">
        <f>J23</f>
        <v>97</v>
      </c>
      <c r="X23" s="3156"/>
      <c r="Y23" s="3433"/>
      <c r="Z23" s="3158" t="str">
        <f>Q23</f>
        <v>自然及人文环境</v>
      </c>
      <c r="AA23" s="3159">
        <f t="shared" si="3"/>
        <v>1</v>
      </c>
      <c r="AB23" s="3159">
        <f t="shared" si="4"/>
        <v>1</v>
      </c>
      <c r="AC23" s="3159">
        <f t="shared" si="5"/>
        <v>1.0309278350515463</v>
      </c>
    </row>
    <row r="24" spans="1:29" ht="15">
      <c r="A24" s="535"/>
      <c r="B24" s="598"/>
      <c r="C24" s="579" t="s">
        <v>3000</v>
      </c>
      <c r="D24" s="558"/>
      <c r="E24" s="559" t="s">
        <v>3000</v>
      </c>
      <c r="F24" s="560"/>
      <c r="G24" s="561" t="s">
        <v>3000</v>
      </c>
      <c r="H24" s="558"/>
      <c r="I24" s="559" t="s">
        <v>3086</v>
      </c>
      <c r="J24" s="558"/>
      <c r="K24" s="873"/>
      <c r="L24" s="2148"/>
      <c r="M24" s="2140"/>
      <c r="N24" s="2140"/>
      <c r="O24" s="2147"/>
      <c r="P24" s="3433"/>
      <c r="Q24" s="3157"/>
      <c r="R24" s="1575"/>
      <c r="S24" s="1576"/>
      <c r="T24" s="1575"/>
      <c r="U24" s="1576"/>
      <c r="V24" s="1575"/>
      <c r="W24" s="1576"/>
      <c r="X24" s="3156"/>
      <c r="Y24" s="3433"/>
      <c r="Z24" s="3158"/>
      <c r="AA24" s="3159">
        <v>1</v>
      </c>
      <c r="AB24" s="3159">
        <v>1</v>
      </c>
      <c r="AC24" s="3159">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33"/>
      <c r="Q25" s="3157" t="str">
        <f t="shared" ref="Q25:Q46" si="11">B25</f>
        <v>楼层-1</v>
      </c>
      <c r="R25" s="1575" t="s">
        <v>11</v>
      </c>
      <c r="S25" s="1576">
        <f>F25</f>
        <v>100</v>
      </c>
      <c r="T25" s="1575" t="s">
        <v>11</v>
      </c>
      <c r="U25" s="1576">
        <f>H25</f>
        <v>100</v>
      </c>
      <c r="V25" s="1575" t="s">
        <v>11</v>
      </c>
      <c r="W25" s="1576">
        <f>J25</f>
        <v>100</v>
      </c>
      <c r="X25" s="3156"/>
      <c r="Y25" s="3433"/>
      <c r="Z25" s="3158" t="str">
        <f>Q25</f>
        <v>楼层-1</v>
      </c>
      <c r="AA25" s="3159">
        <f t="shared" si="3"/>
        <v>1</v>
      </c>
      <c r="AB25" s="3159">
        <f t="shared" si="4"/>
        <v>1</v>
      </c>
      <c r="AC25" s="3159">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33"/>
      <c r="Q26" s="3157" t="str">
        <f t="shared" si="11"/>
        <v>朝向</v>
      </c>
      <c r="R26" s="1575" t="s">
        <v>11</v>
      </c>
      <c r="S26" s="1576">
        <f>F26</f>
        <v>100</v>
      </c>
      <c r="T26" s="1575" t="s">
        <v>11</v>
      </c>
      <c r="U26" s="1576">
        <f>H26</f>
        <v>100</v>
      </c>
      <c r="V26" s="1575" t="s">
        <v>11</v>
      </c>
      <c r="W26" s="1576">
        <f>J26</f>
        <v>100</v>
      </c>
      <c r="X26" s="3156"/>
      <c r="Y26" s="3433"/>
      <c r="Z26" s="3158" t="str">
        <f>Q26</f>
        <v>朝向</v>
      </c>
      <c r="AA26" s="3159">
        <f t="shared" si="3"/>
        <v>1</v>
      </c>
      <c r="AB26" s="3159">
        <f t="shared" si="4"/>
        <v>1</v>
      </c>
      <c r="AC26" s="3159">
        <f t="shared" si="5"/>
        <v>1</v>
      </c>
    </row>
    <row r="27" spans="1:29" s="1220" customFormat="1" ht="15.75" thickBot="1">
      <c r="A27" s="539"/>
      <c r="B27" s="540" t="s">
        <v>727</v>
      </c>
      <c r="C27" s="3162" t="s">
        <v>3038</v>
      </c>
      <c r="D27" s="878">
        <v>100</v>
      </c>
      <c r="E27" s="3165" t="s">
        <v>3038</v>
      </c>
      <c r="F27" s="879">
        <f>SUMIF(90:90,E27,91:91)-SUMIF(90:90,C27,91:91)+100</f>
        <v>100</v>
      </c>
      <c r="G27" s="3166" t="s">
        <v>3038</v>
      </c>
      <c r="H27" s="878">
        <f>SUMIF(90:90,G27,91:91)-SUMIF(90:90,C27,91:91)+100</f>
        <v>100</v>
      </c>
      <c r="I27" s="3165" t="s">
        <v>3038</v>
      </c>
      <c r="J27" s="878">
        <f>SUMIF(90:90,I27,91:91)-SUMIF(90:90,C27,91:91)+100</f>
        <v>100</v>
      </c>
      <c r="K27" s="868"/>
      <c r="L27" s="2141"/>
      <c r="M27" s="2142"/>
      <c r="N27" s="2142"/>
      <c r="O27" s="2143"/>
      <c r="P27" s="3433"/>
      <c r="Q27" s="3151" t="str">
        <f t="shared" si="11"/>
        <v>道路级别</v>
      </c>
      <c r="R27" s="1570" t="s">
        <v>11</v>
      </c>
      <c r="S27" s="1571">
        <f>F27</f>
        <v>100</v>
      </c>
      <c r="T27" s="1570" t="s">
        <v>11</v>
      </c>
      <c r="U27" s="1571">
        <f>H27</f>
        <v>100</v>
      </c>
      <c r="V27" s="1570" t="s">
        <v>11</v>
      </c>
      <c r="W27" s="1571">
        <f>J27</f>
        <v>100</v>
      </c>
      <c r="X27" s="1572"/>
      <c r="Y27" s="3433"/>
      <c r="Z27" s="3149" t="str">
        <f>Q27</f>
        <v>道路级别</v>
      </c>
      <c r="AA27" s="3159">
        <f>D27/F27</f>
        <v>1</v>
      </c>
      <c r="AB27" s="3159">
        <f>D27/H27</f>
        <v>1</v>
      </c>
      <c r="AC27" s="3159">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33"/>
      <c r="Q28" s="3157">
        <f t="shared" si="11"/>
        <v>0</v>
      </c>
      <c r="R28" s="1575" t="s">
        <v>11</v>
      </c>
      <c r="S28" s="1576">
        <f t="shared" ref="S28:S46" si="12">F28</f>
        <v>100</v>
      </c>
      <c r="T28" s="1575" t="s">
        <v>11</v>
      </c>
      <c r="U28" s="1576">
        <f t="shared" ref="U28:U46" si="13">H28</f>
        <v>100</v>
      </c>
      <c r="V28" s="1575" t="s">
        <v>11</v>
      </c>
      <c r="W28" s="1576">
        <f t="shared" ref="W28:W46" si="14">J28</f>
        <v>100</v>
      </c>
      <c r="X28" s="3156"/>
      <c r="Y28" s="3433"/>
      <c r="Z28" s="3158">
        <f t="shared" ref="Z28:Z46" si="15">Q28</f>
        <v>0</v>
      </c>
      <c r="AA28" s="3159">
        <f t="shared" si="3"/>
        <v>1</v>
      </c>
      <c r="AB28" s="3159">
        <f t="shared" si="4"/>
        <v>1</v>
      </c>
      <c r="AC28" s="3159">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33"/>
      <c r="Q29" s="3157">
        <f t="shared" si="11"/>
        <v>0</v>
      </c>
      <c r="R29" s="1575" t="s">
        <v>11</v>
      </c>
      <c r="S29" s="1576">
        <f t="shared" si="12"/>
        <v>100</v>
      </c>
      <c r="T29" s="1575" t="s">
        <v>11</v>
      </c>
      <c r="U29" s="1576">
        <f t="shared" si="13"/>
        <v>100</v>
      </c>
      <c r="V29" s="1575" t="s">
        <v>11</v>
      </c>
      <c r="W29" s="1576">
        <f t="shared" si="14"/>
        <v>100</v>
      </c>
      <c r="X29" s="3156"/>
      <c r="Y29" s="3433"/>
      <c r="Z29" s="3158">
        <f t="shared" si="15"/>
        <v>0</v>
      </c>
      <c r="AA29" s="3159">
        <f t="shared" si="3"/>
        <v>1</v>
      </c>
      <c r="AB29" s="3159">
        <f t="shared" si="4"/>
        <v>1</v>
      </c>
      <c r="AC29" s="3159">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33"/>
      <c r="Q30" s="3157">
        <f t="shared" si="11"/>
        <v>0</v>
      </c>
      <c r="R30" s="1575" t="s">
        <v>11</v>
      </c>
      <c r="S30" s="1576">
        <f t="shared" si="12"/>
        <v>100</v>
      </c>
      <c r="T30" s="1575" t="s">
        <v>11</v>
      </c>
      <c r="U30" s="1576">
        <f t="shared" si="13"/>
        <v>100</v>
      </c>
      <c r="V30" s="1575" t="s">
        <v>11</v>
      </c>
      <c r="W30" s="1576">
        <f t="shared" si="14"/>
        <v>100</v>
      </c>
      <c r="X30" s="3156"/>
      <c r="Y30" s="3433"/>
      <c r="Z30" s="3158">
        <f t="shared" si="15"/>
        <v>0</v>
      </c>
      <c r="AA30" s="3159">
        <f t="shared" si="3"/>
        <v>1</v>
      </c>
      <c r="AB30" s="3159">
        <f t="shared" si="4"/>
        <v>1</v>
      </c>
      <c r="AC30" s="315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33"/>
      <c r="Q31" s="3157">
        <f t="shared" si="11"/>
        <v>0</v>
      </c>
      <c r="R31" s="1575" t="s">
        <v>11</v>
      </c>
      <c r="S31" s="1576">
        <f t="shared" si="12"/>
        <v>100</v>
      </c>
      <c r="T31" s="1575" t="s">
        <v>11</v>
      </c>
      <c r="U31" s="1576">
        <f t="shared" si="13"/>
        <v>100</v>
      </c>
      <c r="V31" s="1575" t="s">
        <v>11</v>
      </c>
      <c r="W31" s="1576">
        <f t="shared" si="14"/>
        <v>100</v>
      </c>
      <c r="X31" s="3156"/>
      <c r="Y31" s="3433"/>
      <c r="Z31" s="3158">
        <f t="shared" si="15"/>
        <v>0</v>
      </c>
      <c r="AA31" s="3159">
        <f t="shared" si="3"/>
        <v>1</v>
      </c>
      <c r="AB31" s="3159">
        <f t="shared" si="4"/>
        <v>1</v>
      </c>
      <c r="AC31" s="3159">
        <f t="shared" si="5"/>
        <v>1</v>
      </c>
    </row>
    <row r="32" spans="1:29" ht="15">
      <c r="A32" s="2942" t="s">
        <v>2770</v>
      </c>
      <c r="B32" s="172" t="s">
        <v>728</v>
      </c>
      <c r="C32" s="881" t="s">
        <v>3044</v>
      </c>
      <c r="D32" s="600">
        <v>100</v>
      </c>
      <c r="E32" s="882" t="s">
        <v>3044</v>
      </c>
      <c r="F32" s="578">
        <f>SUMIF(100:100,E32,101:101)-SUMIF(100:100,C32,101:101)+100</f>
        <v>100</v>
      </c>
      <c r="G32" s="881" t="s">
        <v>3042</v>
      </c>
      <c r="H32" s="600">
        <f>SUMIF(100:100,G32,101:101)-SUMIF(100:100,C32,101:101)+100</f>
        <v>105</v>
      </c>
      <c r="I32" s="882" t="s">
        <v>3044</v>
      </c>
      <c r="J32" s="543">
        <f>SUMIF(100:100,I32,101:101)-SUMIF(100:100,C32,101:101)+100</f>
        <v>100</v>
      </c>
      <c r="K32" s="867">
        <v>5</v>
      </c>
      <c r="L32" s="2148"/>
      <c r="M32" s="2140"/>
      <c r="N32" s="2140"/>
      <c r="O32" s="2147"/>
      <c r="P32" s="3434" t="s">
        <v>551</v>
      </c>
      <c r="Q32" s="3157" t="str">
        <f t="shared" si="11"/>
        <v>建筑类型</v>
      </c>
      <c r="R32" s="1575" t="s">
        <v>11</v>
      </c>
      <c r="S32" s="1576">
        <f t="shared" si="12"/>
        <v>100</v>
      </c>
      <c r="T32" s="1575" t="s">
        <v>11</v>
      </c>
      <c r="U32" s="1576">
        <f t="shared" si="13"/>
        <v>105</v>
      </c>
      <c r="V32" s="1575" t="s">
        <v>11</v>
      </c>
      <c r="W32" s="1576">
        <f t="shared" si="14"/>
        <v>100</v>
      </c>
      <c r="X32" s="3156"/>
      <c r="Y32" s="3435" t="s">
        <v>551</v>
      </c>
      <c r="Z32" s="3158" t="str">
        <f t="shared" si="15"/>
        <v>建筑类型</v>
      </c>
      <c r="AA32" s="3159">
        <f t="shared" si="3"/>
        <v>1</v>
      </c>
      <c r="AB32" s="3159">
        <f t="shared" si="4"/>
        <v>0.95238095238095233</v>
      </c>
      <c r="AC32" s="3159">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35"/>
      <c r="Q33" s="1607" t="str">
        <f t="shared" si="11"/>
        <v>项目建筑规模</v>
      </c>
      <c r="R33" s="1579" t="s">
        <v>11</v>
      </c>
      <c r="S33" s="1580">
        <f t="shared" si="12"/>
        <v>100</v>
      </c>
      <c r="T33" s="1579" t="s">
        <v>11</v>
      </c>
      <c r="U33" s="1580">
        <f t="shared" si="13"/>
        <v>102</v>
      </c>
      <c r="V33" s="1579" t="s">
        <v>11</v>
      </c>
      <c r="W33" s="1580">
        <f t="shared" si="14"/>
        <v>102</v>
      </c>
      <c r="X33" s="1581"/>
      <c r="Y33" s="3435"/>
      <c r="Z33" s="1582" t="str">
        <f t="shared" si="15"/>
        <v>项目建筑规模</v>
      </c>
      <c r="AA33" s="3159">
        <f t="shared" si="3"/>
        <v>1</v>
      </c>
      <c r="AB33" s="3159">
        <f t="shared" si="4"/>
        <v>0.98039215686274506</v>
      </c>
      <c r="AC33" s="3159">
        <f t="shared" si="5"/>
        <v>0.98039215686274506</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5" t="s">
        <v>3047</v>
      </c>
      <c r="J34" s="543">
        <f>SUMIF(105:105,I34,106:106)-SUMIF(105:105,C34,106:106)+100</f>
        <v>100</v>
      </c>
      <c r="K34" s="867">
        <v>2</v>
      </c>
      <c r="L34" s="2148"/>
      <c r="M34" s="2140"/>
      <c r="N34" s="2140"/>
      <c r="O34" s="2147"/>
      <c r="P34" s="3435"/>
      <c r="Q34" s="3157" t="str">
        <f t="shared" si="11"/>
        <v>建筑结构</v>
      </c>
      <c r="R34" s="1575" t="s">
        <v>11</v>
      </c>
      <c r="S34" s="1576">
        <f t="shared" si="12"/>
        <v>100</v>
      </c>
      <c r="T34" s="1575" t="s">
        <v>11</v>
      </c>
      <c r="U34" s="1576">
        <f t="shared" si="13"/>
        <v>100</v>
      </c>
      <c r="V34" s="1575" t="s">
        <v>11</v>
      </c>
      <c r="W34" s="1576">
        <f t="shared" si="14"/>
        <v>100</v>
      </c>
      <c r="X34" s="3156"/>
      <c r="Y34" s="3435"/>
      <c r="Z34" s="3158" t="str">
        <f t="shared" si="15"/>
        <v>建筑结构</v>
      </c>
      <c r="AA34" s="3159">
        <f t="shared" si="3"/>
        <v>1</v>
      </c>
      <c r="AB34" s="3159">
        <f t="shared" si="4"/>
        <v>1</v>
      </c>
      <c r="AC34" s="3159">
        <f t="shared" si="5"/>
        <v>1</v>
      </c>
    </row>
    <row r="35" spans="1:29" ht="15">
      <c r="A35" s="597"/>
      <c r="B35" s="530" t="s">
        <v>731</v>
      </c>
      <c r="C35" s="602" t="s">
        <v>3051</v>
      </c>
      <c r="D35" s="543">
        <v>100</v>
      </c>
      <c r="E35" s="877" t="s">
        <v>3051</v>
      </c>
      <c r="F35" s="578">
        <f>SUMIF(107:107,E35,108:108)-SUMIF(107:107,C35,108:108)+100</f>
        <v>100</v>
      </c>
      <c r="G35" s="602" t="s">
        <v>3051</v>
      </c>
      <c r="H35" s="543">
        <f>SUMIF(107:107,G35,108:108)-SUMIF(107:107,C35,108:108)+100</f>
        <v>100</v>
      </c>
      <c r="I35" s="877" t="s">
        <v>3051</v>
      </c>
      <c r="J35" s="543">
        <f>SUMIF(107:107,I35,108:108)-SUMIF(107:107,C35,108:108)+100</f>
        <v>100</v>
      </c>
      <c r="K35" s="867">
        <v>2</v>
      </c>
      <c r="L35" s="2148"/>
      <c r="M35" s="2140"/>
      <c r="N35" s="2140"/>
      <c r="O35" s="2147"/>
      <c r="P35" s="3435"/>
      <c r="Q35" s="3157" t="str">
        <f t="shared" si="11"/>
        <v>建筑品质</v>
      </c>
      <c r="R35" s="1575" t="s">
        <v>11</v>
      </c>
      <c r="S35" s="1576">
        <f t="shared" si="12"/>
        <v>100</v>
      </c>
      <c r="T35" s="1575" t="s">
        <v>11</v>
      </c>
      <c r="U35" s="1576">
        <f t="shared" si="13"/>
        <v>100</v>
      </c>
      <c r="V35" s="1575" t="s">
        <v>11</v>
      </c>
      <c r="W35" s="1576">
        <f t="shared" si="14"/>
        <v>100</v>
      </c>
      <c r="X35" s="3156"/>
      <c r="Y35" s="3435"/>
      <c r="Z35" s="3158" t="str">
        <f t="shared" si="15"/>
        <v>建筑品质</v>
      </c>
      <c r="AA35" s="3159">
        <f t="shared" si="3"/>
        <v>1</v>
      </c>
      <c r="AB35" s="3159">
        <f t="shared" si="4"/>
        <v>1</v>
      </c>
      <c r="AC35" s="3159">
        <f t="shared" si="5"/>
        <v>1</v>
      </c>
    </row>
    <row r="36" spans="1:29" ht="15">
      <c r="A36" s="597"/>
      <c r="B36" s="530" t="s">
        <v>732</v>
      </c>
      <c r="C36" s="602" t="s">
        <v>3053</v>
      </c>
      <c r="D36" s="543">
        <v>100</v>
      </c>
      <c r="E36" s="877" t="s">
        <v>3053</v>
      </c>
      <c r="F36" s="578">
        <f>SUMIF(109:109,E36,110:110)-SUMIF(109:109,C36,110:110)+100</f>
        <v>100</v>
      </c>
      <c r="G36" s="602" t="s">
        <v>3053</v>
      </c>
      <c r="H36" s="543">
        <f>SUMIF(109:109,G36,110:110)-SUMIF(109:109,C36,110:110)+100</f>
        <v>100</v>
      </c>
      <c r="I36" s="877" t="s">
        <v>3053</v>
      </c>
      <c r="J36" s="543">
        <f>SUMIF(109:109,I36,110:110)-SUMIF(109:109,C36,110:110)+100</f>
        <v>100</v>
      </c>
      <c r="K36" s="867">
        <v>2</v>
      </c>
      <c r="L36" s="2148"/>
      <c r="M36" s="2140"/>
      <c r="N36" s="2140"/>
      <c r="O36" s="2147"/>
      <c r="P36" s="3435"/>
      <c r="Q36" s="3157" t="str">
        <f t="shared" si="11"/>
        <v>公共部分装修</v>
      </c>
      <c r="R36" s="1575" t="s">
        <v>11</v>
      </c>
      <c r="S36" s="1576">
        <f t="shared" si="12"/>
        <v>100</v>
      </c>
      <c r="T36" s="1575" t="s">
        <v>11</v>
      </c>
      <c r="U36" s="1576">
        <f t="shared" si="13"/>
        <v>100</v>
      </c>
      <c r="V36" s="1575" t="s">
        <v>11</v>
      </c>
      <c r="W36" s="1576">
        <f t="shared" si="14"/>
        <v>100</v>
      </c>
      <c r="X36" s="3156"/>
      <c r="Y36" s="3435"/>
      <c r="Z36" s="3158" t="str">
        <f t="shared" si="15"/>
        <v>公共部分装修</v>
      </c>
      <c r="AA36" s="3159">
        <f t="shared" si="3"/>
        <v>1</v>
      </c>
      <c r="AB36" s="3159">
        <f t="shared" si="4"/>
        <v>1</v>
      </c>
      <c r="AC36" s="3159">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35"/>
      <c r="Q37" s="3151" t="str">
        <f t="shared" si="11"/>
        <v>成新度</v>
      </c>
      <c r="R37" s="1570" t="s">
        <v>11</v>
      </c>
      <c r="S37" s="1571">
        <f t="shared" si="12"/>
        <v>100</v>
      </c>
      <c r="T37" s="1570" t="s">
        <v>11</v>
      </c>
      <c r="U37" s="1571">
        <f t="shared" si="13"/>
        <v>100</v>
      </c>
      <c r="V37" s="1570" t="s">
        <v>11</v>
      </c>
      <c r="W37" s="1571">
        <f t="shared" si="14"/>
        <v>100</v>
      </c>
      <c r="X37" s="1572"/>
      <c r="Y37" s="3435"/>
      <c r="Z37" s="3149" t="str">
        <f t="shared" si="15"/>
        <v>成新度</v>
      </c>
      <c r="AA37" s="1573">
        <f t="shared" si="3"/>
        <v>1</v>
      </c>
      <c r="AB37" s="1573">
        <f t="shared" si="4"/>
        <v>1</v>
      </c>
      <c r="AC37" s="1573">
        <f t="shared" si="5"/>
        <v>1</v>
      </c>
    </row>
    <row r="38" spans="1:29" ht="15">
      <c r="A38" s="597"/>
      <c r="B38" s="530" t="s">
        <v>734</v>
      </c>
      <c r="C38" s="602" t="s">
        <v>3059</v>
      </c>
      <c r="D38" s="543">
        <v>100</v>
      </c>
      <c r="E38" s="877" t="s">
        <v>3059</v>
      </c>
      <c r="F38" s="578">
        <f>SUMIF(114:114,E38,115:115)-SUMIF(114:114,C38,115:115)+100</f>
        <v>100</v>
      </c>
      <c r="G38" s="602" t="s">
        <v>3059</v>
      </c>
      <c r="H38" s="543">
        <f>SUMIF(114:114,G38,115:115)-SUMIF(114:114,C38,115:115)+100</f>
        <v>100</v>
      </c>
      <c r="I38" s="877" t="s">
        <v>3059</v>
      </c>
      <c r="J38" s="543">
        <f>SUMIF(114:114,I38,115:115)-SUMIF(114:114,C38,115:115)+100</f>
        <v>100</v>
      </c>
      <c r="K38" s="867">
        <v>2</v>
      </c>
      <c r="L38" s="2148"/>
      <c r="M38" s="2140"/>
      <c r="N38" s="2140"/>
      <c r="O38" s="2147"/>
      <c r="P38" s="3435" t="s">
        <v>551</v>
      </c>
      <c r="Q38" s="3157" t="str">
        <f t="shared" si="11"/>
        <v>物业管理</v>
      </c>
      <c r="R38" s="1575" t="s">
        <v>11</v>
      </c>
      <c r="S38" s="1576">
        <f t="shared" si="12"/>
        <v>100</v>
      </c>
      <c r="T38" s="1575" t="s">
        <v>11</v>
      </c>
      <c r="U38" s="1576">
        <f t="shared" si="13"/>
        <v>100</v>
      </c>
      <c r="V38" s="1575" t="s">
        <v>11</v>
      </c>
      <c r="W38" s="1576">
        <f t="shared" si="14"/>
        <v>100</v>
      </c>
      <c r="X38" s="3156"/>
      <c r="Y38" s="3435" t="s">
        <v>551</v>
      </c>
      <c r="Z38" s="3158" t="str">
        <f t="shared" si="15"/>
        <v>物业管理</v>
      </c>
      <c r="AA38" s="3159">
        <f t="shared" si="3"/>
        <v>1</v>
      </c>
      <c r="AB38" s="3159">
        <f t="shared" si="4"/>
        <v>1</v>
      </c>
      <c r="AC38" s="3159">
        <f t="shared" si="5"/>
        <v>1</v>
      </c>
    </row>
    <row r="39" spans="1:29" ht="15">
      <c r="A39" s="597"/>
      <c r="B39" s="1898" t="s">
        <v>2576</v>
      </c>
      <c r="C39" s="602" t="s">
        <v>3063</v>
      </c>
      <c r="D39" s="543">
        <v>100</v>
      </c>
      <c r="E39" s="877" t="s">
        <v>3063</v>
      </c>
      <c r="F39" s="578">
        <f>SUMIF(116:116,E39,117:117)-SUMIF(116:116,C39,117:117)+100</f>
        <v>100</v>
      </c>
      <c r="G39" s="602" t="s">
        <v>3063</v>
      </c>
      <c r="H39" s="543">
        <f>SUMIF(116:116,G39,117:117)-SUMIF(116:116,C39,117:117)+100</f>
        <v>100</v>
      </c>
      <c r="I39" s="877" t="s">
        <v>3063</v>
      </c>
      <c r="J39" s="543">
        <f>SUMIF(116:116,I39,117:117)-SUMIF(116:116,C39,117:117)+100</f>
        <v>100</v>
      </c>
      <c r="K39" s="867">
        <v>2</v>
      </c>
      <c r="L39" s="2148"/>
      <c r="M39" s="2140"/>
      <c r="N39" s="2140"/>
      <c r="O39" s="2147"/>
      <c r="P39" s="3435"/>
      <c r="Q39" s="3157" t="str">
        <f t="shared" si="11"/>
        <v>市政基础设施</v>
      </c>
      <c r="R39" s="1575" t="s">
        <v>11</v>
      </c>
      <c r="S39" s="1576">
        <f t="shared" si="12"/>
        <v>100</v>
      </c>
      <c r="T39" s="1575" t="s">
        <v>11</v>
      </c>
      <c r="U39" s="1576">
        <f t="shared" si="13"/>
        <v>100</v>
      </c>
      <c r="V39" s="1575" t="s">
        <v>11</v>
      </c>
      <c r="W39" s="1576">
        <f t="shared" si="14"/>
        <v>100</v>
      </c>
      <c r="X39" s="3156"/>
      <c r="Y39" s="3435"/>
      <c r="Z39" s="3158" t="str">
        <f t="shared" si="15"/>
        <v>市政基础设施</v>
      </c>
      <c r="AA39" s="3159">
        <f t="shared" si="3"/>
        <v>1</v>
      </c>
      <c r="AB39" s="3159">
        <f t="shared" si="4"/>
        <v>1</v>
      </c>
      <c r="AC39" s="3159">
        <f t="shared" si="5"/>
        <v>1</v>
      </c>
    </row>
    <row r="40" spans="1:29" ht="15" hidden="1">
      <c r="A40" s="597"/>
      <c r="B40" s="530" t="s">
        <v>735</v>
      </c>
      <c r="C40" s="602" t="s">
        <v>3069</v>
      </c>
      <c r="D40" s="543">
        <v>100</v>
      </c>
      <c r="E40" s="877" t="s">
        <v>3069</v>
      </c>
      <c r="F40" s="578">
        <f>SUMIF(118:118,E40,119:119)-SUMIF(118:118,C40,119:119)+100</f>
        <v>100</v>
      </c>
      <c r="G40" s="602" t="s">
        <v>3069</v>
      </c>
      <c r="H40" s="543">
        <f>SUMIF(118:118,G40,119:119)-SUMIF(118:118,C40,119:119)+100</f>
        <v>100</v>
      </c>
      <c r="I40" s="877" t="s">
        <v>3069</v>
      </c>
      <c r="J40" s="543">
        <f>SUMIF(118:118,I40,119:119)-SUMIF(118:118,C40,119:119)+100</f>
        <v>100</v>
      </c>
      <c r="K40" s="867">
        <v>0</v>
      </c>
      <c r="L40" s="2148"/>
      <c r="M40" s="2140"/>
      <c r="N40" s="2140"/>
      <c r="O40" s="2147"/>
      <c r="P40" s="3435"/>
      <c r="Q40" s="3157" t="str">
        <f t="shared" si="11"/>
        <v>房型</v>
      </c>
      <c r="R40" s="1575" t="s">
        <v>11</v>
      </c>
      <c r="S40" s="1576">
        <f t="shared" si="12"/>
        <v>100</v>
      </c>
      <c r="T40" s="1575" t="s">
        <v>11</v>
      </c>
      <c r="U40" s="1576">
        <f t="shared" si="13"/>
        <v>100</v>
      </c>
      <c r="V40" s="1575" t="s">
        <v>11</v>
      </c>
      <c r="W40" s="1576">
        <f t="shared" si="14"/>
        <v>100</v>
      </c>
      <c r="X40" s="3156"/>
      <c r="Y40" s="3435"/>
      <c r="Z40" s="3158" t="str">
        <f t="shared" si="15"/>
        <v>房型</v>
      </c>
      <c r="AA40" s="3159">
        <f t="shared" si="3"/>
        <v>1</v>
      </c>
      <c r="AB40" s="3159">
        <f t="shared" si="4"/>
        <v>1</v>
      </c>
      <c r="AC40" s="3159">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35"/>
      <c r="Q41" s="1607" t="str">
        <f t="shared" si="11"/>
        <v>单套/主力户型建筑面积</v>
      </c>
      <c r="R41" s="1579" t="s">
        <v>11</v>
      </c>
      <c r="S41" s="1580">
        <f t="shared" si="12"/>
        <v>100</v>
      </c>
      <c r="T41" s="1579" t="s">
        <v>11</v>
      </c>
      <c r="U41" s="1580">
        <f t="shared" si="13"/>
        <v>100</v>
      </c>
      <c r="V41" s="1579" t="s">
        <v>11</v>
      </c>
      <c r="W41" s="1580">
        <f t="shared" si="14"/>
        <v>100</v>
      </c>
      <c r="X41" s="1581"/>
      <c r="Y41" s="3435"/>
      <c r="Z41" s="1582" t="str">
        <f t="shared" si="15"/>
        <v>单套/主力户型建筑面积</v>
      </c>
      <c r="AA41" s="3159">
        <f t="shared" si="3"/>
        <v>1</v>
      </c>
      <c r="AB41" s="3159">
        <f t="shared" si="4"/>
        <v>1</v>
      </c>
      <c r="AC41" s="3159">
        <f t="shared" si="5"/>
        <v>1</v>
      </c>
    </row>
    <row r="42" spans="1:29" ht="15.75" thickBot="1">
      <c r="A42" s="597"/>
      <c r="B42" s="530" t="s">
        <v>737</v>
      </c>
      <c r="C42" s="602" t="s">
        <v>3057</v>
      </c>
      <c r="D42" s="543">
        <v>100</v>
      </c>
      <c r="E42" s="877" t="s">
        <v>3057</v>
      </c>
      <c r="F42" s="578">
        <f>SUMIF(122:122,E42,123:123)-SUMIF(122:122,C42,123:123)+100</f>
        <v>100</v>
      </c>
      <c r="G42" s="602" t="s">
        <v>3057</v>
      </c>
      <c r="H42" s="543">
        <f>SUMIF(122:122,G42,123:123)-SUMIF(122:122,C42,123:123)+100</f>
        <v>100</v>
      </c>
      <c r="I42" s="877" t="s">
        <v>3057</v>
      </c>
      <c r="J42" s="543">
        <f>SUMIF(122:122,I42,123:123)-SUMIF(122:122,C42,123:123)+100</f>
        <v>100</v>
      </c>
      <c r="K42" s="867">
        <v>2</v>
      </c>
      <c r="L42" s="2148"/>
      <c r="M42" s="2140"/>
      <c r="N42" s="2140"/>
      <c r="O42" s="2147"/>
      <c r="P42" s="3435"/>
      <c r="Q42" s="3157" t="str">
        <f t="shared" si="11"/>
        <v>内部装修</v>
      </c>
      <c r="R42" s="1575" t="s">
        <v>11</v>
      </c>
      <c r="S42" s="1576">
        <f t="shared" si="12"/>
        <v>100</v>
      </c>
      <c r="T42" s="1575" t="s">
        <v>11</v>
      </c>
      <c r="U42" s="1576">
        <f t="shared" si="13"/>
        <v>100</v>
      </c>
      <c r="V42" s="1575" t="s">
        <v>11</v>
      </c>
      <c r="W42" s="1576">
        <f t="shared" si="14"/>
        <v>100</v>
      </c>
      <c r="X42" s="3156"/>
      <c r="Y42" s="3435"/>
      <c r="Z42" s="3158" t="str">
        <f t="shared" si="15"/>
        <v>内部装修</v>
      </c>
      <c r="AA42" s="3159">
        <f t="shared" si="3"/>
        <v>1</v>
      </c>
      <c r="AB42" s="3159">
        <f t="shared" si="4"/>
        <v>1</v>
      </c>
      <c r="AC42" s="3159">
        <f t="shared" si="5"/>
        <v>1</v>
      </c>
    </row>
    <row r="43" spans="1:29" ht="27.75" hidden="1" thickBot="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35"/>
      <c r="Q43" s="3157" t="str">
        <f t="shared" si="11"/>
        <v>内部装修维护情况</v>
      </c>
      <c r="R43" s="1575" t="s">
        <v>11</v>
      </c>
      <c r="S43" s="1576">
        <f t="shared" si="12"/>
        <v>100</v>
      </c>
      <c r="T43" s="1575" t="s">
        <v>11</v>
      </c>
      <c r="U43" s="1576">
        <f t="shared" si="13"/>
        <v>100</v>
      </c>
      <c r="V43" s="1575" t="s">
        <v>11</v>
      </c>
      <c r="W43" s="1576">
        <f t="shared" si="14"/>
        <v>100</v>
      </c>
      <c r="X43" s="3156"/>
      <c r="Y43" s="3435"/>
      <c r="Z43" s="3158" t="str">
        <f t="shared" si="15"/>
        <v>内部装修维护情况</v>
      </c>
      <c r="AA43" s="3159">
        <f t="shared" si="3"/>
        <v>1</v>
      </c>
      <c r="AB43" s="3159">
        <f t="shared" si="4"/>
        <v>1</v>
      </c>
      <c r="AC43" s="3159">
        <f t="shared" si="5"/>
        <v>1</v>
      </c>
    </row>
    <row r="44" spans="1:29" s="1220" customFormat="1" ht="15.75" hidden="1" thickBot="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35"/>
      <c r="Q44" s="3151">
        <f t="shared" si="11"/>
        <v>0</v>
      </c>
      <c r="R44" s="1570" t="s">
        <v>11</v>
      </c>
      <c r="S44" s="1571">
        <f t="shared" si="12"/>
        <v>100</v>
      </c>
      <c r="T44" s="1570" t="s">
        <v>11</v>
      </c>
      <c r="U44" s="1571">
        <f t="shared" si="13"/>
        <v>100</v>
      </c>
      <c r="V44" s="1570" t="s">
        <v>11</v>
      </c>
      <c r="W44" s="1571">
        <f t="shared" si="14"/>
        <v>100</v>
      </c>
      <c r="X44" s="1572"/>
      <c r="Y44" s="3435"/>
      <c r="Z44" s="3149">
        <f t="shared" si="15"/>
        <v>0</v>
      </c>
      <c r="AA44" s="1573">
        <f t="shared" si="3"/>
        <v>1</v>
      </c>
      <c r="AB44" s="1573">
        <f t="shared" si="4"/>
        <v>1</v>
      </c>
      <c r="AC44" s="1573">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35"/>
      <c r="Q45" s="3157">
        <f t="shared" si="11"/>
        <v>0</v>
      </c>
      <c r="R45" s="1575" t="s">
        <v>11</v>
      </c>
      <c r="S45" s="1576">
        <f t="shared" si="12"/>
        <v>100</v>
      </c>
      <c r="T45" s="1575" t="s">
        <v>11</v>
      </c>
      <c r="U45" s="1576">
        <f t="shared" si="13"/>
        <v>100</v>
      </c>
      <c r="V45" s="1575" t="s">
        <v>11</v>
      </c>
      <c r="W45" s="1576">
        <f t="shared" si="14"/>
        <v>100</v>
      </c>
      <c r="X45" s="3156"/>
      <c r="Y45" s="3435"/>
      <c r="Z45" s="3158">
        <f t="shared" si="15"/>
        <v>0</v>
      </c>
      <c r="AA45" s="3159">
        <f t="shared" si="3"/>
        <v>1</v>
      </c>
      <c r="AB45" s="3159">
        <f t="shared" si="4"/>
        <v>1</v>
      </c>
      <c r="AC45" s="3159">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3157">
        <f t="shared" si="11"/>
        <v>0</v>
      </c>
      <c r="R46" s="1575" t="s">
        <v>10</v>
      </c>
      <c r="S46" s="1576">
        <f t="shared" si="12"/>
        <v>100</v>
      </c>
      <c r="T46" s="1575" t="s">
        <v>10</v>
      </c>
      <c r="U46" s="1576">
        <f t="shared" si="13"/>
        <v>100</v>
      </c>
      <c r="V46" s="1575" t="s">
        <v>10</v>
      </c>
      <c r="W46" s="1576">
        <f t="shared" si="14"/>
        <v>100</v>
      </c>
      <c r="X46" s="3156"/>
      <c r="Y46" s="3529"/>
      <c r="Z46" s="3158">
        <f t="shared" si="15"/>
        <v>0</v>
      </c>
      <c r="AA46" s="3159">
        <f t="shared" si="3"/>
        <v>1</v>
      </c>
      <c r="AB46" s="3159">
        <f t="shared" si="4"/>
        <v>1</v>
      </c>
      <c r="AC46" s="3159">
        <f t="shared" si="5"/>
        <v>1</v>
      </c>
    </row>
    <row r="47" spans="1:29" ht="15">
      <c r="A47" s="610" t="s">
        <v>739</v>
      </c>
      <c r="B47" s="890"/>
      <c r="C47" s="2658" t="s">
        <v>9</v>
      </c>
      <c r="D47" s="2659"/>
      <c r="E47" s="2660">
        <v>18000</v>
      </c>
      <c r="F47" s="2661"/>
      <c r="G47" s="2662">
        <v>20000</v>
      </c>
      <c r="H47" s="2663"/>
      <c r="I47" s="2660">
        <v>16000</v>
      </c>
      <c r="J47" s="2663"/>
      <c r="K47" s="1608"/>
      <c r="L47" s="2150"/>
      <c r="M47" s="2151"/>
      <c r="N47" s="2140"/>
      <c r="O47" s="2151"/>
      <c r="P47" s="3430" t="str">
        <f>A47</f>
        <v>成交单价（元/平方米）</v>
      </c>
      <c r="Q47" s="3430"/>
      <c r="R47" s="3528">
        <f>E47</f>
        <v>18000</v>
      </c>
      <c r="S47" s="3528"/>
      <c r="T47" s="3528">
        <f>G47</f>
        <v>20000</v>
      </c>
      <c r="U47" s="3528"/>
      <c r="V47" s="3528">
        <f>I47</f>
        <v>16000</v>
      </c>
      <c r="W47" s="3528"/>
      <c r="X47" s="1561"/>
      <c r="Y47" s="1583"/>
      <c r="Z47" s="1561"/>
      <c r="AA47" s="1561"/>
      <c r="AB47" s="1561"/>
      <c r="AC47" s="1561"/>
    </row>
    <row r="48" spans="1:29" ht="15.75" thickBot="1">
      <c r="A48" s="618" t="s">
        <v>2708</v>
      </c>
      <c r="B48" s="891"/>
      <c r="C48" s="2664">
        <f>R49</f>
        <v>18291</v>
      </c>
      <c r="D48" s="2665"/>
      <c r="E48" s="2666">
        <f>R48</f>
        <v>18557</v>
      </c>
      <c r="F48" s="2666"/>
      <c r="G48" s="2664">
        <f>T48</f>
        <v>19645</v>
      </c>
      <c r="H48" s="2665"/>
      <c r="I48" s="2666">
        <f>V48</f>
        <v>16672</v>
      </c>
      <c r="J48" s="2665"/>
      <c r="K48" s="1609"/>
      <c r="L48" s="2150"/>
      <c r="M48" s="2151"/>
      <c r="N48" s="2151"/>
      <c r="O48" s="2151"/>
      <c r="P48" s="3430" t="str">
        <f>A48</f>
        <v>比较价格（元/平方米）</v>
      </c>
      <c r="Q48" s="3430"/>
      <c r="R48" s="3528">
        <f>IF(F1="售价",ROUND(PRODUCT(R47,AA7:AA46),0),ROUND(PRODUCT(R47,AA7:AA46),1))</f>
        <v>18557</v>
      </c>
      <c r="S48" s="3528"/>
      <c r="T48" s="3528">
        <f>IF(F1="售价",ROUND(PRODUCT(T47,AB7:AB46),0),ROUND(PRODUCT(T47,AB7:AB46),1))</f>
        <v>19645</v>
      </c>
      <c r="U48" s="3528"/>
      <c r="V48" s="3528">
        <f>IF(F1="售价",ROUND(PRODUCT(V47,AC7:AC46),0),ROUND(PRODUCT(V47,AC7:AC46),1))</f>
        <v>16672</v>
      </c>
      <c r="W48" s="3528"/>
      <c r="X48" s="1561"/>
      <c r="Y48" s="1561"/>
      <c r="Z48" s="1561"/>
      <c r="AA48" s="1561"/>
      <c r="AB48" s="1561"/>
      <c r="AC48" s="1561"/>
    </row>
    <row r="49" spans="1:29" ht="15.75" thickBot="1">
      <c r="A49" s="624" t="s">
        <v>2941</v>
      </c>
      <c r="B49" s="625"/>
      <c r="C49" s="2667">
        <f>R49</f>
        <v>18291</v>
      </c>
      <c r="D49" s="2667"/>
      <c r="E49" s="2667"/>
      <c r="F49" s="2667"/>
      <c r="G49" s="2667"/>
      <c r="H49" s="2667"/>
      <c r="I49" s="2667"/>
      <c r="J49" s="2667"/>
      <c r="K49" s="1610"/>
      <c r="L49" s="2150"/>
      <c r="M49" s="2151"/>
      <c r="N49" s="2151"/>
      <c r="O49" s="2151"/>
      <c r="P49" s="3452" t="str">
        <f>A49</f>
        <v>估价对象XX用房的比较价格（楼面单价，元/平方米）</v>
      </c>
      <c r="Q49" s="3453"/>
      <c r="R49" s="3527">
        <f>IF(F1="售价",ROUND(AVERAGE(R48:V48),0),ROUND(AVERAGE(R48:V48),1))</f>
        <v>18291</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3.0944444444444441E-2</v>
      </c>
      <c r="F52" s="630" t="str">
        <f>IF(OR(E52&gt;=0.3,E52&lt;=-0.3),"超过30%","")</f>
        <v/>
      </c>
      <c r="G52" s="629">
        <f>IF(G47&lt;G48,G48/G47-1,G47/G48-1)</f>
        <v>1.8070755917536374E-2</v>
      </c>
      <c r="H52" s="630" t="str">
        <f>IF(OR(G52&gt;=0.3,G52&lt;=-0.3),"超过30%","")</f>
        <v/>
      </c>
      <c r="I52" s="629">
        <f>IF(I47&lt;I48,I48/I47-1,I47/I48-1)</f>
        <v>4.2000000000000037E-2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5.8630166513983895E-2</v>
      </c>
      <c r="F53" s="630" t="str">
        <f>IF(OR(E53&gt;=0.2,E53&lt;=-0.2),"超过20%","")</f>
        <v/>
      </c>
      <c r="G53" s="629">
        <f>IF(G48&lt;I48,I48/G48-1,G48/I48-1)</f>
        <v>0.17832293666026877</v>
      </c>
      <c r="H53" s="630" t="str">
        <f>IF(OR(G53&gt;=0.2,G53&lt;=-0.2),"超过20%","")</f>
        <v/>
      </c>
      <c r="I53" s="629">
        <f>IF(I48&lt;E48,E48/I48-1,I48/E48-1)</f>
        <v>0.11306381957773515</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c r="E59" s="653"/>
      <c r="F59" s="653"/>
      <c r="G59" s="653"/>
      <c r="H59" s="653"/>
      <c r="I59" s="653"/>
      <c r="J59" s="653"/>
      <c r="K59" s="653"/>
      <c r="L59" s="653"/>
      <c r="M59" s="653"/>
      <c r="N59" s="653"/>
      <c r="O59" s="653"/>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97</v>
      </c>
      <c r="E77" s="682">
        <f>D77-$K15</f>
        <v>94</v>
      </c>
      <c r="F77" s="682">
        <f>E77-$K15</f>
        <v>91</v>
      </c>
      <c r="G77" s="682">
        <f>F77-$K15</f>
        <v>88</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97</v>
      </c>
      <c r="E79" s="682">
        <f>D79-$K17</f>
        <v>94</v>
      </c>
      <c r="F79" s="682">
        <f>E79-$K17</f>
        <v>91</v>
      </c>
      <c r="G79" s="682">
        <f>F79-$K17</f>
        <v>88</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2328</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97</v>
      </c>
      <c r="E81" s="682">
        <f>D81-$K19</f>
        <v>94</v>
      </c>
      <c r="F81" s="682">
        <f>E81-$K19</f>
        <v>91</v>
      </c>
      <c r="G81" s="682">
        <f>F81-$K19</f>
        <v>88</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2559</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97</v>
      </c>
      <c r="E83" s="682">
        <f>D83-$K21</f>
        <v>94</v>
      </c>
      <c r="F83" s="682">
        <f>E83-$K21</f>
        <v>91</v>
      </c>
      <c r="G83" s="682">
        <f>F83-$K21</f>
        <v>88</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97</v>
      </c>
      <c r="E85" s="682">
        <f>D85-$K23</f>
        <v>94</v>
      </c>
      <c r="F85" s="682">
        <f>E85-$K23</f>
        <v>91</v>
      </c>
      <c r="G85" s="682">
        <f>F85-$K23</f>
        <v>88</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3035</v>
      </c>
      <c r="D90" s="3146" t="s">
        <v>3036</v>
      </c>
      <c r="E90" s="3146" t="s">
        <v>3037</v>
      </c>
      <c r="F90" s="3146" t="s">
        <v>3038</v>
      </c>
      <c r="G90" s="3146" t="s">
        <v>3039</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99</v>
      </c>
      <c r="E91" s="695">
        <v>98</v>
      </c>
      <c r="F91" s="695">
        <v>97</v>
      </c>
      <c r="G91" s="695">
        <v>96</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3040</v>
      </c>
      <c r="D100" s="3145" t="s">
        <v>3041</v>
      </c>
      <c r="E100" s="3145" t="s">
        <v>3043</v>
      </c>
      <c r="F100" s="3145" t="s">
        <v>3045</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3046</v>
      </c>
      <c r="D105" s="3146" t="s">
        <v>3048</v>
      </c>
      <c r="E105" s="3147" t="s">
        <v>3049</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3050</v>
      </c>
      <c r="D107" s="3147" t="s">
        <v>3052</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3054</v>
      </c>
      <c r="D109" s="3146" t="s">
        <v>3055</v>
      </c>
      <c r="E109" s="3146" t="s">
        <v>3056</v>
      </c>
      <c r="F109" s="3147" t="s">
        <v>3058</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3060</v>
      </c>
      <c r="D114" s="3146" t="s">
        <v>3055</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3062</v>
      </c>
      <c r="D116" s="3146" t="s">
        <v>3064</v>
      </c>
      <c r="E116" s="3146" t="s">
        <v>3065</v>
      </c>
      <c r="F116" s="3146" t="s">
        <v>3066</v>
      </c>
      <c r="G116" s="3146" t="s">
        <v>3067</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3068</v>
      </c>
      <c r="D118" s="3147" t="s">
        <v>3070</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2272</v>
      </c>
      <c r="H138" s="1931" t="s">
        <v>2273</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2279</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8" zoomScale="80" zoomScaleNormal="80" workbookViewId="0">
      <selection activeCell="H23" sqref="H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760</v>
      </c>
      <c r="C1" s="507" t="s">
        <v>723</v>
      </c>
      <c r="D1" s="2376" t="s">
        <v>2987</v>
      </c>
      <c r="E1" s="509"/>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853">
        <f>ROUND(B3*D3/10000,0)</f>
        <v>18725</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520</v>
      </c>
      <c r="B3" s="513">
        <f>C49</f>
        <v>39010</v>
      </c>
      <c r="C3" s="855" t="s">
        <v>725</v>
      </c>
      <c r="D3" s="854">
        <f>SUMIF('数据-汇总表'!$C19:$C33,D1,'数据-汇总表'!$E19:$E33)</f>
        <v>4800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1"/>
    </row>
    <row r="4" spans="1:29" ht="15">
      <c r="A4" s="515" t="s">
        <v>522</v>
      </c>
      <c r="B4" s="516"/>
      <c r="C4" s="3436" t="s">
        <v>523</v>
      </c>
      <c r="D4" s="3437"/>
      <c r="E4" s="3461" t="s">
        <v>524</v>
      </c>
      <c r="F4" s="3462"/>
      <c r="G4" s="3436" t="s">
        <v>525</v>
      </c>
      <c r="H4" s="3437"/>
      <c r="I4" s="3436" t="s">
        <v>526</v>
      </c>
      <c r="J4" s="3437"/>
      <c r="K4" s="517" t="s">
        <v>527</v>
      </c>
      <c r="L4" s="2139"/>
      <c r="M4" s="2140"/>
      <c r="N4" s="2140"/>
      <c r="O4" s="2140"/>
      <c r="P4" s="3438" t="s">
        <v>528</v>
      </c>
      <c r="Q4" s="3439"/>
      <c r="R4" s="3424" t="s">
        <v>524</v>
      </c>
      <c r="S4" s="3425"/>
      <c r="T4" s="3424" t="s">
        <v>525</v>
      </c>
      <c r="U4" s="3425"/>
      <c r="V4" s="3444" t="s">
        <v>526</v>
      </c>
      <c r="W4" s="3444"/>
      <c r="X4" s="1569"/>
      <c r="Y4" s="3424" t="s">
        <v>528</v>
      </c>
      <c r="Z4" s="3425"/>
      <c r="AA4" s="3419" t="s">
        <v>524</v>
      </c>
      <c r="AB4" s="3444" t="s">
        <v>525</v>
      </c>
      <c r="AC4" s="3419" t="s">
        <v>526</v>
      </c>
    </row>
    <row r="5" spans="1:29" ht="15">
      <c r="A5" s="518"/>
      <c r="B5" s="519"/>
      <c r="C5" s="3447" t="s">
        <v>2935</v>
      </c>
      <c r="D5" s="3448"/>
      <c r="E5" s="3526" t="s">
        <v>3089</v>
      </c>
      <c r="F5" s="3464"/>
      <c r="G5" s="3449" t="s">
        <v>3089</v>
      </c>
      <c r="H5" s="3448"/>
      <c r="I5" s="3449" t="s">
        <v>3123</v>
      </c>
      <c r="J5" s="3448"/>
      <c r="K5" s="517"/>
      <c r="L5" s="2139"/>
      <c r="M5" s="2140"/>
      <c r="N5" s="2140"/>
      <c r="O5" s="2140"/>
      <c r="P5" s="3440"/>
      <c r="Q5" s="3441"/>
      <c r="R5" s="3426"/>
      <c r="S5" s="3427"/>
      <c r="T5" s="3426"/>
      <c r="U5" s="3427"/>
      <c r="V5" s="3444"/>
      <c r="W5" s="3444"/>
      <c r="X5" s="1569"/>
      <c r="Y5" s="3426"/>
      <c r="Z5" s="3427"/>
      <c r="AA5" s="3420"/>
      <c r="AB5" s="3444"/>
      <c r="AC5" s="3420"/>
    </row>
    <row r="6" spans="1:29" ht="15.75" thickBot="1">
      <c r="A6" s="520"/>
      <c r="B6" s="521"/>
      <c r="C6" s="3465" t="s">
        <v>2939</v>
      </c>
      <c r="D6" s="3446"/>
      <c r="E6" s="3466" t="s">
        <v>2939</v>
      </c>
      <c r="F6" s="3467"/>
      <c r="G6" s="3465" t="s">
        <v>2939</v>
      </c>
      <c r="H6" s="3446"/>
      <c r="I6" s="3465" t="s">
        <v>2939</v>
      </c>
      <c r="J6" s="3446"/>
      <c r="K6" s="517" t="s">
        <v>529</v>
      </c>
      <c r="L6" s="2139"/>
      <c r="M6" s="2140"/>
      <c r="N6" s="2140"/>
      <c r="O6" s="2140"/>
      <c r="P6" s="3442"/>
      <c r="Q6" s="3443"/>
      <c r="R6" s="3426"/>
      <c r="S6" s="3427"/>
      <c r="T6" s="3428"/>
      <c r="U6" s="3429"/>
      <c r="V6" s="3444"/>
      <c r="W6" s="3444"/>
      <c r="X6" s="1569"/>
      <c r="Y6" s="3428"/>
      <c r="Z6" s="3429"/>
      <c r="AA6" s="3421"/>
      <c r="AB6" s="3444"/>
      <c r="AC6" s="3421"/>
    </row>
    <row r="7" spans="1:29" s="1220" customFormat="1" ht="15.75" thickBot="1">
      <c r="A7" s="2947"/>
      <c r="B7" s="2954" t="s">
        <v>530</v>
      </c>
      <c r="C7" s="522">
        <f>'数据-取费表'!B2</f>
        <v>42915</v>
      </c>
      <c r="D7" s="523">
        <v>100</v>
      </c>
      <c r="E7" s="524">
        <v>42785</v>
      </c>
      <c r="F7" s="525">
        <f>SUMIF(58:58,YEAR(E7)&amp;"-"&amp;MONTH(E7),59:59)</f>
        <v>96</v>
      </c>
      <c r="G7" s="524">
        <v>42911</v>
      </c>
      <c r="H7" s="523">
        <f>SUMIF(58:58,YEAR(G7)&amp;"-"&amp;MONTH(G7),59:59)</f>
        <v>100</v>
      </c>
      <c r="I7" s="524">
        <v>42779</v>
      </c>
      <c r="J7" s="523">
        <f>SUMIF(58:58,YEAR(I7)&amp;"-"&amp;MONTH(I7),59:59)</f>
        <v>96</v>
      </c>
      <c r="K7" s="527"/>
      <c r="L7" s="2141"/>
      <c r="M7" s="2142"/>
      <c r="N7" s="2142"/>
      <c r="O7" s="2142"/>
      <c r="P7" s="3422" t="s">
        <v>531</v>
      </c>
      <c r="Q7" s="3431"/>
      <c r="R7" s="1570" t="s">
        <v>8</v>
      </c>
      <c r="S7" s="1571">
        <f t="shared" ref="S7:S15" si="0">F7</f>
        <v>96</v>
      </c>
      <c r="T7" s="1570" t="s">
        <v>8</v>
      </c>
      <c r="U7" s="1571">
        <f t="shared" ref="U7:U15" si="1">H7</f>
        <v>100</v>
      </c>
      <c r="V7" s="1570" t="s">
        <v>8</v>
      </c>
      <c r="W7" s="1571">
        <f t="shared" ref="W7:W15" si="2">J7</f>
        <v>96</v>
      </c>
      <c r="X7" s="1572"/>
      <c r="Y7" s="3422" t="s">
        <v>531</v>
      </c>
      <c r="Z7" s="3423"/>
      <c r="AA7" s="1573">
        <f>D7/F7</f>
        <v>1.0416666666666667</v>
      </c>
      <c r="AB7" s="1573">
        <f>D7/H7</f>
        <v>1</v>
      </c>
      <c r="AC7" s="1573">
        <f>D7/J7</f>
        <v>1.0416666666666667</v>
      </c>
    </row>
    <row r="8" spans="1:29" s="1220" customFormat="1" ht="15.75" thickBot="1">
      <c r="A8" s="2948"/>
      <c r="B8" s="2955" t="s">
        <v>532</v>
      </c>
      <c r="C8" s="528" t="s">
        <v>577</v>
      </c>
      <c r="D8" s="523">
        <v>100</v>
      </c>
      <c r="E8" s="528" t="s">
        <v>3071</v>
      </c>
      <c r="F8" s="525">
        <f>SUMIF(61:61,E8,62:62)-SUMIF(61:61,C8,62:62)+100</f>
        <v>100</v>
      </c>
      <c r="G8" s="528" t="s">
        <v>3071</v>
      </c>
      <c r="H8" s="523">
        <f>SUMIF(61:61,G8,62:62)-SUMIF(61:61,C8,62:62)+100</f>
        <v>100</v>
      </c>
      <c r="I8" s="528" t="s">
        <v>3071</v>
      </c>
      <c r="J8" s="523">
        <f>SUMIF(61:61,I8,62:62)-SUMIF(61:61,C8,62:62)+100</f>
        <v>100</v>
      </c>
      <c r="K8" s="527"/>
      <c r="L8" s="2141"/>
      <c r="M8" s="2142"/>
      <c r="N8" s="2142"/>
      <c r="O8" s="2142"/>
      <c r="P8" s="3422" t="s">
        <v>534</v>
      </c>
      <c r="Q8" s="3423"/>
      <c r="R8" s="1570" t="s">
        <v>8</v>
      </c>
      <c r="S8" s="1571">
        <f t="shared" si="0"/>
        <v>100</v>
      </c>
      <c r="T8" s="1570" t="s">
        <v>8</v>
      </c>
      <c r="U8" s="1571">
        <f t="shared" si="1"/>
        <v>100</v>
      </c>
      <c r="V8" s="1570" t="s">
        <v>8</v>
      </c>
      <c r="W8" s="1571">
        <f t="shared" si="2"/>
        <v>100</v>
      </c>
      <c r="X8" s="1572"/>
      <c r="Y8" s="3422" t="s">
        <v>534</v>
      </c>
      <c r="Z8" s="3423"/>
      <c r="AA8" s="1573">
        <f t="shared" ref="AA8:AA46" si="3">D8/F8</f>
        <v>1</v>
      </c>
      <c r="AB8" s="1573">
        <f t="shared" ref="AB8:AB46" si="4">D8/H8</f>
        <v>1</v>
      </c>
      <c r="AC8" s="1573">
        <f t="shared" ref="AC8:AC46" si="5">D8/J8</f>
        <v>1</v>
      </c>
    </row>
    <row r="9" spans="1:29" s="1220" customFormat="1" ht="15">
      <c r="A9" s="2949"/>
      <c r="B9" s="2956" t="s">
        <v>2771</v>
      </c>
      <c r="C9" s="3161" t="s">
        <v>3090</v>
      </c>
      <c r="D9" s="254">
        <v>100</v>
      </c>
      <c r="E9" s="863" t="s">
        <v>2970</v>
      </c>
      <c r="F9" s="254">
        <f>SUMIF(63:63,E9,64:64)-SUMIF(63:63,C9,64:64)+100</f>
        <v>100</v>
      </c>
      <c r="G9" s="861" t="s">
        <v>2970</v>
      </c>
      <c r="H9" s="254">
        <f>SUMIF(63:63,G9,64:64)-SUMIF(63:63,C9,64:64)+100</f>
        <v>100</v>
      </c>
      <c r="I9" s="861" t="s">
        <v>2970</v>
      </c>
      <c r="J9" s="254">
        <f>SUMIF(63:63,I9,64:64)-SUMIF(63:63,C9,64:64)+100</f>
        <v>100</v>
      </c>
      <c r="K9" s="527"/>
      <c r="L9" s="2141"/>
      <c r="M9" s="2142"/>
      <c r="N9" s="2142"/>
      <c r="O9" s="2143"/>
      <c r="P9" s="3430" t="s">
        <v>536</v>
      </c>
      <c r="Q9" s="1151" t="str">
        <f t="shared" ref="Q9:Q15" si="6">B9</f>
        <v>用途</v>
      </c>
      <c r="R9" s="1570" t="s">
        <v>8</v>
      </c>
      <c r="S9" s="1571">
        <f t="shared" si="0"/>
        <v>100</v>
      </c>
      <c r="T9" s="1570" t="s">
        <v>8</v>
      </c>
      <c r="U9" s="1571">
        <f t="shared" si="1"/>
        <v>100</v>
      </c>
      <c r="V9" s="1570" t="s">
        <v>8</v>
      </c>
      <c r="W9" s="1571">
        <f t="shared" si="2"/>
        <v>100</v>
      </c>
      <c r="X9" s="1572"/>
      <c r="Y9" s="3388" t="s">
        <v>537</v>
      </c>
      <c r="Z9" s="1150" t="str">
        <f t="shared" ref="Z9:Z15" si="7">Q9</f>
        <v>用途</v>
      </c>
      <c r="AA9" s="1573">
        <f t="shared" si="3"/>
        <v>1</v>
      </c>
      <c r="AB9" s="1573">
        <f t="shared" si="4"/>
        <v>1</v>
      </c>
      <c r="AC9" s="1573">
        <f t="shared" si="5"/>
        <v>1</v>
      </c>
    </row>
    <row r="10" spans="1:29" s="1338" customFormat="1" ht="27">
      <c r="A10" s="2950"/>
      <c r="B10" s="2955" t="s">
        <v>2772</v>
      </c>
      <c r="C10" s="864" t="s">
        <v>3124</v>
      </c>
      <c r="D10" s="255">
        <v>100</v>
      </c>
      <c r="E10" s="864" t="s">
        <v>3125</v>
      </c>
      <c r="F10" s="255">
        <f>SUMIF(65:65,E10,66:66)-SUMIF(65:65,C10,66:66)+100</f>
        <v>98</v>
      </c>
      <c r="G10" s="865" t="s">
        <v>3125</v>
      </c>
      <c r="H10" s="255">
        <f>SUMIF(65:65,G10,66:66)-SUMIF(65:65,C10,66:66)+100</f>
        <v>98</v>
      </c>
      <c r="I10" s="864" t="s">
        <v>3125</v>
      </c>
      <c r="J10" s="255">
        <f>SUMIF(65:65,I10,66:66)-SUMIF(65:65,C10,66:66)+100</f>
        <v>98</v>
      </c>
      <c r="K10" s="587">
        <v>2</v>
      </c>
      <c r="L10" s="2144"/>
      <c r="M10" s="2184"/>
      <c r="N10" s="2184"/>
      <c r="O10" s="2145"/>
      <c r="P10" s="3430"/>
      <c r="Q10" s="1151" t="str">
        <f t="shared" si="6"/>
        <v>土地使用年限（年）</v>
      </c>
      <c r="R10" s="1570" t="s">
        <v>8</v>
      </c>
      <c r="S10" s="1571">
        <f t="shared" si="0"/>
        <v>98</v>
      </c>
      <c r="T10" s="1570" t="s">
        <v>8</v>
      </c>
      <c r="U10" s="1571">
        <f t="shared" si="1"/>
        <v>98</v>
      </c>
      <c r="V10" s="1570" t="s">
        <v>8</v>
      </c>
      <c r="W10" s="1571">
        <f t="shared" si="2"/>
        <v>98</v>
      </c>
      <c r="X10" s="1572"/>
      <c r="Y10" s="3388"/>
      <c r="Z10" s="1150" t="str">
        <f t="shared" si="7"/>
        <v>土地使用年限（年）</v>
      </c>
      <c r="AA10" s="1573">
        <f t="shared" si="3"/>
        <v>1.0204081632653061</v>
      </c>
      <c r="AB10" s="1573">
        <f t="shared" si="4"/>
        <v>1.0204081632653061</v>
      </c>
      <c r="AC10" s="1573">
        <f t="shared" si="5"/>
        <v>1.0204081632653061</v>
      </c>
    </row>
    <row r="11" spans="1:29" ht="15.75" thickBot="1">
      <c r="A11" s="2951"/>
      <c r="B11" s="2955" t="s">
        <v>2773</v>
      </c>
      <c r="C11" s="536">
        <f>'数据-汇总表'!I6</f>
        <v>2.41</v>
      </c>
      <c r="D11" s="255">
        <v>100</v>
      </c>
      <c r="E11" s="536">
        <v>4.5</v>
      </c>
      <c r="F11" s="255">
        <f>LOOKUP(E11,68:68,69:69)-LOOKUP(C11,68:68,69:69)+100</f>
        <v>98</v>
      </c>
      <c r="G11" s="537">
        <v>4.5</v>
      </c>
      <c r="H11" s="255">
        <f>LOOKUP(G11,68:68,69:69)-LOOKUP(C11,68:68,69:69)+100</f>
        <v>98</v>
      </c>
      <c r="I11" s="536">
        <v>1.3</v>
      </c>
      <c r="J11" s="255">
        <f>LOOKUP(I11,68:68,69:69)-LOOKUP(C11,68:68,69:69)+100</f>
        <v>101</v>
      </c>
      <c r="K11" s="587">
        <v>1</v>
      </c>
      <c r="L11" s="2146"/>
      <c r="M11" s="2140"/>
      <c r="N11" s="2140"/>
      <c r="O11" s="2147"/>
      <c r="P11" s="3430"/>
      <c r="Q11" s="1151" t="str">
        <f t="shared" si="6"/>
        <v>容积率</v>
      </c>
      <c r="R11" s="1570" t="s">
        <v>8</v>
      </c>
      <c r="S11" s="1571">
        <f t="shared" si="0"/>
        <v>98</v>
      </c>
      <c r="T11" s="1570" t="s">
        <v>8</v>
      </c>
      <c r="U11" s="1571">
        <f t="shared" si="1"/>
        <v>98</v>
      </c>
      <c r="V11" s="1570" t="s">
        <v>8</v>
      </c>
      <c r="W11" s="1571">
        <f t="shared" si="2"/>
        <v>101</v>
      </c>
      <c r="X11" s="1572"/>
      <c r="Y11" s="3388"/>
      <c r="Z11" s="1150" t="str">
        <f t="shared" si="7"/>
        <v>容积率</v>
      </c>
      <c r="AA11" s="1573">
        <f t="shared" si="3"/>
        <v>1.0204081632653061</v>
      </c>
      <c r="AB11" s="1573">
        <f t="shared" si="4"/>
        <v>1.0204081632653061</v>
      </c>
      <c r="AC11" s="1573">
        <f t="shared" si="5"/>
        <v>0.99009900990099009</v>
      </c>
    </row>
    <row r="12" spans="1:29" s="1220" customFormat="1" ht="15" hidden="1">
      <c r="A12" s="2952"/>
      <c r="B12" s="2958"/>
      <c r="C12" s="531"/>
      <c r="D12" s="541">
        <v>100</v>
      </c>
      <c r="E12" s="542"/>
      <c r="F12" s="255">
        <f>SUMIF(70:70,E12,71:71)-SUMIF(70:70,C12,71:71)+100</f>
        <v>100</v>
      </c>
      <c r="G12" s="913"/>
      <c r="H12" s="255">
        <f>SUMIF(70:70,G12,71:71)-SUMIF(70:70,C12,71:71)+100</f>
        <v>100</v>
      </c>
      <c r="I12" s="542"/>
      <c r="J12" s="255">
        <f>SUMIF(70:70,I12,71:71)-SUMIF(70:70,C12,71:71)+100</f>
        <v>100</v>
      </c>
      <c r="K12" s="584"/>
      <c r="L12" s="2141"/>
      <c r="M12" s="2142"/>
      <c r="N12" s="2142"/>
      <c r="O12" s="2143"/>
      <c r="P12" s="3430"/>
      <c r="Q12" s="1151">
        <f t="shared" si="6"/>
        <v>0</v>
      </c>
      <c r="R12" s="1570" t="s">
        <v>8</v>
      </c>
      <c r="S12" s="1571">
        <f t="shared" si="0"/>
        <v>100</v>
      </c>
      <c r="T12" s="1570" t="s">
        <v>8</v>
      </c>
      <c r="U12" s="1571">
        <f t="shared" si="1"/>
        <v>100</v>
      </c>
      <c r="V12" s="1570" t="s">
        <v>8</v>
      </c>
      <c r="W12" s="1571">
        <f t="shared" si="2"/>
        <v>100</v>
      </c>
      <c r="X12" s="1572"/>
      <c r="Y12" s="3388"/>
      <c r="Z12" s="1150">
        <f t="shared" si="7"/>
        <v>0</v>
      </c>
      <c r="AA12" s="1573">
        <f>D12/F12</f>
        <v>1</v>
      </c>
      <c r="AB12" s="1573">
        <f>D12/H12</f>
        <v>1</v>
      </c>
      <c r="AC12" s="1573">
        <f>D12/J12</f>
        <v>1</v>
      </c>
    </row>
    <row r="13" spans="1:29" ht="15" hidden="1">
      <c r="A13" s="2952"/>
      <c r="B13" s="2958"/>
      <c r="C13" s="542"/>
      <c r="D13" s="543">
        <v>100</v>
      </c>
      <c r="E13" s="542"/>
      <c r="F13" s="255">
        <f>SUMIF(72:72,E13,73:73)-SUMIF(72:72,C13,73:73)+100</f>
        <v>100</v>
      </c>
      <c r="G13" s="913"/>
      <c r="H13" s="543">
        <f>SUMIF(72:72,G13,73:73)-SUMIF(72:72,C13,73:73)+100</f>
        <v>100</v>
      </c>
      <c r="I13" s="542"/>
      <c r="J13" s="543">
        <f>SUMIF(72:72,I13,73:73)-SUMIF(72:72,C13,73:73)+100</f>
        <v>100</v>
      </c>
      <c r="K13" s="584"/>
      <c r="L13" s="2148"/>
      <c r="M13" s="2140"/>
      <c r="N13" s="2140"/>
      <c r="O13" s="2147"/>
      <c r="P13" s="3430"/>
      <c r="Q13" s="1151">
        <f t="shared" si="6"/>
        <v>0</v>
      </c>
      <c r="R13" s="1570" t="s">
        <v>8</v>
      </c>
      <c r="S13" s="1571">
        <f t="shared" si="0"/>
        <v>100</v>
      </c>
      <c r="T13" s="1570" t="s">
        <v>8</v>
      </c>
      <c r="U13" s="1571">
        <f t="shared" si="1"/>
        <v>100</v>
      </c>
      <c r="V13" s="1570" t="s">
        <v>8</v>
      </c>
      <c r="W13" s="1571">
        <f t="shared" si="2"/>
        <v>100</v>
      </c>
      <c r="X13" s="1572"/>
      <c r="Y13" s="3388"/>
      <c r="Z13" s="1150">
        <f t="shared" si="7"/>
        <v>0</v>
      </c>
      <c r="AA13" s="1573">
        <f t="shared" si="3"/>
        <v>1</v>
      </c>
      <c r="AB13" s="1573">
        <f t="shared" si="4"/>
        <v>1</v>
      </c>
      <c r="AC13" s="1573">
        <f t="shared" si="5"/>
        <v>1</v>
      </c>
    </row>
    <row r="14" spans="1:29" ht="15.75" hidden="1" thickBot="1">
      <c r="A14" s="2953"/>
      <c r="B14" s="2959"/>
      <c r="C14" s="548"/>
      <c r="D14" s="549">
        <v>100</v>
      </c>
      <c r="E14" s="548"/>
      <c r="F14" s="549">
        <f>SUMIF(74:74,E14,75:75)-SUMIF(74:74,C14,75:75)+100</f>
        <v>100</v>
      </c>
      <c r="G14" s="913"/>
      <c r="H14" s="549">
        <f>SUMIF(74:74,G14,75:75)-SUMIF(74:74,C14,75:75)+100</f>
        <v>100</v>
      </c>
      <c r="I14" s="542"/>
      <c r="J14" s="549">
        <f>SUMIF(74:74,I14,75:75)-SUMIF(74:74,C14,75:75)+100</f>
        <v>100</v>
      </c>
      <c r="K14" s="584"/>
      <c r="L14" s="2148"/>
      <c r="M14" s="2140"/>
      <c r="N14" s="2140"/>
      <c r="O14" s="2147"/>
      <c r="P14" s="3430"/>
      <c r="Q14" s="1151">
        <f t="shared" si="6"/>
        <v>0</v>
      </c>
      <c r="R14" s="1570" t="s">
        <v>8</v>
      </c>
      <c r="S14" s="1571">
        <f t="shared" si="0"/>
        <v>100</v>
      </c>
      <c r="T14" s="1570" t="s">
        <v>8</v>
      </c>
      <c r="U14" s="1571">
        <f t="shared" si="1"/>
        <v>100</v>
      </c>
      <c r="V14" s="1570" t="s">
        <v>8</v>
      </c>
      <c r="W14" s="1571">
        <f t="shared" si="2"/>
        <v>100</v>
      </c>
      <c r="X14" s="1572"/>
      <c r="Y14" s="3388"/>
      <c r="Z14" s="1150">
        <f t="shared" si="7"/>
        <v>0</v>
      </c>
      <c r="AA14" s="1573">
        <f t="shared" si="3"/>
        <v>1</v>
      </c>
      <c r="AB14" s="1573">
        <f t="shared" si="4"/>
        <v>1</v>
      </c>
      <c r="AC14" s="1573">
        <f t="shared" si="5"/>
        <v>1</v>
      </c>
    </row>
    <row r="15" spans="1:29" ht="85.5">
      <c r="A15" s="2945" t="s">
        <v>2769</v>
      </c>
      <c r="B15" s="166" t="s">
        <v>542</v>
      </c>
      <c r="C15" s="870" t="str">
        <f>估价对象房地状况!C4</f>
        <v>估价对象位于东坑镇中心城区，周边商业氛围成熟，人流量较大，商业繁华度较好。</v>
      </c>
      <c r="D15" s="552">
        <v>100</v>
      </c>
      <c r="E15" s="3163" t="s">
        <v>3276</v>
      </c>
      <c r="F15" s="554">
        <f>SUMIF(76:76,E16,77:77)-SUMIF(76:76,C16,77:77)+100</f>
        <v>100</v>
      </c>
      <c r="G15" s="3163" t="s">
        <v>3127</v>
      </c>
      <c r="H15" s="552">
        <f>SUMIF(76:76,G16,77:77)-SUMIF(76:76,C16,77:77)+100</f>
        <v>100</v>
      </c>
      <c r="I15" s="3163" t="s">
        <v>3127</v>
      </c>
      <c r="J15" s="552">
        <f>SUMIF(76:76,I16,77:77)-SUMIF(76:76,C16,77:77)+100</f>
        <v>100</v>
      </c>
      <c r="K15" s="901">
        <v>2</v>
      </c>
      <c r="L15" s="2148"/>
      <c r="M15" s="2140"/>
      <c r="N15" s="2140"/>
      <c r="O15" s="2147"/>
      <c r="P15" s="3432" t="s">
        <v>541</v>
      </c>
      <c r="Q15" s="1574" t="str">
        <f t="shared" si="6"/>
        <v>商业繁华度</v>
      </c>
      <c r="R15" s="1575" t="s">
        <v>8</v>
      </c>
      <c r="S15" s="1576">
        <f t="shared" si="0"/>
        <v>100</v>
      </c>
      <c r="T15" s="1575" t="s">
        <v>8</v>
      </c>
      <c r="U15" s="1576">
        <f t="shared" si="1"/>
        <v>100</v>
      </c>
      <c r="V15" s="1575" t="s">
        <v>8</v>
      </c>
      <c r="W15" s="1576">
        <f t="shared" si="2"/>
        <v>100</v>
      </c>
      <c r="X15" s="1569"/>
      <c r="Y15" s="3432" t="s">
        <v>541</v>
      </c>
      <c r="Z15" s="1577" t="str">
        <f t="shared" si="7"/>
        <v>商业繁华度</v>
      </c>
      <c r="AA15" s="1578">
        <f t="shared" si="3"/>
        <v>1</v>
      </c>
      <c r="AB15" s="1578">
        <f t="shared" si="4"/>
        <v>1</v>
      </c>
      <c r="AC15" s="1578">
        <f t="shared" si="5"/>
        <v>1</v>
      </c>
    </row>
    <row r="16" spans="1:29" ht="15">
      <c r="A16" s="535"/>
      <c r="B16" s="872"/>
      <c r="C16" s="579" t="s">
        <v>3000</v>
      </c>
      <c r="D16" s="558"/>
      <c r="E16" s="579" t="s">
        <v>3000</v>
      </c>
      <c r="F16" s="560"/>
      <c r="G16" s="579" t="s">
        <v>3000</v>
      </c>
      <c r="H16" s="562"/>
      <c r="I16" s="579" t="s">
        <v>3000</v>
      </c>
      <c r="J16" s="558"/>
      <c r="K16" s="902"/>
      <c r="L16" s="2148"/>
      <c r="M16" s="2140"/>
      <c r="N16" s="2140"/>
      <c r="O16" s="2147"/>
      <c r="P16" s="3433"/>
      <c r="Q16" s="1574"/>
      <c r="R16" s="1575"/>
      <c r="S16" s="1576"/>
      <c r="T16" s="1575"/>
      <c r="U16" s="1576"/>
      <c r="V16" s="1575"/>
      <c r="W16" s="1576"/>
      <c r="X16" s="1569"/>
      <c r="Y16" s="3433"/>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3277</v>
      </c>
      <c r="F17" s="566">
        <f>SUMIF(78:78,E18,79:79)-SUMIF(78:78,C18,79:79)+100</f>
        <v>100</v>
      </c>
      <c r="G17" s="565" t="s">
        <v>3220</v>
      </c>
      <c r="H17" s="568">
        <f>SUMIF(78:78,G18,79:79)-SUMIF(78:78,C18,79:79)+100</f>
        <v>100</v>
      </c>
      <c r="I17" s="565" t="s">
        <v>3220</v>
      </c>
      <c r="J17" s="568">
        <f>SUMIF(78:78,I18,79:79)-SUMIF(78:78,C18,79:79)+100</f>
        <v>100</v>
      </c>
      <c r="K17" s="901">
        <v>2</v>
      </c>
      <c r="L17" s="2148"/>
      <c r="M17" s="2140"/>
      <c r="N17" s="2140"/>
      <c r="O17" s="2147"/>
      <c r="P17" s="3433"/>
      <c r="Q17" s="1574" t="str">
        <f>B17</f>
        <v>交通便捷度</v>
      </c>
      <c r="R17" s="1575" t="s">
        <v>8</v>
      </c>
      <c r="S17" s="1576">
        <f>F17</f>
        <v>100</v>
      </c>
      <c r="T17" s="1575" t="s">
        <v>8</v>
      </c>
      <c r="U17" s="1576">
        <f>H17</f>
        <v>100</v>
      </c>
      <c r="V17" s="1575" t="s">
        <v>8</v>
      </c>
      <c r="W17" s="1576">
        <f>J17</f>
        <v>100</v>
      </c>
      <c r="X17" s="1569"/>
      <c r="Y17" s="3433"/>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902"/>
      <c r="L18" s="2148"/>
      <c r="M18" s="2140"/>
      <c r="N18" s="2140"/>
      <c r="O18" s="2147"/>
      <c r="P18" s="3433"/>
      <c r="Q18" s="1574"/>
      <c r="R18" s="1575"/>
      <c r="S18" s="1576"/>
      <c r="T18" s="1575"/>
      <c r="U18" s="1576"/>
      <c r="V18" s="1575"/>
      <c r="W18" s="1576"/>
      <c r="X18" s="1569"/>
      <c r="Y18" s="3433"/>
      <c r="Z18" s="1577"/>
      <c r="AA18" s="1578">
        <v>1</v>
      </c>
      <c r="AB18" s="1578">
        <v>1</v>
      </c>
      <c r="AC18" s="1578">
        <v>1</v>
      </c>
    </row>
    <row r="19" spans="1:29" ht="201" customHeight="1">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3" t="s">
        <v>3278</v>
      </c>
      <c r="F19" s="574">
        <f>SUMIF(80:80,E20,81:81)-SUMIF(80:80,C20,81:81)+100</f>
        <v>100</v>
      </c>
      <c r="G19" s="573" t="s">
        <v>3128</v>
      </c>
      <c r="H19" s="562">
        <f>SUMIF(80:80,G20,81:81)-SUMIF(80:80,C20,81:81)+100</f>
        <v>100</v>
      </c>
      <c r="I19" s="573" t="s">
        <v>3128</v>
      </c>
      <c r="J19" s="562">
        <f>SUMIF(80:80,I20,81:81)-SUMIF(80:80,C20,81:81)+100</f>
        <v>100</v>
      </c>
      <c r="K19" s="901">
        <v>2</v>
      </c>
      <c r="L19" s="2148"/>
      <c r="M19" s="2140"/>
      <c r="N19" s="2140"/>
      <c r="O19" s="2147"/>
      <c r="P19" s="3433"/>
      <c r="Q19" s="1574" t="str">
        <f>B19</f>
        <v>公共配套设施</v>
      </c>
      <c r="R19" s="1575" t="s">
        <v>8</v>
      </c>
      <c r="S19" s="1576">
        <f>F19</f>
        <v>100</v>
      </c>
      <c r="T19" s="1575" t="s">
        <v>8</v>
      </c>
      <c r="U19" s="1576">
        <f>H19</f>
        <v>100</v>
      </c>
      <c r="V19" s="1575" t="s">
        <v>8</v>
      </c>
      <c r="W19" s="1576">
        <f>J19</f>
        <v>100</v>
      </c>
      <c r="X19" s="1569"/>
      <c r="Y19" s="3433"/>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902"/>
      <c r="L20" s="2148"/>
      <c r="M20" s="2140"/>
      <c r="N20" s="2140"/>
      <c r="O20" s="2147"/>
      <c r="P20" s="3433"/>
      <c r="Q20" s="1574"/>
      <c r="R20" s="1575"/>
      <c r="S20" s="1576"/>
      <c r="T20" s="1575"/>
      <c r="U20" s="1576"/>
      <c r="V20" s="1575"/>
      <c r="W20" s="1576"/>
      <c r="X20" s="1569"/>
      <c r="Y20" s="3433"/>
      <c r="Z20" s="1577"/>
      <c r="AA20" s="1578">
        <v>1</v>
      </c>
      <c r="AB20" s="1578">
        <v>1</v>
      </c>
      <c r="AC20" s="1578">
        <v>1</v>
      </c>
    </row>
    <row r="21" spans="1:29" ht="42.75">
      <c r="A21" s="535"/>
      <c r="B21" s="2624" t="s">
        <v>2570</v>
      </c>
      <c r="C21" s="875" t="str">
        <f>估价对象房地状况!C8</f>
        <v>估价对象所在区域基础设施水平达“六通”。</v>
      </c>
      <c r="D21" s="568">
        <v>100</v>
      </c>
      <c r="E21" s="575" t="s">
        <v>3129</v>
      </c>
      <c r="F21" s="574">
        <f>SUMIF(82:82,E22,83:83)-SUMIF(82:82,C22,83:83)+100</f>
        <v>100</v>
      </c>
      <c r="G21" s="575" t="s">
        <v>3129</v>
      </c>
      <c r="H21" s="568">
        <f>SUMIF(82:82,G22,83:83)-SUMIF(82:82,C22,83:83)+100</f>
        <v>100</v>
      </c>
      <c r="I21" s="575" t="s">
        <v>3129</v>
      </c>
      <c r="J21" s="568">
        <f>SUMIF(82:82,I22,83:83)-SUMIF(82:82,C22,83:83)+100</f>
        <v>100</v>
      </c>
      <c r="K21" s="901">
        <v>2</v>
      </c>
      <c r="L21" s="2148"/>
      <c r="M21" s="2140"/>
      <c r="N21" s="2140"/>
      <c r="O21" s="2147"/>
      <c r="P21" s="3433"/>
      <c r="Q21" s="2610" t="str">
        <f>B21</f>
        <v>基础设施水平</v>
      </c>
      <c r="R21" s="1575" t="s">
        <v>8</v>
      </c>
      <c r="S21" s="1576">
        <f>F21</f>
        <v>100</v>
      </c>
      <c r="T21" s="1575" t="s">
        <v>8</v>
      </c>
      <c r="U21" s="1576">
        <f>H21</f>
        <v>100</v>
      </c>
      <c r="V21" s="1575" t="s">
        <v>8</v>
      </c>
      <c r="W21" s="1576">
        <f>J21</f>
        <v>100</v>
      </c>
      <c r="X21" s="2612"/>
      <c r="Y21" s="3433"/>
      <c r="Z21" s="2611" t="str">
        <f>Q21</f>
        <v>基础设施水平</v>
      </c>
      <c r="AA21" s="1578">
        <f t="shared" ref="AA21" si="8">D21/F21</f>
        <v>1</v>
      </c>
      <c r="AB21" s="1578">
        <f t="shared" ref="AB21" si="9">D21/H21</f>
        <v>1</v>
      </c>
      <c r="AC21" s="1578">
        <f t="shared" ref="AC21" si="10">D21/J21</f>
        <v>1</v>
      </c>
    </row>
    <row r="22" spans="1:29" ht="15">
      <c r="A22" s="535"/>
      <c r="B22" s="923"/>
      <c r="C22" s="876" t="s">
        <v>3001</v>
      </c>
      <c r="D22" s="558"/>
      <c r="E22" s="579" t="s">
        <v>3001</v>
      </c>
      <c r="F22" s="560"/>
      <c r="G22" s="579" t="s">
        <v>3001</v>
      </c>
      <c r="H22" s="558"/>
      <c r="I22" s="579" t="s">
        <v>3001</v>
      </c>
      <c r="J22" s="558"/>
      <c r="K22" s="2633"/>
      <c r="L22" s="2148"/>
      <c r="M22" s="2140"/>
      <c r="N22" s="2140"/>
      <c r="O22" s="2147"/>
      <c r="P22" s="3433"/>
      <c r="Q22" s="2610"/>
      <c r="R22" s="1575"/>
      <c r="S22" s="1576"/>
      <c r="T22" s="1575"/>
      <c r="U22" s="1576"/>
      <c r="V22" s="1575"/>
      <c r="W22" s="1576"/>
      <c r="X22" s="2612"/>
      <c r="Y22" s="3433"/>
      <c r="Z22" s="2611"/>
      <c r="AA22" s="1578">
        <v>1</v>
      </c>
      <c r="AB22" s="1578">
        <v>1</v>
      </c>
      <c r="AC22" s="1578">
        <v>1</v>
      </c>
    </row>
    <row r="23" spans="1:29" ht="142.5">
      <c r="A23" s="535"/>
      <c r="B23" s="874" t="s">
        <v>297</v>
      </c>
      <c r="C23" s="903" t="str">
        <f>估价对象房地状况!C9</f>
        <v>估价对象所在区有鹰岭公园，绿化较好，自然环境较好；所在区域有东莞市广播大学东坑分校等设施，人文环境较好；综合评价自然及人文环境较好。</v>
      </c>
      <c r="D23" s="562">
        <v>100</v>
      </c>
      <c r="E23" s="3148" t="s">
        <v>3279</v>
      </c>
      <c r="F23" s="566">
        <f>SUMIF(84:84,E24,85:85)-SUMIF(84:84,C24,85:85)+100</f>
        <v>100</v>
      </c>
      <c r="G23" s="3148" t="s">
        <v>3130</v>
      </c>
      <c r="H23" s="562">
        <f>SUMIF(84:84,G24,85:85)-SUMIF(84:84,C24,85:85)+100</f>
        <v>100</v>
      </c>
      <c r="I23" s="3148" t="s">
        <v>3130</v>
      </c>
      <c r="J23" s="562">
        <f>SUMIF(84:84,I24,85:85)-SUMIF(84:84,C24,85:85)+100</f>
        <v>100</v>
      </c>
      <c r="K23" s="901">
        <v>2</v>
      </c>
      <c r="L23" s="2148"/>
      <c r="M23" s="2140"/>
      <c r="N23" s="2140"/>
      <c r="O23" s="2147"/>
      <c r="P23" s="3433"/>
      <c r="Q23" s="1574" t="str">
        <f>B23</f>
        <v>自然及人文环境</v>
      </c>
      <c r="R23" s="1575" t="s">
        <v>8</v>
      </c>
      <c r="S23" s="1576">
        <f>F23</f>
        <v>100</v>
      </c>
      <c r="T23" s="1575" t="s">
        <v>8</v>
      </c>
      <c r="U23" s="1576">
        <f>H23</f>
        <v>100</v>
      </c>
      <c r="V23" s="1575" t="s">
        <v>8</v>
      </c>
      <c r="W23" s="1576">
        <f>J23</f>
        <v>100</v>
      </c>
      <c r="X23" s="1569"/>
      <c r="Y23" s="3433"/>
      <c r="Z23" s="1577" t="str">
        <f>Q23</f>
        <v>自然及人文环境</v>
      </c>
      <c r="AA23" s="1578">
        <f t="shared" si="3"/>
        <v>1</v>
      </c>
      <c r="AB23" s="1578">
        <f t="shared" si="4"/>
        <v>1</v>
      </c>
      <c r="AC23" s="1578">
        <f t="shared" si="5"/>
        <v>1</v>
      </c>
    </row>
    <row r="24" spans="1:29" ht="15">
      <c r="A24" s="535"/>
      <c r="B24" s="598"/>
      <c r="C24" s="579" t="s">
        <v>3000</v>
      </c>
      <c r="D24" s="558"/>
      <c r="E24" s="559" t="s">
        <v>3000</v>
      </c>
      <c r="F24" s="560"/>
      <c r="G24" s="561" t="s">
        <v>3000</v>
      </c>
      <c r="H24" s="558"/>
      <c r="I24" s="559" t="s">
        <v>3000</v>
      </c>
      <c r="J24" s="558"/>
      <c r="K24" s="902"/>
      <c r="L24" s="2148"/>
      <c r="M24" s="2140"/>
      <c r="N24" s="2140"/>
      <c r="O24" s="2147"/>
      <c r="P24" s="3433"/>
      <c r="Q24" s="1574"/>
      <c r="R24" s="1575"/>
      <c r="S24" s="1576"/>
      <c r="T24" s="1575"/>
      <c r="U24" s="1576"/>
      <c r="V24" s="1575"/>
      <c r="W24" s="1576"/>
      <c r="X24" s="1569"/>
      <c r="Y24" s="3433"/>
      <c r="Z24" s="1577"/>
      <c r="AA24" s="1578">
        <v>1</v>
      </c>
      <c r="AB24" s="1578">
        <v>1</v>
      </c>
      <c r="AC24" s="1578">
        <v>1</v>
      </c>
    </row>
    <row r="25" spans="1:29" ht="15">
      <c r="A25" s="535"/>
      <c r="B25" s="530" t="s">
        <v>548</v>
      </c>
      <c r="C25" s="586" t="s">
        <v>3093</v>
      </c>
      <c r="D25" s="543">
        <v>100</v>
      </c>
      <c r="E25" s="586" t="s">
        <v>3093</v>
      </c>
      <c r="F25" s="578">
        <f>SUMIF(86:86,E25,87:87)-SUMIF(86:86,C25,87:87)+100</f>
        <v>100</v>
      </c>
      <c r="G25" s="586" t="s">
        <v>3093</v>
      </c>
      <c r="H25" s="543">
        <f>SUMIF(86:86,G25,87:87)-SUMIF(86:86,C25,87:87)+100</f>
        <v>100</v>
      </c>
      <c r="I25" s="586" t="s">
        <v>3093</v>
      </c>
      <c r="J25" s="543">
        <f>SUMIF(86:86,I25,87:87)-SUMIF(86:86,C25,87:87)+100</f>
        <v>100</v>
      </c>
      <c r="K25" s="587">
        <v>2</v>
      </c>
      <c r="L25" s="2148"/>
      <c r="M25" s="2140"/>
      <c r="N25" s="2140"/>
      <c r="O25" s="2147"/>
      <c r="P25" s="3433"/>
      <c r="Q25" s="1574" t="str">
        <f t="shared" ref="Q25:Q46" si="11">B25</f>
        <v>临街状况</v>
      </c>
      <c r="R25" s="1575" t="s">
        <v>8</v>
      </c>
      <c r="S25" s="1576">
        <f>F25</f>
        <v>100</v>
      </c>
      <c r="T25" s="1575" t="s">
        <v>8</v>
      </c>
      <c r="U25" s="1576">
        <f>H25</f>
        <v>100</v>
      </c>
      <c r="V25" s="1575" t="s">
        <v>8</v>
      </c>
      <c r="W25" s="1576">
        <f>J25</f>
        <v>100</v>
      </c>
      <c r="X25" s="1569"/>
      <c r="Y25" s="3433"/>
      <c r="Z25" s="1577" t="str">
        <f>Q25</f>
        <v>临街状况</v>
      </c>
      <c r="AA25" s="1578">
        <f t="shared" si="3"/>
        <v>1</v>
      </c>
      <c r="AB25" s="1578">
        <f t="shared" si="4"/>
        <v>1</v>
      </c>
      <c r="AC25" s="1578">
        <f t="shared" si="5"/>
        <v>1</v>
      </c>
    </row>
    <row r="26" spans="1:29" ht="15">
      <c r="A26" s="535"/>
      <c r="B26" s="880" t="s">
        <v>761</v>
      </c>
      <c r="C26" s="3168" t="s">
        <v>3098</v>
      </c>
      <c r="D26" s="543">
        <v>100</v>
      </c>
      <c r="E26" s="3168" t="s">
        <v>3098</v>
      </c>
      <c r="F26" s="578">
        <f>SUMIF(88:88,E26,89:89)-SUMIF(88:88,C26,89:89)+100</f>
        <v>100</v>
      </c>
      <c r="G26" s="3168" t="s">
        <v>3098</v>
      </c>
      <c r="H26" s="543">
        <f>SUMIF(88:88,G26,89:89)-SUMIF(88:88,C26,89:89)+100</f>
        <v>100</v>
      </c>
      <c r="I26" s="3168" t="s">
        <v>3098</v>
      </c>
      <c r="J26" s="543">
        <f>SUMIF(88:88,I26,89:89)-SUMIF(88:88,C26,89:89)+100</f>
        <v>100</v>
      </c>
      <c r="K26" s="584"/>
      <c r="L26" s="2148"/>
      <c r="M26" s="2140"/>
      <c r="N26" s="2140"/>
      <c r="O26" s="2147"/>
      <c r="P26" s="3433"/>
      <c r="Q26" s="1574" t="str">
        <f t="shared" si="11"/>
        <v>平面位置/可视性</v>
      </c>
      <c r="R26" s="1575" t="s">
        <v>8</v>
      </c>
      <c r="S26" s="1576">
        <f>F26</f>
        <v>100</v>
      </c>
      <c r="T26" s="1575" t="s">
        <v>8</v>
      </c>
      <c r="U26" s="1576">
        <f>H26</f>
        <v>100</v>
      </c>
      <c r="V26" s="1575" t="s">
        <v>8</v>
      </c>
      <c r="W26" s="1576">
        <f>J26</f>
        <v>100</v>
      </c>
      <c r="X26" s="1569"/>
      <c r="Y26" s="3433"/>
      <c r="Z26" s="1577" t="str">
        <f>Q26</f>
        <v>平面位置/可视性</v>
      </c>
      <c r="AA26" s="1578">
        <f t="shared" si="3"/>
        <v>1</v>
      </c>
      <c r="AB26" s="1578">
        <f t="shared" si="4"/>
        <v>1</v>
      </c>
      <c r="AC26" s="1578">
        <f t="shared" si="5"/>
        <v>1</v>
      </c>
    </row>
    <row r="27" spans="1:29" s="1220" customFormat="1" ht="15">
      <c r="A27" s="539"/>
      <c r="B27" s="874" t="s">
        <v>762</v>
      </c>
      <c r="C27" s="904" t="s">
        <v>3086</v>
      </c>
      <c r="D27" s="878">
        <v>100</v>
      </c>
      <c r="E27" s="904" t="s">
        <v>3086</v>
      </c>
      <c r="F27" s="879">
        <f>SUMIF(90:90,E27,91:91)-SUMIF(90:90,C27,91:91)+100</f>
        <v>100</v>
      </c>
      <c r="G27" s="904" t="s">
        <v>3086</v>
      </c>
      <c r="H27" s="878">
        <f>SUMIF(90:90,G27,91:91)-SUMIF(90:90,C27,91:91)+100</f>
        <v>100</v>
      </c>
      <c r="I27" s="904" t="s">
        <v>3086</v>
      </c>
      <c r="J27" s="878">
        <f>SUMIF(90:90,I27,91:91)-SUMIF(90:90,C27,91:91)+100</f>
        <v>100</v>
      </c>
      <c r="K27" s="587">
        <v>3</v>
      </c>
      <c r="L27" s="2141"/>
      <c r="M27" s="2142"/>
      <c r="N27" s="2142"/>
      <c r="O27" s="2143"/>
      <c r="P27" s="3433"/>
      <c r="Q27" s="1151" t="str">
        <f t="shared" si="11"/>
        <v>人流量</v>
      </c>
      <c r="R27" s="1570" t="s">
        <v>8</v>
      </c>
      <c r="S27" s="1571">
        <f>F27</f>
        <v>100</v>
      </c>
      <c r="T27" s="1570" t="s">
        <v>8</v>
      </c>
      <c r="U27" s="1571">
        <f>H27</f>
        <v>100</v>
      </c>
      <c r="V27" s="1570" t="s">
        <v>8</v>
      </c>
      <c r="W27" s="1571">
        <f>J27</f>
        <v>100</v>
      </c>
      <c r="X27" s="1572"/>
      <c r="Y27" s="3433"/>
      <c r="Z27" s="1150" t="str">
        <f>Q27</f>
        <v>人流量</v>
      </c>
      <c r="AA27" s="1578">
        <f>D27/F27</f>
        <v>1</v>
      </c>
      <c r="AB27" s="1578">
        <f>D27/H27</f>
        <v>1</v>
      </c>
      <c r="AC27" s="1578">
        <f>D27/J27</f>
        <v>1</v>
      </c>
    </row>
    <row r="28" spans="1:29" ht="15.75" thickBot="1">
      <c r="A28" s="535"/>
      <c r="B28" s="530" t="s">
        <v>764</v>
      </c>
      <c r="C28" s="586" t="s">
        <v>3126</v>
      </c>
      <c r="D28" s="543">
        <v>100</v>
      </c>
      <c r="E28" s="586" t="s">
        <v>3126</v>
      </c>
      <c r="F28" s="578">
        <f>SUMIF(92:92,E28,93:93)-SUMIF(92:92,C28,93:93)+100</f>
        <v>100</v>
      </c>
      <c r="G28" s="586" t="s">
        <v>3126</v>
      </c>
      <c r="H28" s="543">
        <f>SUMIF(92:92,G28,93:93)-SUMIF(92:92,C28,93:93)+100</f>
        <v>100</v>
      </c>
      <c r="I28" s="586" t="s">
        <v>3126</v>
      </c>
      <c r="J28" s="543">
        <f>SUMIF(92:92,I28,93:93)-SUMIF(92:92,C28,93:93)+100</f>
        <v>100</v>
      </c>
      <c r="K28" s="584"/>
      <c r="L28" s="2148"/>
      <c r="M28" s="2140"/>
      <c r="N28" s="2140"/>
      <c r="O28" s="2147"/>
      <c r="P28" s="343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33"/>
      <c r="Z28" s="1577" t="str">
        <f t="shared" ref="Z28:Z46" si="15">Q28</f>
        <v>楼层</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584"/>
      <c r="L29" s="2148"/>
      <c r="M29" s="2140"/>
      <c r="N29" s="2140"/>
      <c r="O29" s="2147"/>
      <c r="P29" s="3433"/>
      <c r="Q29" s="1574">
        <f t="shared" si="11"/>
        <v>0</v>
      </c>
      <c r="R29" s="1575" t="s">
        <v>8</v>
      </c>
      <c r="S29" s="1576">
        <f t="shared" si="12"/>
        <v>100</v>
      </c>
      <c r="T29" s="1575" t="s">
        <v>8</v>
      </c>
      <c r="U29" s="1576">
        <f t="shared" si="13"/>
        <v>100</v>
      </c>
      <c r="V29" s="1575" t="s">
        <v>8</v>
      </c>
      <c r="W29" s="1576">
        <f t="shared" si="14"/>
        <v>100</v>
      </c>
      <c r="X29" s="1569"/>
      <c r="Y29" s="3433"/>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148"/>
      <c r="M30" s="2140"/>
      <c r="N30" s="2140"/>
      <c r="O30" s="2147"/>
      <c r="P30" s="3433"/>
      <c r="Q30" s="1574">
        <f t="shared" si="11"/>
        <v>0</v>
      </c>
      <c r="R30" s="1575" t="s">
        <v>8</v>
      </c>
      <c r="S30" s="1576">
        <f t="shared" si="12"/>
        <v>100</v>
      </c>
      <c r="T30" s="1575" t="s">
        <v>8</v>
      </c>
      <c r="U30" s="1576">
        <f t="shared" si="13"/>
        <v>100</v>
      </c>
      <c r="V30" s="1575" t="s">
        <v>8</v>
      </c>
      <c r="W30" s="1576">
        <f t="shared" si="14"/>
        <v>100</v>
      </c>
      <c r="X30" s="1569"/>
      <c r="Y30" s="3433"/>
      <c r="Z30" s="1577">
        <f t="shared" si="15"/>
        <v>0</v>
      </c>
      <c r="AA30" s="1578">
        <f t="shared" si="3"/>
        <v>1</v>
      </c>
      <c r="AB30" s="1578">
        <f t="shared" si="4"/>
        <v>1</v>
      </c>
      <c r="AC30" s="1578">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148"/>
      <c r="M31" s="2140"/>
      <c r="N31" s="2140"/>
      <c r="O31" s="2147"/>
      <c r="P31" s="3433"/>
      <c r="Q31" s="1574">
        <f t="shared" si="11"/>
        <v>0</v>
      </c>
      <c r="R31" s="1575" t="s">
        <v>8</v>
      </c>
      <c r="S31" s="1576">
        <f t="shared" si="12"/>
        <v>100</v>
      </c>
      <c r="T31" s="1575" t="s">
        <v>8</v>
      </c>
      <c r="U31" s="1576">
        <f t="shared" si="13"/>
        <v>100</v>
      </c>
      <c r="V31" s="1575" t="s">
        <v>8</v>
      </c>
      <c r="W31" s="1576">
        <f t="shared" si="14"/>
        <v>100</v>
      </c>
      <c r="X31" s="1569"/>
      <c r="Y31" s="3433"/>
      <c r="Z31" s="1577">
        <f t="shared" si="15"/>
        <v>0</v>
      </c>
      <c r="AA31" s="1578">
        <f t="shared" si="3"/>
        <v>1</v>
      </c>
      <c r="AB31" s="1578">
        <f t="shared" si="4"/>
        <v>1</v>
      </c>
      <c r="AC31" s="1578">
        <f t="shared" si="5"/>
        <v>1</v>
      </c>
    </row>
    <row r="32" spans="1:29" ht="15">
      <c r="A32" s="2942" t="s">
        <v>2770</v>
      </c>
      <c r="B32" s="172" t="s">
        <v>765</v>
      </c>
      <c r="C32" s="881" t="s">
        <v>3108</v>
      </c>
      <c r="D32" s="600">
        <v>100</v>
      </c>
      <c r="E32" s="881" t="s">
        <v>3108</v>
      </c>
      <c r="F32" s="578">
        <f>SUMIF(100:100,E32,101:101)-SUMIF(100:100,C32,101:101)+100</f>
        <v>100</v>
      </c>
      <c r="G32" s="881" t="s">
        <v>3108</v>
      </c>
      <c r="H32" s="543">
        <f>SUMIF(100:100,G32,101:101)-SUMIF(100:100,C32,101:101)+100</f>
        <v>100</v>
      </c>
      <c r="I32" s="881" t="s">
        <v>3108</v>
      </c>
      <c r="J32" s="600">
        <f>SUMIF(100:100,I32,101:101)-SUMIF(100:100,C32,101:101)+100</f>
        <v>100</v>
      </c>
      <c r="K32" s="587">
        <v>3</v>
      </c>
      <c r="L32" s="2148"/>
      <c r="M32" s="2140"/>
      <c r="N32" s="2140"/>
      <c r="O32" s="2147"/>
      <c r="P32" s="3434" t="s">
        <v>551</v>
      </c>
      <c r="Q32" s="1574" t="str">
        <f t="shared" si="11"/>
        <v>商业类型</v>
      </c>
      <c r="R32" s="1575" t="s">
        <v>8</v>
      </c>
      <c r="S32" s="1576">
        <f t="shared" si="12"/>
        <v>100</v>
      </c>
      <c r="T32" s="1575" t="s">
        <v>8</v>
      </c>
      <c r="U32" s="1576">
        <f t="shared" si="13"/>
        <v>100</v>
      </c>
      <c r="V32" s="1575" t="s">
        <v>8</v>
      </c>
      <c r="W32" s="1576">
        <f t="shared" si="14"/>
        <v>100</v>
      </c>
      <c r="X32" s="1569"/>
      <c r="Y32" s="3435" t="s">
        <v>551</v>
      </c>
      <c r="Z32" s="1577" t="str">
        <f t="shared" si="15"/>
        <v>商业类型</v>
      </c>
      <c r="AA32" s="1578">
        <f t="shared" si="3"/>
        <v>1</v>
      </c>
      <c r="AB32" s="1578">
        <f t="shared" si="4"/>
        <v>1</v>
      </c>
      <c r="AC32" s="1578">
        <f t="shared" si="5"/>
        <v>1</v>
      </c>
    </row>
    <row r="33" spans="1:29" s="1339" customFormat="1" ht="15" hidden="1">
      <c r="A33" s="606"/>
      <c r="B33" s="530" t="s">
        <v>729</v>
      </c>
      <c r="C33" s="883"/>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146"/>
      <c r="M33" s="2177"/>
      <c r="N33" s="2177"/>
      <c r="O33" s="2149"/>
      <c r="P33" s="3435"/>
      <c r="Q33" s="1607" t="str">
        <f t="shared" si="11"/>
        <v>项目建筑规模</v>
      </c>
      <c r="R33" s="1579" t="s">
        <v>8</v>
      </c>
      <c r="S33" s="1580">
        <f t="shared" si="12"/>
        <v>100</v>
      </c>
      <c r="T33" s="1579" t="s">
        <v>8</v>
      </c>
      <c r="U33" s="1580">
        <f t="shared" si="13"/>
        <v>100</v>
      </c>
      <c r="V33" s="1579" t="s">
        <v>8</v>
      </c>
      <c r="W33" s="1580">
        <f t="shared" si="14"/>
        <v>100</v>
      </c>
      <c r="X33" s="1581"/>
      <c r="Y33" s="3435"/>
      <c r="Z33" s="1582" t="str">
        <f t="shared" si="15"/>
        <v>项目建筑规模</v>
      </c>
      <c r="AA33" s="1578">
        <f t="shared" si="3"/>
        <v>1</v>
      </c>
      <c r="AB33" s="1578">
        <f t="shared" si="4"/>
        <v>1</v>
      </c>
      <c r="AC33" s="1578">
        <f t="shared" si="5"/>
        <v>1</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4" t="s">
        <v>3047</v>
      </c>
      <c r="J34" s="543">
        <f>SUMIF(105:105,I34,106:106)-SUMIF(105:105,C34,106:106)+100</f>
        <v>100</v>
      </c>
      <c r="K34" s="587">
        <v>2</v>
      </c>
      <c r="L34" s="2148"/>
      <c r="M34" s="2140"/>
      <c r="N34" s="2140"/>
      <c r="O34" s="2147"/>
      <c r="P34" s="3435"/>
      <c r="Q34" s="1574" t="str">
        <f t="shared" si="11"/>
        <v>建筑结构</v>
      </c>
      <c r="R34" s="1575" t="s">
        <v>8</v>
      </c>
      <c r="S34" s="1576">
        <f t="shared" si="12"/>
        <v>100</v>
      </c>
      <c r="T34" s="1575" t="s">
        <v>8</v>
      </c>
      <c r="U34" s="1576">
        <f t="shared" si="13"/>
        <v>100</v>
      </c>
      <c r="V34" s="1575" t="s">
        <v>8</v>
      </c>
      <c r="W34" s="1576">
        <f t="shared" si="14"/>
        <v>100</v>
      </c>
      <c r="X34" s="1569"/>
      <c r="Y34" s="3435"/>
      <c r="Z34" s="1577" t="str">
        <f t="shared" si="15"/>
        <v>建筑结构</v>
      </c>
      <c r="AA34" s="1578">
        <f t="shared" si="3"/>
        <v>1</v>
      </c>
      <c r="AB34" s="1578">
        <f t="shared" si="4"/>
        <v>1</v>
      </c>
      <c r="AC34" s="1578">
        <f t="shared" si="5"/>
        <v>1</v>
      </c>
    </row>
    <row r="35" spans="1:29" ht="15">
      <c r="A35" s="597"/>
      <c r="B35" s="530" t="s">
        <v>766</v>
      </c>
      <c r="C35" s="602" t="s">
        <v>3053</v>
      </c>
      <c r="D35" s="543">
        <v>100</v>
      </c>
      <c r="E35" s="602" t="s">
        <v>3053</v>
      </c>
      <c r="F35" s="578">
        <f>SUMIF(107:107,E35,108:108)-SUMIF(107:107,C35,108:108)+100</f>
        <v>100</v>
      </c>
      <c r="G35" s="602" t="s">
        <v>3053</v>
      </c>
      <c r="H35" s="543">
        <f>SUMIF(107:107,G35,108:108)-SUMIF(107:107,C35,108:108)+100</f>
        <v>100</v>
      </c>
      <c r="I35" s="602" t="s">
        <v>3053</v>
      </c>
      <c r="J35" s="543">
        <f>SUMIF(107:107,I35,108:108)-SUMIF(107:107,C35,108:108)+100</f>
        <v>100</v>
      </c>
      <c r="K35" s="587">
        <v>2</v>
      </c>
      <c r="L35" s="2148"/>
      <c r="M35" s="2140"/>
      <c r="N35" s="2140"/>
      <c r="O35" s="2147"/>
      <c r="P35" s="3435"/>
      <c r="Q35" s="1574" t="str">
        <f t="shared" si="11"/>
        <v>公共部分装修</v>
      </c>
      <c r="R35" s="1575" t="s">
        <v>8</v>
      </c>
      <c r="S35" s="1576">
        <f t="shared" si="12"/>
        <v>100</v>
      </c>
      <c r="T35" s="1575" t="s">
        <v>8</v>
      </c>
      <c r="U35" s="1576">
        <f t="shared" si="13"/>
        <v>100</v>
      </c>
      <c r="V35" s="1575" t="s">
        <v>8</v>
      </c>
      <c r="W35" s="1576">
        <f t="shared" si="14"/>
        <v>100</v>
      </c>
      <c r="X35" s="1569"/>
      <c r="Y35" s="3435"/>
      <c r="Z35" s="1577" t="str">
        <f t="shared" si="15"/>
        <v>公共部分装修</v>
      </c>
      <c r="AA35" s="1578">
        <f t="shared" si="3"/>
        <v>1</v>
      </c>
      <c r="AB35" s="1578">
        <f t="shared" si="4"/>
        <v>1</v>
      </c>
      <c r="AC35" s="1578">
        <f t="shared" si="5"/>
        <v>1</v>
      </c>
    </row>
    <row r="36" spans="1:29" ht="15">
      <c r="A36" s="597"/>
      <c r="B36" s="530" t="s">
        <v>767</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2</v>
      </c>
      <c r="L36" s="2148"/>
      <c r="M36" s="2140"/>
      <c r="N36" s="2140"/>
      <c r="O36" s="2147"/>
      <c r="P36" s="3435"/>
      <c r="Q36" s="1574" t="str">
        <f t="shared" si="11"/>
        <v>成新度</v>
      </c>
      <c r="R36" s="1575" t="s">
        <v>8</v>
      </c>
      <c r="S36" s="1576">
        <f t="shared" si="12"/>
        <v>100</v>
      </c>
      <c r="T36" s="1575" t="s">
        <v>8</v>
      </c>
      <c r="U36" s="1576">
        <f t="shared" si="13"/>
        <v>100</v>
      </c>
      <c r="V36" s="1575" t="s">
        <v>8</v>
      </c>
      <c r="W36" s="1576">
        <f t="shared" si="14"/>
        <v>100</v>
      </c>
      <c r="X36" s="1569"/>
      <c r="Y36" s="3435"/>
      <c r="Z36" s="1577" t="str">
        <f t="shared" si="15"/>
        <v>成新度</v>
      </c>
      <c r="AA36" s="1578">
        <f t="shared" si="3"/>
        <v>1</v>
      </c>
      <c r="AB36" s="1578">
        <f t="shared" si="4"/>
        <v>1</v>
      </c>
      <c r="AC36" s="1578">
        <f t="shared" si="5"/>
        <v>1</v>
      </c>
    </row>
    <row r="37" spans="1:29" s="1220" customFormat="1" ht="15">
      <c r="A37" s="603"/>
      <c r="B37" s="1898" t="s">
        <v>2577</v>
      </c>
      <c r="C37" s="602" t="s">
        <v>3063</v>
      </c>
      <c r="D37" s="255">
        <v>100</v>
      </c>
      <c r="E37" s="602" t="s">
        <v>3063</v>
      </c>
      <c r="F37" s="578">
        <f>SUMIF(112:112,E37,113:113)-SUMIF(112:112,C37,113:113)+100</f>
        <v>100</v>
      </c>
      <c r="G37" s="602" t="s">
        <v>3063</v>
      </c>
      <c r="H37" s="543">
        <f>SUMIF(112:112,G37,113:113)-SUMIF(112:112,C37,113:113)+100</f>
        <v>100</v>
      </c>
      <c r="I37" s="602" t="s">
        <v>3063</v>
      </c>
      <c r="J37" s="543">
        <f>SUMIF(112:112,I37,113:113)-SUMIF(112:112,C37,113:113)+100</f>
        <v>100</v>
      </c>
      <c r="K37" s="587">
        <v>2</v>
      </c>
      <c r="L37" s="2141"/>
      <c r="M37" s="2142"/>
      <c r="N37" s="2142"/>
      <c r="O37" s="2143"/>
      <c r="P37" s="3435"/>
      <c r="Q37" s="1151" t="str">
        <f t="shared" si="11"/>
        <v>市政基础设施</v>
      </c>
      <c r="R37" s="1570" t="s">
        <v>8</v>
      </c>
      <c r="S37" s="1571">
        <f t="shared" si="12"/>
        <v>100</v>
      </c>
      <c r="T37" s="1570" t="s">
        <v>8</v>
      </c>
      <c r="U37" s="1571">
        <f t="shared" si="13"/>
        <v>100</v>
      </c>
      <c r="V37" s="1570" t="s">
        <v>8</v>
      </c>
      <c r="W37" s="1571">
        <f t="shared" si="14"/>
        <v>100</v>
      </c>
      <c r="X37" s="1572"/>
      <c r="Y37" s="3435"/>
      <c r="Z37" s="1150" t="str">
        <f t="shared" si="15"/>
        <v>市政基础设施</v>
      </c>
      <c r="AA37" s="1573">
        <f t="shared" si="3"/>
        <v>1</v>
      </c>
      <c r="AB37" s="1573">
        <f t="shared" si="4"/>
        <v>1</v>
      </c>
      <c r="AC37" s="1573">
        <f t="shared" si="5"/>
        <v>1</v>
      </c>
    </row>
    <row r="38" spans="1:29" ht="15">
      <c r="A38" s="597"/>
      <c r="B38" s="530" t="s">
        <v>768</v>
      </c>
      <c r="C38" s="3169" t="s">
        <v>3113</v>
      </c>
      <c r="D38" s="543">
        <v>100</v>
      </c>
      <c r="E38" s="602" t="s">
        <v>3113</v>
      </c>
      <c r="F38" s="578">
        <f>SUMIF(114:114,E38,115:115)-SUMIF(114:114,C38,115:115)+100</f>
        <v>100</v>
      </c>
      <c r="G38" s="602" t="s">
        <v>3113</v>
      </c>
      <c r="H38" s="543">
        <f>SUMIF(114:114,G38,115:115)-SUMIF(114:114,C38,115:115)+100</f>
        <v>100</v>
      </c>
      <c r="I38" s="602" t="s">
        <v>3113</v>
      </c>
      <c r="J38" s="543">
        <f>SUMIF(114:114,I38,115:115)-SUMIF(114:114,C38,115:115)+100</f>
        <v>100</v>
      </c>
      <c r="K38" s="587">
        <v>2</v>
      </c>
      <c r="L38" s="2148"/>
      <c r="M38" s="2140"/>
      <c r="N38" s="2140"/>
      <c r="O38" s="2147"/>
      <c r="P38" s="3435" t="s">
        <v>769</v>
      </c>
      <c r="Q38" s="1574" t="str">
        <f t="shared" si="11"/>
        <v>业态</v>
      </c>
      <c r="R38" s="1575" t="s">
        <v>8</v>
      </c>
      <c r="S38" s="1576">
        <f t="shared" si="12"/>
        <v>100</v>
      </c>
      <c r="T38" s="1575" t="s">
        <v>8</v>
      </c>
      <c r="U38" s="1576">
        <f t="shared" si="13"/>
        <v>100</v>
      </c>
      <c r="V38" s="1575" t="s">
        <v>8</v>
      </c>
      <c r="W38" s="1576">
        <f t="shared" si="14"/>
        <v>100</v>
      </c>
      <c r="X38" s="1569"/>
      <c r="Y38" s="3435" t="s">
        <v>769</v>
      </c>
      <c r="Z38" s="1577" t="str">
        <f t="shared" si="15"/>
        <v>业态</v>
      </c>
      <c r="AA38" s="1578">
        <f t="shared" si="3"/>
        <v>1</v>
      </c>
      <c r="AB38" s="1578">
        <f t="shared" si="4"/>
        <v>1</v>
      </c>
      <c r="AC38" s="1578">
        <f t="shared" si="5"/>
        <v>1</v>
      </c>
    </row>
    <row r="39" spans="1:29" ht="15.75" thickBot="1">
      <c r="A39" s="597"/>
      <c r="B39" s="530" t="s">
        <v>770</v>
      </c>
      <c r="C39" s="602" t="s">
        <v>3117</v>
      </c>
      <c r="D39" s="543">
        <v>100</v>
      </c>
      <c r="E39" s="602" t="s">
        <v>3117</v>
      </c>
      <c r="F39" s="578">
        <f>SUMIF(116:116,E39,117:117)-SUMIF(116:116,C39,117:117)+100</f>
        <v>100</v>
      </c>
      <c r="G39" s="602" t="s">
        <v>3117</v>
      </c>
      <c r="H39" s="543">
        <f>SUMIF(116:116,G39,117:117)-SUMIF(116:116,C39,117:117)+100</f>
        <v>100</v>
      </c>
      <c r="I39" s="602" t="s">
        <v>3117</v>
      </c>
      <c r="J39" s="543">
        <f>SUMIF(116:116,I39,117:117)-SUMIF(116:116,C39,117:117)+100</f>
        <v>100</v>
      </c>
      <c r="K39" s="587">
        <v>2</v>
      </c>
      <c r="L39" s="2148"/>
      <c r="M39" s="2140"/>
      <c r="N39" s="2140"/>
      <c r="O39" s="2147"/>
      <c r="P39" s="3435"/>
      <c r="Q39" s="1574" t="str">
        <f t="shared" si="11"/>
        <v>层高</v>
      </c>
      <c r="R39" s="1575" t="s">
        <v>8</v>
      </c>
      <c r="S39" s="1576">
        <f t="shared" si="12"/>
        <v>100</v>
      </c>
      <c r="T39" s="1575" t="s">
        <v>8</v>
      </c>
      <c r="U39" s="1576">
        <f t="shared" si="13"/>
        <v>100</v>
      </c>
      <c r="V39" s="1575" t="s">
        <v>8</v>
      </c>
      <c r="W39" s="1576">
        <f t="shared" si="14"/>
        <v>100</v>
      </c>
      <c r="X39" s="1569"/>
      <c r="Y39" s="3435"/>
      <c r="Z39" s="1577" t="str">
        <f t="shared" si="15"/>
        <v>层高</v>
      </c>
      <c r="AA39" s="1578">
        <f t="shared" si="3"/>
        <v>1</v>
      </c>
      <c r="AB39" s="1578">
        <f t="shared" si="4"/>
        <v>1</v>
      </c>
      <c r="AC39" s="1578">
        <f t="shared" si="5"/>
        <v>1</v>
      </c>
    </row>
    <row r="40" spans="1:29" ht="15.75" thickTop="1">
      <c r="A40" s="597"/>
      <c r="B40" s="530" t="s">
        <v>771</v>
      </c>
      <c r="C40" s="910" t="s">
        <v>3227</v>
      </c>
      <c r="D40" s="543">
        <v>100</v>
      </c>
      <c r="E40" s="910" t="s">
        <v>3227</v>
      </c>
      <c r="F40" s="578">
        <f>SUMIF(118:118,E40,119:119)-SUMIF(118:118,C40,119:119)+100</f>
        <v>100</v>
      </c>
      <c r="G40" s="910" t="s">
        <v>3227</v>
      </c>
      <c r="H40" s="543">
        <f>SUMIF(118:118,G40,119:119)-SUMIF(118:118,C40,119:119)+100</f>
        <v>100</v>
      </c>
      <c r="I40" s="910" t="s">
        <v>3227</v>
      </c>
      <c r="J40" s="543">
        <f>SUMIF(118:118,I40,119:119)-SUMIF(118:118,C40,119:119)+100</f>
        <v>100</v>
      </c>
      <c r="K40" s="584"/>
      <c r="L40" s="2148"/>
      <c r="M40" s="2140"/>
      <c r="N40" s="2140"/>
      <c r="O40" s="2147"/>
      <c r="P40" s="3435"/>
      <c r="Q40" s="1574" t="str">
        <f t="shared" si="11"/>
        <v>单套建筑面积</v>
      </c>
      <c r="R40" s="1575" t="s">
        <v>8</v>
      </c>
      <c r="S40" s="1576">
        <f t="shared" si="12"/>
        <v>100</v>
      </c>
      <c r="T40" s="1575" t="s">
        <v>8</v>
      </c>
      <c r="U40" s="1576">
        <f t="shared" si="13"/>
        <v>100</v>
      </c>
      <c r="V40" s="1575" t="s">
        <v>8</v>
      </c>
      <c r="W40" s="1576">
        <f t="shared" si="14"/>
        <v>100</v>
      </c>
      <c r="X40" s="1569"/>
      <c r="Y40" s="3435"/>
      <c r="Z40" s="1577" t="str">
        <f t="shared" si="15"/>
        <v>单套建筑面积</v>
      </c>
      <c r="AA40" s="1578">
        <f t="shared" si="3"/>
        <v>1</v>
      </c>
      <c r="AB40" s="1578">
        <f t="shared" si="4"/>
        <v>1</v>
      </c>
      <c r="AC40" s="1578">
        <f t="shared" si="5"/>
        <v>1</v>
      </c>
    </row>
    <row r="41" spans="1:29" s="1339" customFormat="1" ht="15">
      <c r="A41" s="606"/>
      <c r="B41" s="905" t="s">
        <v>772</v>
      </c>
      <c r="C41" s="586" t="s">
        <v>3013</v>
      </c>
      <c r="D41" s="543">
        <v>100</v>
      </c>
      <c r="E41" s="586" t="s">
        <v>3013</v>
      </c>
      <c r="F41" s="578">
        <f>SUMIF(120:120,E41,121:121)-SUMIF(120:120,C41,121:121)+100</f>
        <v>100</v>
      </c>
      <c r="G41" s="586" t="s">
        <v>3013</v>
      </c>
      <c r="H41" s="543">
        <f>SUMIF(120:120,G41,121:121)-SUMIF(120:120,C41,121:121)+100</f>
        <v>100</v>
      </c>
      <c r="I41" s="586" t="s">
        <v>3013</v>
      </c>
      <c r="J41" s="543">
        <f>SUMIF(120:120,I41,121:121)-SUMIF(120:120,C41,121:121)+100</f>
        <v>100</v>
      </c>
      <c r="K41" s="587">
        <v>2</v>
      </c>
      <c r="L41" s="2146"/>
      <c r="M41" s="2177"/>
      <c r="N41" s="2177"/>
      <c r="O41" s="2149"/>
      <c r="P41" s="3435"/>
      <c r="Q41" s="1607" t="str">
        <f t="shared" si="11"/>
        <v>进深比</v>
      </c>
      <c r="R41" s="1579" t="s">
        <v>8</v>
      </c>
      <c r="S41" s="1580">
        <f t="shared" si="12"/>
        <v>100</v>
      </c>
      <c r="T41" s="1579" t="s">
        <v>8</v>
      </c>
      <c r="U41" s="1580">
        <f t="shared" si="13"/>
        <v>100</v>
      </c>
      <c r="V41" s="1579" t="s">
        <v>8</v>
      </c>
      <c r="W41" s="1580">
        <f t="shared" si="14"/>
        <v>100</v>
      </c>
      <c r="X41" s="1581"/>
      <c r="Y41" s="3435"/>
      <c r="Z41" s="1582" t="str">
        <f t="shared" si="15"/>
        <v>进深比</v>
      </c>
      <c r="AA41" s="1578">
        <f t="shared" si="3"/>
        <v>1</v>
      </c>
      <c r="AB41" s="1578">
        <f t="shared" si="4"/>
        <v>1</v>
      </c>
      <c r="AC41" s="1578">
        <f t="shared" si="5"/>
        <v>1</v>
      </c>
    </row>
    <row r="42" spans="1:29" ht="15">
      <c r="A42" s="597"/>
      <c r="B42" s="530" t="s">
        <v>773</v>
      </c>
      <c r="C42" s="602" t="s">
        <v>3057</v>
      </c>
      <c r="D42" s="543">
        <v>100</v>
      </c>
      <c r="E42" s="602" t="s">
        <v>3057</v>
      </c>
      <c r="F42" s="578">
        <f>SUMIF(122:122,E42,123:123)-SUMIF(122:122,C42,123:123)+100</f>
        <v>100</v>
      </c>
      <c r="G42" s="602" t="s">
        <v>3057</v>
      </c>
      <c r="H42" s="543">
        <f>SUMIF(122:122,G42,123:123)-SUMIF(122:122,C42,123:123)+100</f>
        <v>100</v>
      </c>
      <c r="I42" s="602" t="s">
        <v>3057</v>
      </c>
      <c r="J42" s="543">
        <f>SUMIF(122:122,I42,123:123)-SUMIF(122:122,C42,123:123)+100</f>
        <v>100</v>
      </c>
      <c r="K42" s="587">
        <v>2</v>
      </c>
      <c r="L42" s="2148"/>
      <c r="M42" s="2140"/>
      <c r="N42" s="2140"/>
      <c r="O42" s="2147"/>
      <c r="P42" s="3435"/>
      <c r="Q42" s="1574" t="str">
        <f t="shared" si="11"/>
        <v>内部装修</v>
      </c>
      <c r="R42" s="1575" t="s">
        <v>8</v>
      </c>
      <c r="S42" s="1576">
        <f t="shared" si="12"/>
        <v>100</v>
      </c>
      <c r="T42" s="1575" t="s">
        <v>8</v>
      </c>
      <c r="U42" s="1576">
        <f t="shared" si="13"/>
        <v>100</v>
      </c>
      <c r="V42" s="1575" t="s">
        <v>8</v>
      </c>
      <c r="W42" s="1576">
        <f t="shared" si="14"/>
        <v>100</v>
      </c>
      <c r="X42" s="1569"/>
      <c r="Y42" s="3435"/>
      <c r="Z42" s="1577" t="str">
        <f t="shared" si="15"/>
        <v>内部装修</v>
      </c>
      <c r="AA42" s="1578">
        <f t="shared" si="3"/>
        <v>1</v>
      </c>
      <c r="AB42" s="1578">
        <f t="shared" si="4"/>
        <v>1</v>
      </c>
      <c r="AC42" s="1578">
        <f t="shared" si="5"/>
        <v>1</v>
      </c>
    </row>
    <row r="43" spans="1:29" ht="27.75" thickBot="1">
      <c r="A43" s="597"/>
      <c r="B43" s="530" t="s">
        <v>738</v>
      </c>
      <c r="C43" s="602" t="s">
        <v>3000</v>
      </c>
      <c r="D43" s="543">
        <v>100</v>
      </c>
      <c r="E43" s="602" t="s">
        <v>3000</v>
      </c>
      <c r="F43" s="578">
        <f>SUMIF(124:124,E43,125:125)-SUMIF(124:124,C43,125:125)+100</f>
        <v>100</v>
      </c>
      <c r="G43" s="602" t="s">
        <v>3000</v>
      </c>
      <c r="H43" s="543">
        <f>SUMIF(124:124,G43,125:125)-SUMIF(124:124,C43,125:125)+100</f>
        <v>100</v>
      </c>
      <c r="I43" s="602" t="s">
        <v>3000</v>
      </c>
      <c r="J43" s="543">
        <f>SUMIF(124:124,I43,125:125)-SUMIF(124:124,C43,125:125)+100</f>
        <v>100</v>
      </c>
      <c r="K43" s="587">
        <v>2</v>
      </c>
      <c r="L43" s="2148"/>
      <c r="M43" s="2140"/>
      <c r="N43" s="2140"/>
      <c r="O43" s="2147"/>
      <c r="P43" s="3435"/>
      <c r="Q43" s="1574" t="str">
        <f t="shared" si="11"/>
        <v>内部装修维护情况</v>
      </c>
      <c r="R43" s="1575" t="s">
        <v>8</v>
      </c>
      <c r="S43" s="1576">
        <f t="shared" si="12"/>
        <v>100</v>
      </c>
      <c r="T43" s="1575" t="s">
        <v>8</v>
      </c>
      <c r="U43" s="1576">
        <f t="shared" si="13"/>
        <v>100</v>
      </c>
      <c r="V43" s="1575" t="s">
        <v>8</v>
      </c>
      <c r="W43" s="1576">
        <f t="shared" si="14"/>
        <v>100</v>
      </c>
      <c r="X43" s="1569"/>
      <c r="Y43" s="3435"/>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1"/>
      <c r="M44" s="2142"/>
      <c r="N44" s="2142"/>
      <c r="O44" s="2143"/>
      <c r="P44" s="3435"/>
      <c r="Q44" s="1151">
        <f t="shared" si="11"/>
        <v>0</v>
      </c>
      <c r="R44" s="1570" t="s">
        <v>8</v>
      </c>
      <c r="S44" s="1571">
        <f t="shared" si="12"/>
        <v>100</v>
      </c>
      <c r="T44" s="1570" t="s">
        <v>8</v>
      </c>
      <c r="U44" s="1571">
        <f t="shared" si="13"/>
        <v>100</v>
      </c>
      <c r="V44" s="1570" t="s">
        <v>8</v>
      </c>
      <c r="W44" s="1571">
        <f t="shared" si="14"/>
        <v>100</v>
      </c>
      <c r="X44" s="1572"/>
      <c r="Y44" s="3435"/>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8"/>
      <c r="M45" s="2140"/>
      <c r="N45" s="2140"/>
      <c r="O45" s="2147"/>
      <c r="P45" s="3435"/>
      <c r="Q45" s="1574">
        <f t="shared" si="11"/>
        <v>0</v>
      </c>
      <c r="R45" s="1575" t="s">
        <v>8</v>
      </c>
      <c r="S45" s="1576">
        <f t="shared" si="12"/>
        <v>100</v>
      </c>
      <c r="T45" s="1575" t="s">
        <v>8</v>
      </c>
      <c r="U45" s="1576">
        <f t="shared" si="13"/>
        <v>100</v>
      </c>
      <c r="V45" s="1575" t="s">
        <v>8</v>
      </c>
      <c r="W45" s="1576">
        <f t="shared" si="14"/>
        <v>100</v>
      </c>
      <c r="X45" s="1569"/>
      <c r="Y45" s="3435"/>
      <c r="Z45" s="1577">
        <f t="shared" si="15"/>
        <v>0</v>
      </c>
      <c r="AA45" s="1578">
        <f t="shared" si="3"/>
        <v>1</v>
      </c>
      <c r="AB45" s="1578">
        <f t="shared" si="4"/>
        <v>1</v>
      </c>
      <c r="AC45" s="1578">
        <f t="shared" si="5"/>
        <v>1</v>
      </c>
    </row>
    <row r="46" spans="1:29" ht="15.75" hidden="1" thickBot="1">
      <c r="A46" s="889"/>
      <c r="B46" s="547"/>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8"/>
      <c r="M46" s="2140"/>
      <c r="N46" s="2140"/>
      <c r="O46" s="2147"/>
      <c r="P46" s="3529"/>
      <c r="Q46" s="1574">
        <f t="shared" si="11"/>
        <v>0</v>
      </c>
      <c r="R46" s="1575" t="s">
        <v>8</v>
      </c>
      <c r="S46" s="1576">
        <f t="shared" si="12"/>
        <v>100</v>
      </c>
      <c r="T46" s="1575" t="s">
        <v>8</v>
      </c>
      <c r="U46" s="1576">
        <f t="shared" si="13"/>
        <v>100</v>
      </c>
      <c r="V46" s="1575" t="s">
        <v>8</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1</v>
      </c>
      <c r="D47" s="2659"/>
      <c r="E47" s="2660">
        <v>36000</v>
      </c>
      <c r="F47" s="2661"/>
      <c r="G47" s="2662">
        <v>37500</v>
      </c>
      <c r="H47" s="2663"/>
      <c r="I47" s="2660">
        <v>37000</v>
      </c>
      <c r="J47" s="2663"/>
      <c r="K47" s="1613"/>
      <c r="L47" s="2150"/>
      <c r="M47" s="2151"/>
      <c r="N47" s="2140"/>
      <c r="O47" s="2151"/>
      <c r="P47" s="3430" t="str">
        <f>A47</f>
        <v>成交单价（元/平方米）</v>
      </c>
      <c r="Q47" s="3430"/>
      <c r="R47" s="3528">
        <f>E47</f>
        <v>36000</v>
      </c>
      <c r="S47" s="3528"/>
      <c r="T47" s="3528">
        <f>G47</f>
        <v>37500</v>
      </c>
      <c r="U47" s="3528"/>
      <c r="V47" s="3528">
        <f>I47</f>
        <v>37000</v>
      </c>
      <c r="W47" s="3528"/>
      <c r="X47" s="1561"/>
      <c r="Y47" s="1583"/>
      <c r="Z47" s="1561"/>
      <c r="AA47" s="1561"/>
      <c r="AB47" s="1561"/>
      <c r="AC47" s="1561"/>
    </row>
    <row r="48" spans="1:29" ht="15.75" thickBot="1">
      <c r="A48" s="618" t="s">
        <v>2775</v>
      </c>
      <c r="B48" s="891"/>
      <c r="C48" s="2664">
        <f>R49</f>
        <v>39010</v>
      </c>
      <c r="D48" s="2665"/>
      <c r="E48" s="2666">
        <f>R48</f>
        <v>39046</v>
      </c>
      <c r="F48" s="2666"/>
      <c r="G48" s="2664">
        <f>T48</f>
        <v>39046</v>
      </c>
      <c r="H48" s="2665"/>
      <c r="I48" s="2666">
        <f>V48</f>
        <v>38939</v>
      </c>
      <c r="J48" s="2665"/>
      <c r="K48" s="1614"/>
      <c r="L48" s="2150"/>
      <c r="M48" s="2151"/>
      <c r="N48" s="2140"/>
      <c r="O48" s="2151"/>
      <c r="P48" s="3430" t="str">
        <f>A48</f>
        <v>比较价格（元/平方米）</v>
      </c>
      <c r="Q48" s="3430"/>
      <c r="R48" s="3528">
        <f>IF(F1="售价",ROUND(PRODUCT(R47,AA7:AA46),0),ROUND(PRODUCT(R47,AA7:AA46),1))</f>
        <v>39046</v>
      </c>
      <c r="S48" s="3528"/>
      <c r="T48" s="3528">
        <f>IF(F1="售价",ROUND(PRODUCT(T47,AB7:AB46),0),ROUND(PRODUCT(T47,AB7:AB46),1))</f>
        <v>39046</v>
      </c>
      <c r="U48" s="3528"/>
      <c r="V48" s="3528">
        <f>IF(F1="售价",ROUND(PRODUCT(V47,AC7:AC46),0),ROUND(PRODUCT(V47,AC7:AC46),1))</f>
        <v>38939</v>
      </c>
      <c r="W48" s="3528"/>
      <c r="X48" s="1561"/>
      <c r="Y48" s="1561"/>
      <c r="Z48" s="1561"/>
      <c r="AA48" s="1561"/>
      <c r="AB48" s="1561"/>
      <c r="AC48" s="1561"/>
    </row>
    <row r="49" spans="1:29" ht="15.75" thickBot="1">
      <c r="A49" s="624" t="s">
        <v>2941</v>
      </c>
      <c r="B49" s="625"/>
      <c r="C49" s="2667">
        <f>R49</f>
        <v>39010</v>
      </c>
      <c r="D49" s="2667"/>
      <c r="E49" s="2667"/>
      <c r="F49" s="2667"/>
      <c r="G49" s="2667"/>
      <c r="H49" s="2667"/>
      <c r="I49" s="2667"/>
      <c r="J49" s="2667"/>
      <c r="K49" s="1615"/>
      <c r="L49" s="2150"/>
      <c r="M49" s="2151"/>
      <c r="N49" s="2140"/>
      <c r="O49" s="2151"/>
      <c r="P49" s="3452" t="str">
        <f>A49</f>
        <v>估价对象XX用房的比较价格（楼面单价，元/平方米）</v>
      </c>
      <c r="Q49" s="3453"/>
      <c r="R49" s="3527">
        <f>IF(F1="售价",ROUND(AVERAGE(R48:V48),0),ROUND(AVERAGE(R48:V48),1))</f>
        <v>39010</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8.4611111111111192E-2</v>
      </c>
      <c r="F52" s="630" t="str">
        <f>IF(OR(E52&gt;=0.3,E52&lt;=-0.3),"超过30%","")</f>
        <v/>
      </c>
      <c r="G52" s="629">
        <f>IF(G47&lt;G48,G48/G47-1,G47/G48-1)</f>
        <v>4.1226666666666745E-2</v>
      </c>
      <c r="H52" s="630" t="str">
        <f>IF(OR(G52&gt;=0.3,G52&lt;=-0.3),"超过30%","")</f>
        <v/>
      </c>
      <c r="I52" s="629">
        <f>IF(I47&lt;I48,I48/I47-1,I47/I48-1)</f>
        <v>5.2405405405405503E-2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0</v>
      </c>
      <c r="F53" s="630" t="str">
        <f>IF(OR(E53&gt;=0.2,E53&lt;=-0.2),"超过20%","")</f>
        <v/>
      </c>
      <c r="G53" s="629">
        <f>IF(G48&lt;I48,I48/G48-1,G48/I48-1)</f>
        <v>2.7478877218212183E-3</v>
      </c>
      <c r="H53" s="630" t="str">
        <f>IF(OR(G53&gt;=0.2,G53&lt;=-0.2),"超过20%","")</f>
        <v/>
      </c>
      <c r="I53" s="629">
        <f>IF(I48&lt;E48,E48/I48-1,I48/E48-1)</f>
        <v>2.7478877218212183E-3</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4.1666666666666741E-2</v>
      </c>
      <c r="F54" s="630" t="str">
        <f>IF(OR(E54&gt;=0.3,E54&lt;=-0.3),"超过30%","")</f>
        <v/>
      </c>
      <c r="G54" s="629">
        <f>IF(G47&lt;I47,I47/G47-1,G47/I47-1)</f>
        <v>1.3513513513513598E-2</v>
      </c>
      <c r="H54" s="630" t="str">
        <f>IF(OR(G54&gt;=0.3,G54&lt;=-0.3),"超过30%","")</f>
        <v/>
      </c>
      <c r="I54" s="629">
        <f>IF(I47&lt;E47,E47/I47-1,I47/E47-1)</f>
        <v>2.7777777777777679E-2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7"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205"/>
    </row>
    <row r="63" spans="1:29">
      <c r="A63" s="667" t="s">
        <v>578</v>
      </c>
      <c r="B63" s="668" t="s">
        <v>535</v>
      </c>
      <c r="C63" s="707" t="str">
        <f>C9</f>
        <v>商业</v>
      </c>
      <c r="D63" s="601"/>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674"/>
      <c r="F64" s="674"/>
      <c r="G64" s="674"/>
      <c r="H64" s="674"/>
      <c r="I64" s="674"/>
      <c r="J64" s="674"/>
      <c r="K64" s="674"/>
      <c r="L64" s="674"/>
      <c r="M64" s="675"/>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t="s">
        <v>14</v>
      </c>
      <c r="D66" s="682" t="s">
        <v>15</v>
      </c>
      <c r="E66" s="682" t="s">
        <v>16</v>
      </c>
      <c r="F66" s="682">
        <v>100</v>
      </c>
      <c r="G66" s="682">
        <f>F66-$K10</f>
        <v>98</v>
      </c>
      <c r="H66" s="682">
        <f>G66-$K10</f>
        <v>96</v>
      </c>
      <c r="I66" s="682">
        <f>H66-$K10</f>
        <v>94</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74"/>
      <c r="E73" s="674"/>
      <c r="F73" s="674"/>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676" t="s">
        <v>774</v>
      </c>
      <c r="C86" s="3146" t="s">
        <v>3091</v>
      </c>
      <c r="D86" s="3146" t="s">
        <v>3092</v>
      </c>
      <c r="E86" s="3146" t="s">
        <v>3094</v>
      </c>
      <c r="F86" s="3146" t="s">
        <v>3095</v>
      </c>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tr">
        <f>B26</f>
        <v>平面位置/可视性</v>
      </c>
      <c r="C88" s="3146" t="s">
        <v>3096</v>
      </c>
      <c r="D88" s="3146" t="s">
        <v>3097</v>
      </c>
      <c r="E88" s="3146" t="s">
        <v>3098</v>
      </c>
      <c r="F88" s="3167" t="s">
        <v>3099</v>
      </c>
      <c r="G88" s="3146" t="s">
        <v>3100</v>
      </c>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695">
        <v>100</v>
      </c>
      <c r="D89" s="674">
        <v>97</v>
      </c>
      <c r="E89" s="695">
        <v>94</v>
      </c>
      <c r="F89" s="674">
        <v>91</v>
      </c>
      <c r="G89" s="695">
        <v>88</v>
      </c>
      <c r="H89" s="674"/>
      <c r="I89" s="674"/>
      <c r="J89" s="674"/>
      <c r="K89" s="674"/>
      <c r="L89" s="674"/>
      <c r="M89" s="674"/>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人流量</v>
      </c>
      <c r="C90" s="3146" t="s">
        <v>3101</v>
      </c>
      <c r="D90" s="3146" t="s">
        <v>3097</v>
      </c>
      <c r="E90" s="3146" t="s">
        <v>3098</v>
      </c>
      <c r="F90" s="3146" t="s">
        <v>3099</v>
      </c>
      <c r="G90" s="3146" t="s">
        <v>3100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3"/>
      <c r="O91" s="2173"/>
      <c r="P91" s="2174"/>
      <c r="Q91" s="2175"/>
      <c r="R91" s="2176"/>
      <c r="S91" s="2176"/>
      <c r="T91" s="2176"/>
      <c r="U91" s="2176"/>
      <c r="V91" s="2176"/>
      <c r="W91" s="2176"/>
      <c r="X91" s="2176"/>
      <c r="Y91" s="2176"/>
      <c r="Z91" s="2176"/>
      <c r="AA91" s="2176"/>
      <c r="AB91" s="2176"/>
      <c r="AC91" s="2176"/>
    </row>
    <row r="92" spans="1:29" ht="15.75" thickTop="1">
      <c r="A92" s="672"/>
      <c r="B92" s="676" t="str">
        <f>B28</f>
        <v>楼层</v>
      </c>
      <c r="C92" s="691" t="s">
        <v>3102</v>
      </c>
      <c r="D92" s="691" t="s">
        <v>3103</v>
      </c>
      <c r="E92" s="691" t="s">
        <v>3104</v>
      </c>
      <c r="F92" s="691" t="s">
        <v>3105</v>
      </c>
      <c r="G92" s="691"/>
      <c r="H92" s="691"/>
      <c r="I92" s="691"/>
      <c r="J92" s="691"/>
      <c r="K92" s="691"/>
      <c r="L92" s="893"/>
      <c r="M92" s="89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74">
        <v>100</v>
      </c>
      <c r="D93" s="674">
        <v>80</v>
      </c>
      <c r="E93" s="674">
        <v>60</v>
      </c>
      <c r="F93" s="674">
        <v>50</v>
      </c>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74"/>
      <c r="E95" s="674"/>
      <c r="F95" s="674"/>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95"/>
      <c r="D97" s="674"/>
      <c r="E97" s="674"/>
      <c r="F97" s="674"/>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691"/>
      <c r="D98" s="691"/>
      <c r="E98" s="691"/>
      <c r="F98" s="691"/>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03"/>
      <c r="D99" s="703"/>
      <c r="E99" s="703"/>
      <c r="F99" s="703"/>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775</v>
      </c>
      <c r="C100" s="3145" t="s">
        <v>3106</v>
      </c>
      <c r="D100" s="3145" t="s">
        <v>3107</v>
      </c>
      <c r="E100" s="3145" t="s">
        <v>3109</v>
      </c>
      <c r="F100" s="601"/>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1">C101-$K32</f>
        <v>97</v>
      </c>
      <c r="E101" s="682">
        <f t="shared" si="21"/>
        <v>94</v>
      </c>
      <c r="F101" s="682">
        <f t="shared" si="21"/>
        <v>91</v>
      </c>
      <c r="G101" s="682">
        <f t="shared" si="21"/>
        <v>88</v>
      </c>
      <c r="H101" s="682">
        <f t="shared" si="21"/>
        <v>85</v>
      </c>
      <c r="I101" s="682">
        <f t="shared" si="21"/>
        <v>82</v>
      </c>
      <c r="J101" s="682">
        <f t="shared" si="21"/>
        <v>79</v>
      </c>
      <c r="K101" s="682">
        <f t="shared" si="21"/>
        <v>76</v>
      </c>
      <c r="L101" s="682">
        <f t="shared" si="21"/>
        <v>73</v>
      </c>
      <c r="M101" s="683">
        <f t="shared" si="21"/>
        <v>70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v>
      </c>
      <c r="D102" s="711" t="str">
        <f t="shared" ref="D102:L102" si="22">D103&amp;"(含)"&amp;"-"&amp;E103</f>
        <v>10000(含)-20000</v>
      </c>
      <c r="E102" s="711" t="str">
        <f t="shared" si="22"/>
        <v>20000(含)-30000</v>
      </c>
      <c r="F102" s="711" t="str">
        <f t="shared" si="22"/>
        <v>30000(含)-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3236">
        <v>0</v>
      </c>
      <c r="D103" s="3236">
        <v>10000</v>
      </c>
      <c r="E103" s="3236">
        <v>20000</v>
      </c>
      <c r="F103" s="3236">
        <v>30000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3237">
        <v>100</v>
      </c>
      <c r="D104" s="3238">
        <v>100</v>
      </c>
      <c r="E104" s="3238">
        <v>100</v>
      </c>
      <c r="F104" s="3238">
        <v>100</v>
      </c>
      <c r="G104" s="674"/>
      <c r="H104" s="674"/>
      <c r="I104" s="674"/>
      <c r="J104" s="674"/>
      <c r="K104" s="674"/>
      <c r="L104" s="674"/>
      <c r="M104" s="675"/>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3110</v>
      </c>
      <c r="D105" s="3146" t="s">
        <v>3111</v>
      </c>
      <c r="E105" s="3147" t="s">
        <v>3112</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754</v>
      </c>
      <c r="C107" s="3146" t="s">
        <v>3054</v>
      </c>
      <c r="D107" s="3146" t="s">
        <v>3055</v>
      </c>
      <c r="E107" s="3146" t="s">
        <v>3056</v>
      </c>
      <c r="F107" s="3147" t="s">
        <v>3058</v>
      </c>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c r="A110" s="738"/>
      <c r="B110" s="684"/>
      <c r="C110" s="897">
        <v>0.5</v>
      </c>
      <c r="D110" s="897">
        <v>0.6</v>
      </c>
      <c r="E110" s="897">
        <v>0.7</v>
      </c>
      <c r="F110" s="897">
        <v>0.8</v>
      </c>
      <c r="G110" s="897">
        <v>0.9</v>
      </c>
      <c r="H110" s="897">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1"/>
      <c r="B112" s="1899" t="s">
        <v>2568</v>
      </c>
      <c r="C112" s="3146" t="s">
        <v>3062</v>
      </c>
      <c r="D112" s="3146" t="s">
        <v>3064</v>
      </c>
      <c r="E112" s="3146" t="s">
        <v>3065</v>
      </c>
      <c r="F112" s="3146" t="s">
        <v>3066</v>
      </c>
      <c r="G112" s="3146" t="s">
        <v>3067</v>
      </c>
      <c r="H112" s="721"/>
      <c r="I112" s="721"/>
      <c r="J112" s="721"/>
      <c r="K112" s="722"/>
      <c r="L112" s="723"/>
      <c r="M112" s="724"/>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682">
        <v>100</v>
      </c>
      <c r="D113" s="682">
        <f>C113-$K37</f>
        <v>98</v>
      </c>
      <c r="E113" s="682">
        <f t="shared" ref="E113:M113" si="26">D113-$K37</f>
        <v>96</v>
      </c>
      <c r="F113" s="682">
        <f t="shared" si="26"/>
        <v>94</v>
      </c>
      <c r="G113" s="682">
        <f t="shared" si="26"/>
        <v>92</v>
      </c>
      <c r="H113" s="682">
        <f t="shared" si="26"/>
        <v>90</v>
      </c>
      <c r="I113" s="682">
        <f t="shared" si="26"/>
        <v>88</v>
      </c>
      <c r="J113" s="682">
        <f t="shared" si="26"/>
        <v>86</v>
      </c>
      <c r="K113" s="682">
        <f t="shared" si="26"/>
        <v>84</v>
      </c>
      <c r="L113" s="682">
        <f t="shared" si="26"/>
        <v>82</v>
      </c>
      <c r="M113" s="682">
        <f t="shared" si="26"/>
        <v>80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776</v>
      </c>
      <c r="C114" s="3146" t="s">
        <v>3114</v>
      </c>
      <c r="D114" s="3146" t="s">
        <v>3115</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676" t="s">
        <v>777</v>
      </c>
      <c r="C116" s="3146" t="s">
        <v>3116</v>
      </c>
      <c r="D116" s="3146" t="s">
        <v>3118</v>
      </c>
      <c r="E116" s="691"/>
      <c r="F116" s="691"/>
      <c r="G116" s="69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35.25" customHeight="1" thickTop="1">
      <c r="A118" s="738"/>
      <c r="B118" s="676" t="s">
        <v>778</v>
      </c>
      <c r="C118" s="910" t="s">
        <v>3227</v>
      </c>
      <c r="D118" s="910" t="s">
        <v>3228</v>
      </c>
      <c r="E118" s="910" t="s">
        <v>3229</v>
      </c>
      <c r="F118" s="910" t="s">
        <v>3230</v>
      </c>
      <c r="G118" s="910" t="s">
        <v>3231</v>
      </c>
      <c r="H118" s="692"/>
      <c r="I118" s="692"/>
      <c r="J118" s="692"/>
      <c r="K118" s="692"/>
      <c r="L118" s="693"/>
      <c r="M118" s="69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v>100</v>
      </c>
      <c r="D119" s="674">
        <v>98</v>
      </c>
      <c r="E119" s="695">
        <v>96</v>
      </c>
      <c r="F119" s="674">
        <v>94</v>
      </c>
      <c r="G119" s="695">
        <v>92</v>
      </c>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1"/>
      <c r="B120" s="676" t="s">
        <v>779</v>
      </c>
      <c r="C120" s="3147" t="s">
        <v>3119</v>
      </c>
      <c r="D120" s="3147" t="s">
        <v>3120</v>
      </c>
      <c r="E120" s="3147" t="s">
        <v>3121</v>
      </c>
      <c r="F120" s="3147" t="s">
        <v>3122</v>
      </c>
      <c r="G120" s="692"/>
      <c r="H120" s="692"/>
      <c r="I120" s="692"/>
      <c r="J120" s="692"/>
      <c r="K120" s="692"/>
      <c r="L120" s="693"/>
      <c r="M120" s="6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74"/>
      <c r="E129" s="674"/>
      <c r="F129" s="674"/>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780</v>
      </c>
      <c r="C1" s="507" t="s">
        <v>723</v>
      </c>
      <c r="D1" s="852"/>
      <c r="E1" s="509"/>
      <c r="F1" s="2842"/>
      <c r="G1" s="1603" t="s">
        <v>724</v>
      </c>
      <c r="H1" s="509"/>
      <c r="I1" s="509"/>
      <c r="J1" s="509"/>
      <c r="K1" s="510"/>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6" t="s">
        <v>467</v>
      </c>
      <c r="B2" s="853"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2" t="s">
        <v>520</v>
      </c>
      <c r="B3" s="513" t="e">
        <f>C50</f>
        <v>#DIV/0!</v>
      </c>
      <c r="C3" s="855" t="s">
        <v>725</v>
      </c>
      <c r="D3" s="854">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5" t="s">
        <v>522</v>
      </c>
      <c r="B4" s="516"/>
      <c r="C4" s="3436" t="s">
        <v>523</v>
      </c>
      <c r="D4" s="3437"/>
      <c r="E4" s="3461" t="s">
        <v>524</v>
      </c>
      <c r="F4" s="3462"/>
      <c r="G4" s="3436" t="s">
        <v>525</v>
      </c>
      <c r="H4" s="3437"/>
      <c r="I4" s="3436" t="s">
        <v>526</v>
      </c>
      <c r="J4" s="3437"/>
      <c r="K4" s="517" t="s">
        <v>527</v>
      </c>
      <c r="L4" s="2139"/>
      <c r="M4" s="2140"/>
      <c r="N4" s="2140"/>
      <c r="O4" s="2140"/>
      <c r="P4" s="3530" t="s">
        <v>528</v>
      </c>
      <c r="Q4" s="3439"/>
      <c r="R4" s="3424" t="s">
        <v>524</v>
      </c>
      <c r="S4" s="3425"/>
      <c r="T4" s="3424" t="s">
        <v>525</v>
      </c>
      <c r="U4" s="3425"/>
      <c r="V4" s="3444" t="s">
        <v>526</v>
      </c>
      <c r="W4" s="3444"/>
      <c r="X4" s="1569"/>
      <c r="Y4" s="3424" t="s">
        <v>528</v>
      </c>
      <c r="Z4" s="3425"/>
      <c r="AA4" s="3419" t="s">
        <v>524</v>
      </c>
      <c r="AB4" s="3419" t="s">
        <v>525</v>
      </c>
      <c r="AC4" s="3419" t="s">
        <v>526</v>
      </c>
    </row>
    <row r="5" spans="1:29" ht="15">
      <c r="A5" s="518"/>
      <c r="B5" s="519"/>
      <c r="C5" s="3447" t="s">
        <v>2935</v>
      </c>
      <c r="D5" s="3448"/>
      <c r="E5" s="3463" t="s">
        <v>2936</v>
      </c>
      <c r="F5" s="3464"/>
      <c r="G5" s="3447" t="s">
        <v>2937</v>
      </c>
      <c r="H5" s="3448"/>
      <c r="I5" s="3447" t="s">
        <v>2938</v>
      </c>
      <c r="J5" s="3448"/>
      <c r="K5" s="517"/>
      <c r="L5" s="2139"/>
      <c r="M5" s="2140"/>
      <c r="N5" s="2140"/>
      <c r="O5" s="2140"/>
      <c r="P5" s="3531"/>
      <c r="Q5" s="3441"/>
      <c r="R5" s="3426"/>
      <c r="S5" s="3427"/>
      <c r="T5" s="3426"/>
      <c r="U5" s="3427"/>
      <c r="V5" s="3444"/>
      <c r="W5" s="3444"/>
      <c r="X5" s="1569"/>
      <c r="Y5" s="3426"/>
      <c r="Z5" s="3427"/>
      <c r="AA5" s="3420"/>
      <c r="AB5" s="3420"/>
      <c r="AC5" s="3420"/>
    </row>
    <row r="6" spans="1:29" ht="15.75" thickBot="1">
      <c r="A6" s="520"/>
      <c r="B6" s="521"/>
      <c r="C6" s="3465" t="s">
        <v>2939</v>
      </c>
      <c r="D6" s="3446"/>
      <c r="E6" s="3466" t="s">
        <v>2939</v>
      </c>
      <c r="F6" s="3467"/>
      <c r="G6" s="3465" t="s">
        <v>2939</v>
      </c>
      <c r="H6" s="3446"/>
      <c r="I6" s="3465" t="s">
        <v>2939</v>
      </c>
      <c r="J6" s="3446"/>
      <c r="K6" s="517" t="s">
        <v>529</v>
      </c>
      <c r="L6" s="2139"/>
      <c r="M6" s="2140"/>
      <c r="N6" s="2140"/>
      <c r="O6" s="2140"/>
      <c r="P6" s="3532"/>
      <c r="Q6" s="3443"/>
      <c r="R6" s="3426"/>
      <c r="S6" s="3427"/>
      <c r="T6" s="3428"/>
      <c r="U6" s="3429"/>
      <c r="V6" s="3444"/>
      <c r="W6" s="3444"/>
      <c r="X6" s="1569"/>
      <c r="Y6" s="3428"/>
      <c r="Z6" s="3429"/>
      <c r="AA6" s="3421"/>
      <c r="AB6" s="3421"/>
      <c r="AC6" s="3421"/>
    </row>
    <row r="7" spans="1:29" s="1220" customFormat="1" ht="15.75" thickBot="1">
      <c r="A7" s="2947"/>
      <c r="B7" s="2954"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31" t="s">
        <v>531</v>
      </c>
      <c r="Q7" s="3431"/>
      <c r="R7" s="1570" t="s">
        <v>8</v>
      </c>
      <c r="S7" s="1571">
        <f t="shared" ref="S7:S15" si="0">F7</f>
        <v>0</v>
      </c>
      <c r="T7" s="1570" t="s">
        <v>8</v>
      </c>
      <c r="U7" s="1571">
        <f t="shared" ref="U7:U15" si="1">H7</f>
        <v>0</v>
      </c>
      <c r="V7" s="1570" t="s">
        <v>8</v>
      </c>
      <c r="W7" s="1571">
        <f t="shared" ref="W7:W15" si="2">J7</f>
        <v>0</v>
      </c>
      <c r="X7" s="1572"/>
      <c r="Y7" s="3422" t="s">
        <v>531</v>
      </c>
      <c r="Z7" s="3423"/>
      <c r="AA7" s="1573" t="e">
        <f>D7/F7</f>
        <v>#DIV/0!</v>
      </c>
      <c r="AB7" s="1573" t="e">
        <f>D7/H7</f>
        <v>#DIV/0!</v>
      </c>
      <c r="AC7" s="1573" t="e">
        <f>D7/J7</f>
        <v>#DIV/0!</v>
      </c>
    </row>
    <row r="8" spans="1:29" s="1220"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31" t="s">
        <v>534</v>
      </c>
      <c r="Q8" s="3423"/>
      <c r="R8" s="1570" t="s">
        <v>8</v>
      </c>
      <c r="S8" s="1571">
        <f t="shared" si="0"/>
        <v>0</v>
      </c>
      <c r="T8" s="1570" t="s">
        <v>8</v>
      </c>
      <c r="U8" s="1571">
        <f t="shared" si="1"/>
        <v>0</v>
      </c>
      <c r="V8" s="1570" t="s">
        <v>8</v>
      </c>
      <c r="W8" s="1571">
        <f t="shared" si="2"/>
        <v>0</v>
      </c>
      <c r="X8" s="1572"/>
      <c r="Y8" s="3422" t="s">
        <v>534</v>
      </c>
      <c r="Z8" s="3423"/>
      <c r="AA8" s="1573" t="e">
        <f t="shared" ref="AA8:AA47" si="3">D8/F8</f>
        <v>#DIV/0!</v>
      </c>
      <c r="AB8" s="1573" t="e">
        <f t="shared" ref="AB8:AB47" si="4">D8/H8</f>
        <v>#DIV/0!</v>
      </c>
      <c r="AC8" s="1573" t="e">
        <f t="shared" ref="AC8:AC47" si="5">D8/J8</f>
        <v>#DIV/0!</v>
      </c>
    </row>
    <row r="9" spans="1:29" s="1220" customFormat="1" ht="15">
      <c r="A9" s="2949"/>
      <c r="B9" s="2956" t="s">
        <v>2771</v>
      </c>
      <c r="C9" s="860"/>
      <c r="D9" s="254">
        <v>100</v>
      </c>
      <c r="E9" s="863"/>
      <c r="F9" s="254">
        <f>SUMIF(64:64,E9,65:65)-SUMIF(64:64,C9,65:65)+100</f>
        <v>100</v>
      </c>
      <c r="G9" s="861"/>
      <c r="H9" s="254">
        <f>SUMIF(64:64,G9,65:65)-SUMIF(64:64,C9,65:65)+100</f>
        <v>100</v>
      </c>
      <c r="I9" s="861"/>
      <c r="J9" s="254">
        <f>SUMIF(64:64,I9,65:65)-SUMIF(64:64,C9,65:65)+100</f>
        <v>100</v>
      </c>
      <c r="K9" s="527"/>
      <c r="L9" s="2141"/>
      <c r="M9" s="2142"/>
      <c r="N9" s="2142"/>
      <c r="O9" s="2142"/>
      <c r="P9" s="3430" t="s">
        <v>536</v>
      </c>
      <c r="Q9" s="1151" t="str">
        <f t="shared" ref="Q9:Q15" si="6">B9</f>
        <v>用途</v>
      </c>
      <c r="R9" s="1570" t="s">
        <v>8</v>
      </c>
      <c r="S9" s="1571">
        <f t="shared" si="0"/>
        <v>100</v>
      </c>
      <c r="T9" s="1570" t="s">
        <v>8</v>
      </c>
      <c r="U9" s="1571">
        <f t="shared" si="1"/>
        <v>100</v>
      </c>
      <c r="V9" s="1570" t="s">
        <v>8</v>
      </c>
      <c r="W9" s="1571">
        <f t="shared" si="2"/>
        <v>100</v>
      </c>
      <c r="X9" s="1572"/>
      <c r="Y9" s="3388"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SUMIF(66:66,E10,67:67)-SUMIF(66:66,C10,67:67)+100</f>
        <v>100</v>
      </c>
      <c r="G10" s="865"/>
      <c r="H10" s="255">
        <f>SUMIF(66:66,G10,67:67)-SUMIF(66:66,C10,67:67)+100</f>
        <v>100</v>
      </c>
      <c r="I10" s="864"/>
      <c r="J10" s="255">
        <f>SUMIF(66:66,I10,67:67)-SUMIF(66:66,C10,67:67)+100</f>
        <v>100</v>
      </c>
      <c r="K10" s="587"/>
      <c r="L10" s="2144"/>
      <c r="M10" s="2184"/>
      <c r="N10" s="2184"/>
      <c r="O10" s="2184"/>
      <c r="P10" s="3430"/>
      <c r="Q10" s="1151" t="str">
        <f t="shared" si="6"/>
        <v>土地使用年限（年）</v>
      </c>
      <c r="R10" s="1570" t="s">
        <v>8</v>
      </c>
      <c r="S10" s="1571">
        <f t="shared" si="0"/>
        <v>100</v>
      </c>
      <c r="T10" s="1570" t="s">
        <v>8</v>
      </c>
      <c r="U10" s="1571">
        <f t="shared" si="1"/>
        <v>100</v>
      </c>
      <c r="V10" s="1570" t="s">
        <v>8</v>
      </c>
      <c r="W10" s="1571">
        <f t="shared" si="2"/>
        <v>100</v>
      </c>
      <c r="X10" s="1572"/>
      <c r="Y10" s="3388"/>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6"/>
      <c r="M11" s="2140"/>
      <c r="N11" s="2140"/>
      <c r="O11" s="2140"/>
      <c r="P11" s="3430"/>
      <c r="Q11" s="1151" t="str">
        <f t="shared" si="6"/>
        <v>容积率</v>
      </c>
      <c r="R11" s="1570" t="s">
        <v>8</v>
      </c>
      <c r="S11" s="1571" t="e">
        <f t="shared" si="0"/>
        <v>#N/A</v>
      </c>
      <c r="T11" s="1570" t="s">
        <v>8</v>
      </c>
      <c r="U11" s="1571" t="e">
        <f t="shared" si="1"/>
        <v>#N/A</v>
      </c>
      <c r="V11" s="1570" t="s">
        <v>8</v>
      </c>
      <c r="W11" s="1571" t="e">
        <f t="shared" si="2"/>
        <v>#N/A</v>
      </c>
      <c r="X11" s="1572"/>
      <c r="Y11" s="3388"/>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31"/>
      <c r="F12" s="255">
        <f>SUMIF(71:71,E12,72:72)-SUMIF(71:71,C12,72:72)+100</f>
        <v>100</v>
      </c>
      <c r="G12" s="911"/>
      <c r="H12" s="255">
        <f>SUMIF(71:71,G12,72:72)-SUMIF(71:71,C12,72:72)+100</f>
        <v>100</v>
      </c>
      <c r="I12" s="531"/>
      <c r="J12" s="255">
        <f>SUMIF(71:71,I12,72:72)-SUMIF(71:71,C12,72:72)+100</f>
        <v>100</v>
      </c>
      <c r="K12" s="584"/>
      <c r="L12" s="2141"/>
      <c r="M12" s="2142"/>
      <c r="N12" s="2142"/>
      <c r="O12" s="2142"/>
      <c r="P12" s="3430"/>
      <c r="Q12" s="1151">
        <f t="shared" si="6"/>
        <v>111</v>
      </c>
      <c r="R12" s="1570" t="s">
        <v>8</v>
      </c>
      <c r="S12" s="1571">
        <f t="shared" si="0"/>
        <v>100</v>
      </c>
      <c r="T12" s="1570" t="s">
        <v>8</v>
      </c>
      <c r="U12" s="1571">
        <f t="shared" si="1"/>
        <v>100</v>
      </c>
      <c r="V12" s="1570" t="s">
        <v>8</v>
      </c>
      <c r="W12" s="1571">
        <f t="shared" si="2"/>
        <v>100</v>
      </c>
      <c r="X12" s="1572"/>
      <c r="Y12" s="3388"/>
      <c r="Z12" s="1150">
        <f t="shared" si="7"/>
        <v>111</v>
      </c>
      <c r="AA12" s="1573">
        <f>D12/F12</f>
        <v>1</v>
      </c>
      <c r="AB12" s="1573">
        <f>D12/H12</f>
        <v>1</v>
      </c>
      <c r="AC12" s="1573">
        <f>D12/J12</f>
        <v>1</v>
      </c>
    </row>
    <row r="13" spans="1:29" ht="15">
      <c r="A13" s="2952"/>
      <c r="B13" s="2958">
        <v>111</v>
      </c>
      <c r="C13" s="542"/>
      <c r="D13" s="543">
        <v>100</v>
      </c>
      <c r="E13" s="531"/>
      <c r="F13" s="255">
        <f>SUMIF(73:73,E13,74:74)-SUMIF(73:73,C13,74:74)+100</f>
        <v>100</v>
      </c>
      <c r="G13" s="911"/>
      <c r="H13" s="543">
        <f>SUMIF(73:73,G13,74:74)-SUMIF(73:73,C13,74:74)+100</f>
        <v>100</v>
      </c>
      <c r="I13" s="531"/>
      <c r="J13" s="543">
        <f>SUMIF(73:73,I13,74:74)-SUMIF(73:73,C13,74:74)+100</f>
        <v>100</v>
      </c>
      <c r="K13" s="584"/>
      <c r="L13" s="2148"/>
      <c r="M13" s="2140"/>
      <c r="N13" s="2140"/>
      <c r="O13" s="2140"/>
      <c r="P13" s="3430"/>
      <c r="Q13" s="1151">
        <f t="shared" si="6"/>
        <v>111</v>
      </c>
      <c r="R13" s="1570" t="s">
        <v>8</v>
      </c>
      <c r="S13" s="1571">
        <f t="shared" si="0"/>
        <v>100</v>
      </c>
      <c r="T13" s="1570" t="s">
        <v>8</v>
      </c>
      <c r="U13" s="1571">
        <f t="shared" si="1"/>
        <v>100</v>
      </c>
      <c r="V13" s="1570" t="s">
        <v>8</v>
      </c>
      <c r="W13" s="1571">
        <f t="shared" si="2"/>
        <v>100</v>
      </c>
      <c r="X13" s="1572"/>
      <c r="Y13" s="3388"/>
      <c r="Z13" s="1150">
        <f t="shared" si="7"/>
        <v>111</v>
      </c>
      <c r="AA13" s="1573">
        <f t="shared" si="3"/>
        <v>1</v>
      </c>
      <c r="AB13" s="1573">
        <f t="shared" si="4"/>
        <v>1</v>
      </c>
      <c r="AC13" s="1573">
        <f t="shared" si="5"/>
        <v>1</v>
      </c>
    </row>
    <row r="14" spans="1:29" ht="15.75" thickBot="1">
      <c r="A14" s="2953"/>
      <c r="B14" s="2959">
        <v>111</v>
      </c>
      <c r="C14" s="548"/>
      <c r="D14" s="549">
        <v>100</v>
      </c>
      <c r="E14" s="912"/>
      <c r="F14" s="549">
        <f>SUMIF(75:75,E14,76:76)-SUMIF(75:75,C14,76:76)+100</f>
        <v>100</v>
      </c>
      <c r="G14" s="911"/>
      <c r="H14" s="549">
        <f>SUMIF(75:75,G14,76:76)-SUMIF(75:75,C14,76:76)+100</f>
        <v>100</v>
      </c>
      <c r="I14" s="531"/>
      <c r="J14" s="549">
        <f>SUMIF(75:75,I14,76:76)-SUMIF(75:75,C14,76:76)+100</f>
        <v>100</v>
      </c>
      <c r="K14" s="584"/>
      <c r="L14" s="2148"/>
      <c r="M14" s="2140"/>
      <c r="N14" s="2140"/>
      <c r="O14" s="2140"/>
      <c r="P14" s="3430"/>
      <c r="Q14" s="1151">
        <f t="shared" si="6"/>
        <v>111</v>
      </c>
      <c r="R14" s="1570" t="s">
        <v>8</v>
      </c>
      <c r="S14" s="1571">
        <f t="shared" si="0"/>
        <v>100</v>
      </c>
      <c r="T14" s="1570" t="s">
        <v>8</v>
      </c>
      <c r="U14" s="1571">
        <f t="shared" si="1"/>
        <v>100</v>
      </c>
      <c r="V14" s="1570" t="s">
        <v>8</v>
      </c>
      <c r="W14" s="1571">
        <f t="shared" si="2"/>
        <v>100</v>
      </c>
      <c r="X14" s="1572"/>
      <c r="Y14" s="3388"/>
      <c r="Z14" s="1150">
        <f t="shared" si="7"/>
        <v>111</v>
      </c>
      <c r="AA14" s="1573">
        <f t="shared" si="3"/>
        <v>1</v>
      </c>
      <c r="AB14" s="1573">
        <f t="shared" si="4"/>
        <v>1</v>
      </c>
      <c r="AC14" s="1573">
        <f t="shared" si="5"/>
        <v>1</v>
      </c>
    </row>
    <row r="15" spans="1:29" ht="15">
      <c r="A15" s="2945" t="s">
        <v>2769</v>
      </c>
      <c r="B15" s="550" t="s">
        <v>543</v>
      </c>
      <c r="C15" s="551" t="str">
        <f>估价对象房地状况!C5</f>
        <v>——</v>
      </c>
      <c r="D15" s="552">
        <v>100</v>
      </c>
      <c r="E15" s="555"/>
      <c r="F15" s="552">
        <f>SUMIF(77:77,E16,78:78)-SUMIF(77:77,C16,78:78)+100</f>
        <v>100</v>
      </c>
      <c r="G15" s="553"/>
      <c r="H15" s="552">
        <f>SUMIF(77:77,G16,78:78)-SUMIF(77:77,C16,78:78)+100</f>
        <v>100</v>
      </c>
      <c r="I15" s="553"/>
      <c r="J15" s="552">
        <f>SUMIF(77:77,I16,78:78)-SUMIF(77:77,C16,78:78)+100</f>
        <v>100</v>
      </c>
      <c r="K15" s="901"/>
      <c r="L15" s="2148"/>
      <c r="M15" s="2140"/>
      <c r="N15" s="2140"/>
      <c r="O15" s="2140"/>
      <c r="P15" s="3432" t="s">
        <v>541</v>
      </c>
      <c r="Q15" s="1574" t="str">
        <f t="shared" si="6"/>
        <v>办公集聚程度</v>
      </c>
      <c r="R15" s="1575" t="s">
        <v>8</v>
      </c>
      <c r="S15" s="1576">
        <f t="shared" si="0"/>
        <v>100</v>
      </c>
      <c r="T15" s="1575" t="s">
        <v>8</v>
      </c>
      <c r="U15" s="1576">
        <f t="shared" si="1"/>
        <v>100</v>
      </c>
      <c r="V15" s="1575" t="s">
        <v>8</v>
      </c>
      <c r="W15" s="1576">
        <f t="shared" si="2"/>
        <v>100</v>
      </c>
      <c r="X15" s="1569"/>
      <c r="Y15" s="3432"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8"/>
      <c r="M16" s="2140"/>
      <c r="N16" s="2140"/>
      <c r="O16" s="2140"/>
      <c r="P16" s="3433"/>
      <c r="Q16" s="1574"/>
      <c r="R16" s="1575"/>
      <c r="S16" s="1576"/>
      <c r="T16" s="1575"/>
      <c r="U16" s="1576"/>
      <c r="V16" s="1575"/>
      <c r="W16" s="1576"/>
      <c r="X16" s="1569"/>
      <c r="Y16" s="3433"/>
      <c r="Z16" s="1577"/>
      <c r="AA16" s="1578">
        <v>1</v>
      </c>
      <c r="AB16" s="1578">
        <v>1</v>
      </c>
      <c r="AC16" s="1578">
        <v>1</v>
      </c>
    </row>
    <row r="17" spans="1:29" ht="142.5">
      <c r="A17" s="535"/>
      <c r="B17" s="563" t="s">
        <v>296</v>
      </c>
      <c r="C17" s="576" t="str">
        <f>估价对象房地状况!C6</f>
        <v>估价对象周边有811路、829路、东坑1路等多条公交线路，区域内有城市次干道东兴中路，路网较密集，停车便捷程度较好，综合评价交通便捷度较好。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8"/>
      <c r="M17" s="2140"/>
      <c r="N17" s="2140"/>
      <c r="O17" s="2140"/>
      <c r="P17" s="3433"/>
      <c r="Q17" s="1574" t="str">
        <f>B17</f>
        <v>交通便捷度</v>
      </c>
      <c r="R17" s="1575" t="s">
        <v>8</v>
      </c>
      <c r="S17" s="1576">
        <f>F17</f>
        <v>100</v>
      </c>
      <c r="T17" s="1575" t="s">
        <v>8</v>
      </c>
      <c r="U17" s="1576">
        <f>H17</f>
        <v>100</v>
      </c>
      <c r="V17" s="1575" t="s">
        <v>8</v>
      </c>
      <c r="W17" s="1576">
        <f>J17</f>
        <v>100</v>
      </c>
      <c r="X17" s="1569"/>
      <c r="Y17" s="3433"/>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8"/>
      <c r="M18" s="2140"/>
      <c r="N18" s="2140"/>
      <c r="O18" s="2140"/>
      <c r="P18" s="3433"/>
      <c r="Q18" s="1574"/>
      <c r="R18" s="1575"/>
      <c r="S18" s="1576"/>
      <c r="T18" s="1575"/>
      <c r="U18" s="1576"/>
      <c r="V18" s="1575"/>
      <c r="W18" s="1576"/>
      <c r="X18" s="1569"/>
      <c r="Y18" s="3433"/>
      <c r="Z18" s="1577"/>
      <c r="AA18" s="1578">
        <v>1</v>
      </c>
      <c r="AB18" s="1578">
        <v>1</v>
      </c>
      <c r="AC18" s="1578">
        <v>1</v>
      </c>
    </row>
    <row r="19" spans="1:29" ht="185.25">
      <c r="A19" s="535"/>
      <c r="B19" s="2634" t="s">
        <v>2558</v>
      </c>
      <c r="C19" s="576"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8"/>
      <c r="M19" s="2140"/>
      <c r="N19" s="2140"/>
      <c r="O19" s="2140"/>
      <c r="P19" s="3433"/>
      <c r="Q19" s="1574" t="str">
        <f>B19</f>
        <v>公共配套设施</v>
      </c>
      <c r="R19" s="1575" t="s">
        <v>8</v>
      </c>
      <c r="S19" s="1576">
        <f>F19</f>
        <v>100</v>
      </c>
      <c r="T19" s="1575" t="s">
        <v>8</v>
      </c>
      <c r="U19" s="1576">
        <f>H19</f>
        <v>100</v>
      </c>
      <c r="V19" s="1575" t="s">
        <v>8</v>
      </c>
      <c r="W19" s="1576">
        <f>J19</f>
        <v>100</v>
      </c>
      <c r="X19" s="1569"/>
      <c r="Y19" s="3433"/>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8"/>
      <c r="M20" s="2140"/>
      <c r="N20" s="2140"/>
      <c r="O20" s="2140"/>
      <c r="P20" s="3433"/>
      <c r="Q20" s="1574"/>
      <c r="R20" s="1575"/>
      <c r="S20" s="1576"/>
      <c r="T20" s="1575"/>
      <c r="U20" s="1576"/>
      <c r="V20" s="1575"/>
      <c r="W20" s="1576"/>
      <c r="X20" s="1569"/>
      <c r="Y20" s="3433"/>
      <c r="Z20" s="1577"/>
      <c r="AA20" s="1578">
        <v>1</v>
      </c>
      <c r="AB20" s="1578">
        <v>1</v>
      </c>
      <c r="AC20" s="1578">
        <v>1</v>
      </c>
    </row>
    <row r="21" spans="1:29" ht="42.75">
      <c r="A21" s="535"/>
      <c r="B21" s="2622" t="s">
        <v>2570</v>
      </c>
      <c r="C21" s="576" t="str">
        <f>估价对象房地状况!C8</f>
        <v>估价对象所在区域基础设施水平达“六通”。</v>
      </c>
      <c r="D21" s="568">
        <v>100</v>
      </c>
      <c r="E21" s="575"/>
      <c r="F21" s="568">
        <f>SUMIF(83:83,E22,84:84)-SUMIF(83:83,C22,84:84)+100</f>
        <v>100</v>
      </c>
      <c r="G21" s="573"/>
      <c r="H21" s="568">
        <f>SUMIF(83:83,G22,84:84)-SUMIF(83:83,C22,84:84)+100</f>
        <v>100</v>
      </c>
      <c r="I21" s="573"/>
      <c r="J21" s="568">
        <f>SUMIF(83:83,I22,84:84)-SUMIF(83:83,C22,84:84)+100</f>
        <v>100</v>
      </c>
      <c r="K21" s="901"/>
      <c r="L21" s="2148"/>
      <c r="M21" s="2140"/>
      <c r="N21" s="2140"/>
      <c r="O21" s="2140"/>
      <c r="P21" s="3433"/>
      <c r="Q21" s="2610" t="str">
        <f>B21</f>
        <v>基础设施水平</v>
      </c>
      <c r="R21" s="1575" t="s">
        <v>8</v>
      </c>
      <c r="S21" s="1576">
        <f>F21</f>
        <v>100</v>
      </c>
      <c r="T21" s="1575" t="s">
        <v>8</v>
      </c>
      <c r="U21" s="1576">
        <f>H21</f>
        <v>100</v>
      </c>
      <c r="V21" s="1575" t="s">
        <v>8</v>
      </c>
      <c r="W21" s="1576">
        <f>J21</f>
        <v>100</v>
      </c>
      <c r="X21" s="2612"/>
      <c r="Y21" s="3433"/>
      <c r="Z21" s="2611"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33"/>
      <c r="L22" s="2148"/>
      <c r="M22" s="2140"/>
      <c r="N22" s="2140"/>
      <c r="O22" s="2140"/>
      <c r="P22" s="3433"/>
      <c r="Q22" s="2610"/>
      <c r="R22" s="1575"/>
      <c r="S22" s="1576"/>
      <c r="T22" s="1575"/>
      <c r="U22" s="1576"/>
      <c r="V22" s="1575"/>
      <c r="W22" s="1576"/>
      <c r="X22" s="2612"/>
      <c r="Y22" s="3433"/>
      <c r="Z22" s="2611"/>
      <c r="AA22" s="1578">
        <v>1</v>
      </c>
      <c r="AB22" s="1578">
        <v>1</v>
      </c>
      <c r="AC22" s="1578">
        <v>1</v>
      </c>
    </row>
    <row r="23" spans="1:29" ht="142.5">
      <c r="A23" s="535"/>
      <c r="B23" s="563" t="s">
        <v>781</v>
      </c>
      <c r="C23" s="576" t="str">
        <f>估价对象房地状况!C9</f>
        <v>估价对象所在区有鹰岭公园，绿化较好，自然环境较好；所在区域有东莞市广播大学东坑分校等设施，人文环境较好；综合评价自然及人文环境较好。</v>
      </c>
      <c r="D23" s="562">
        <v>100</v>
      </c>
      <c r="E23" s="567"/>
      <c r="F23" s="562">
        <f>SUMIF(85:85,E24,86:86)-SUMIF(85:85,C24,86:86)+100</f>
        <v>100</v>
      </c>
      <c r="G23" s="565"/>
      <c r="H23" s="562">
        <f>SUMIF(85:85,G24,86:86)-SUMIF(85:85,C24,86:86)+100</f>
        <v>100</v>
      </c>
      <c r="I23" s="565"/>
      <c r="J23" s="562">
        <f>SUMIF(85:85,I24,86:86)-SUMIF(85:85,C24,86:86)+100</f>
        <v>100</v>
      </c>
      <c r="K23" s="901"/>
      <c r="L23" s="2148"/>
      <c r="M23" s="2140"/>
      <c r="N23" s="2140"/>
      <c r="O23" s="2140"/>
      <c r="P23" s="3433"/>
      <c r="Q23" s="1574" t="str">
        <f>B23</f>
        <v>环境质量</v>
      </c>
      <c r="R23" s="1575" t="s">
        <v>8</v>
      </c>
      <c r="S23" s="1576">
        <f>F23</f>
        <v>100</v>
      </c>
      <c r="T23" s="1575" t="s">
        <v>8</v>
      </c>
      <c r="U23" s="1576">
        <f>H23</f>
        <v>100</v>
      </c>
      <c r="V23" s="1575" t="s">
        <v>8</v>
      </c>
      <c r="W23" s="1576">
        <f>J23</f>
        <v>100</v>
      </c>
      <c r="X23" s="1569"/>
      <c r="Y23" s="3433"/>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8"/>
      <c r="M24" s="2140"/>
      <c r="N24" s="2140"/>
      <c r="O24" s="2140"/>
      <c r="P24" s="3433"/>
      <c r="Q24" s="1574"/>
      <c r="R24" s="1575"/>
      <c r="S24" s="1576"/>
      <c r="T24" s="1575"/>
      <c r="U24" s="1576"/>
      <c r="V24" s="1575"/>
      <c r="W24" s="1576"/>
      <c r="X24" s="1569"/>
      <c r="Y24" s="3433"/>
      <c r="Z24" s="1577"/>
      <c r="AA24" s="1578">
        <v>1</v>
      </c>
      <c r="AB24" s="1578">
        <v>1</v>
      </c>
      <c r="AC24" s="1578">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901"/>
      <c r="L25" s="2148"/>
      <c r="M25" s="2140"/>
      <c r="N25" s="2140"/>
      <c r="O25" s="2140"/>
      <c r="P25" s="3433"/>
      <c r="Q25" s="1574" t="str">
        <f>B25</f>
        <v>毗邻道路的类型与等级</v>
      </c>
      <c r="R25" s="1575" t="s">
        <v>8</v>
      </c>
      <c r="S25" s="1576">
        <f>F25</f>
        <v>100</v>
      </c>
      <c r="T25" s="1575" t="s">
        <v>8</v>
      </c>
      <c r="U25" s="1576">
        <f>H25</f>
        <v>100</v>
      </c>
      <c r="V25" s="1575" t="s">
        <v>8</v>
      </c>
      <c r="W25" s="1576">
        <f>J25</f>
        <v>100</v>
      </c>
      <c r="X25" s="1569"/>
      <c r="Y25" s="3433"/>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8"/>
      <c r="M26" s="2140"/>
      <c r="N26" s="2140"/>
      <c r="O26" s="2140"/>
      <c r="P26" s="3433"/>
      <c r="Q26" s="1574"/>
      <c r="R26" s="1575"/>
      <c r="S26" s="1576"/>
      <c r="T26" s="1575"/>
      <c r="U26" s="1576"/>
      <c r="V26" s="1575"/>
      <c r="W26" s="1576"/>
      <c r="X26" s="1569"/>
      <c r="Y26" s="3433"/>
      <c r="Z26" s="1577"/>
      <c r="AA26" s="1578">
        <v>1</v>
      </c>
      <c r="AB26" s="1578">
        <v>1</v>
      </c>
      <c r="AC26" s="1578">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48"/>
      <c r="M27" s="2140"/>
      <c r="N27" s="2140"/>
      <c r="O27" s="2140"/>
      <c r="P27" s="3433"/>
      <c r="Q27" s="1574" t="str">
        <f t="shared" ref="Q27:Q47" si="11">B27</f>
        <v>楼层</v>
      </c>
      <c r="R27" s="1575" t="s">
        <v>8</v>
      </c>
      <c r="S27" s="1576">
        <f>F27</f>
        <v>100</v>
      </c>
      <c r="T27" s="1575" t="s">
        <v>8</v>
      </c>
      <c r="U27" s="1576">
        <f>H27</f>
        <v>100</v>
      </c>
      <c r="V27" s="1575" t="s">
        <v>8</v>
      </c>
      <c r="W27" s="1576">
        <f>J27</f>
        <v>100</v>
      </c>
      <c r="X27" s="1569"/>
      <c r="Y27" s="3433"/>
      <c r="Z27" s="1577" t="str">
        <f>Q27</f>
        <v>楼层</v>
      </c>
      <c r="AA27" s="1578">
        <f t="shared" si="3"/>
        <v>1</v>
      </c>
      <c r="AB27" s="1578">
        <f t="shared" si="4"/>
        <v>1</v>
      </c>
      <c r="AC27" s="1578">
        <f t="shared" si="5"/>
        <v>1</v>
      </c>
    </row>
    <row r="28" spans="1:29" s="1220" customFormat="1" ht="15">
      <c r="A28" s="539"/>
      <c r="B28" s="563" t="s">
        <v>782</v>
      </c>
      <c r="C28" s="914"/>
      <c r="D28" s="878">
        <v>100</v>
      </c>
      <c r="E28" s="904"/>
      <c r="F28" s="878">
        <f>SUMIF(91:91,E28,92:92)-SUMIF(91:91,C28,92:92)+100</f>
        <v>100</v>
      </c>
      <c r="G28" s="914"/>
      <c r="H28" s="878">
        <f>SUMIF(91:91,G28,92:92)-SUMIF(91:91,C28,92:92)+100</f>
        <v>100</v>
      </c>
      <c r="I28" s="904"/>
      <c r="J28" s="878">
        <f>SUMIF(91:91,I28,92:92)-SUMIF(91:91,C28,92:92)+100</f>
        <v>100</v>
      </c>
      <c r="K28" s="587"/>
      <c r="L28" s="2141"/>
      <c r="M28" s="2142"/>
      <c r="N28" s="2142"/>
      <c r="O28" s="2142"/>
      <c r="P28" s="3433"/>
      <c r="Q28" s="1151" t="str">
        <f t="shared" si="11"/>
        <v>朝向</v>
      </c>
      <c r="R28" s="1570" t="s">
        <v>8</v>
      </c>
      <c r="S28" s="1571">
        <f>F28</f>
        <v>100</v>
      </c>
      <c r="T28" s="1570" t="s">
        <v>8</v>
      </c>
      <c r="U28" s="1571">
        <f>H28</f>
        <v>100</v>
      </c>
      <c r="V28" s="1570" t="s">
        <v>8</v>
      </c>
      <c r="W28" s="1571">
        <f>J28</f>
        <v>100</v>
      </c>
      <c r="X28" s="1572"/>
      <c r="Y28" s="3433"/>
      <c r="Z28" s="1150" t="str">
        <f>Q28</f>
        <v>朝向</v>
      </c>
      <c r="AA28" s="1578">
        <f>D28/F28</f>
        <v>1</v>
      </c>
      <c r="AB28" s="1578">
        <f>D28/H28</f>
        <v>1</v>
      </c>
      <c r="AC28" s="1578">
        <f>D28/J28</f>
        <v>1</v>
      </c>
    </row>
    <row r="29" spans="1:29" ht="15">
      <c r="A29" s="535"/>
      <c r="B29" s="588">
        <v>111</v>
      </c>
      <c r="C29" s="913"/>
      <c r="D29" s="543">
        <v>100</v>
      </c>
      <c r="E29" s="531"/>
      <c r="F29" s="543">
        <f>SUMIF(93:93,E29,94:94)-SUMIF(93:93,C29,94:94)+100</f>
        <v>100</v>
      </c>
      <c r="G29" s="911"/>
      <c r="H29" s="543">
        <f>SUMIF(93:93,G29,94:94)-SUMIF(93:93,C29,94:94)+100</f>
        <v>100</v>
      </c>
      <c r="I29" s="531"/>
      <c r="J29" s="543">
        <f>SUMIF(93:93,I29,94:94)-SUMIF(93:93,C29,94:94)+100</f>
        <v>100</v>
      </c>
      <c r="K29" s="584"/>
      <c r="L29" s="2148"/>
      <c r="M29" s="2140"/>
      <c r="N29" s="2140"/>
      <c r="O29" s="2140"/>
      <c r="P29" s="3433"/>
      <c r="Q29" s="1574">
        <f t="shared" si="11"/>
        <v>111</v>
      </c>
      <c r="R29" s="1575" t="s">
        <v>8</v>
      </c>
      <c r="S29" s="1576">
        <f t="shared" ref="S29:S47" si="12">F29</f>
        <v>100</v>
      </c>
      <c r="T29" s="1575" t="s">
        <v>8</v>
      </c>
      <c r="U29" s="1576">
        <f t="shared" ref="U29:U47" si="13">H29</f>
        <v>100</v>
      </c>
      <c r="V29" s="1575" t="s">
        <v>8</v>
      </c>
      <c r="W29" s="1576">
        <f t="shared" ref="W29:W47" si="14">J29</f>
        <v>100</v>
      </c>
      <c r="X29" s="1569"/>
      <c r="Y29" s="3433"/>
      <c r="Z29" s="1577">
        <f t="shared" ref="Z29:Z47" si="15">Q29</f>
        <v>111</v>
      </c>
      <c r="AA29" s="1578">
        <f t="shared" si="3"/>
        <v>1</v>
      </c>
      <c r="AB29" s="1578">
        <f t="shared" si="4"/>
        <v>1</v>
      </c>
      <c r="AC29" s="1578">
        <f t="shared" si="5"/>
        <v>1</v>
      </c>
    </row>
    <row r="30" spans="1:29" ht="15">
      <c r="A30" s="535"/>
      <c r="B30" s="588">
        <v>111</v>
      </c>
      <c r="C30" s="913"/>
      <c r="D30" s="543">
        <v>100</v>
      </c>
      <c r="E30" s="531"/>
      <c r="F30" s="543">
        <f>SUMIF(95:95,E30,96:96)-SUMIF(95:95,C30,96:96)+100</f>
        <v>100</v>
      </c>
      <c r="G30" s="911"/>
      <c r="H30" s="543">
        <f>SUMIF(95:95,G30,96:96)-SUMIF(95:95,C30,96:96)+100</f>
        <v>100</v>
      </c>
      <c r="I30" s="531"/>
      <c r="J30" s="543">
        <f>SUMIF(95:95,I30,96:96)-SUMIF(95:95,C30,96:96)+100</f>
        <v>100</v>
      </c>
      <c r="K30" s="584"/>
      <c r="L30" s="2148"/>
      <c r="M30" s="2140"/>
      <c r="N30" s="2140"/>
      <c r="O30" s="2140"/>
      <c r="P30" s="3433"/>
      <c r="Q30" s="1574">
        <f t="shared" si="11"/>
        <v>111</v>
      </c>
      <c r="R30" s="1575" t="s">
        <v>8</v>
      </c>
      <c r="S30" s="1576">
        <f t="shared" si="12"/>
        <v>100</v>
      </c>
      <c r="T30" s="1575" t="s">
        <v>8</v>
      </c>
      <c r="U30" s="1576">
        <f t="shared" si="13"/>
        <v>100</v>
      </c>
      <c r="V30" s="1575" t="s">
        <v>8</v>
      </c>
      <c r="W30" s="1576">
        <f t="shared" si="14"/>
        <v>100</v>
      </c>
      <c r="X30" s="1569"/>
      <c r="Y30" s="3433"/>
      <c r="Z30" s="1577">
        <f t="shared" si="15"/>
        <v>111</v>
      </c>
      <c r="AA30" s="1578">
        <f t="shared" si="3"/>
        <v>1</v>
      </c>
      <c r="AB30" s="1578">
        <f t="shared" si="4"/>
        <v>1</v>
      </c>
      <c r="AC30" s="1578">
        <f t="shared" si="5"/>
        <v>1</v>
      </c>
    </row>
    <row r="31" spans="1:29" ht="15">
      <c r="A31" s="535"/>
      <c r="B31" s="588">
        <v>111</v>
      </c>
      <c r="C31" s="913"/>
      <c r="D31" s="543">
        <v>100</v>
      </c>
      <c r="E31" s="531"/>
      <c r="F31" s="543">
        <f>SUMIF(97:97,E31,98:98)-SUMIF(97:97,C31,98:98)+100</f>
        <v>100</v>
      </c>
      <c r="G31" s="911"/>
      <c r="H31" s="543">
        <f>SUMIF(97:97,G31,98:98)-SUMIF(97:97,C31,98:98)+100</f>
        <v>100</v>
      </c>
      <c r="I31" s="531"/>
      <c r="J31" s="543">
        <f>SUMIF(97:97,I31,98:98)-SUMIF(97:97,C31,98:98)+100</f>
        <v>100</v>
      </c>
      <c r="K31" s="584"/>
      <c r="L31" s="2148"/>
      <c r="M31" s="2140"/>
      <c r="N31" s="2140"/>
      <c r="O31" s="2140"/>
      <c r="P31" s="3433"/>
      <c r="Q31" s="1574">
        <f t="shared" si="11"/>
        <v>111</v>
      </c>
      <c r="R31" s="1575" t="s">
        <v>8</v>
      </c>
      <c r="S31" s="1576">
        <f t="shared" si="12"/>
        <v>100</v>
      </c>
      <c r="T31" s="1575" t="s">
        <v>8</v>
      </c>
      <c r="U31" s="1576">
        <f t="shared" si="13"/>
        <v>100</v>
      </c>
      <c r="V31" s="1575" t="s">
        <v>8</v>
      </c>
      <c r="W31" s="1576">
        <f t="shared" si="14"/>
        <v>100</v>
      </c>
      <c r="X31" s="1569"/>
      <c r="Y31" s="3433"/>
      <c r="Z31" s="1577">
        <f t="shared" si="15"/>
        <v>111</v>
      </c>
      <c r="AA31" s="1578">
        <f t="shared" si="3"/>
        <v>1</v>
      </c>
      <c r="AB31" s="1578">
        <f t="shared" si="4"/>
        <v>1</v>
      </c>
      <c r="AC31" s="1578">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4"/>
      <c r="L32" s="2148"/>
      <c r="M32" s="2140"/>
      <c r="N32" s="2140"/>
      <c r="O32" s="2140"/>
      <c r="P32" s="3433"/>
      <c r="Q32" s="1574">
        <f t="shared" si="11"/>
        <v>111</v>
      </c>
      <c r="R32" s="1575" t="s">
        <v>8</v>
      </c>
      <c r="S32" s="1576">
        <f t="shared" si="12"/>
        <v>100</v>
      </c>
      <c r="T32" s="1575" t="s">
        <v>8</v>
      </c>
      <c r="U32" s="1576">
        <f t="shared" si="13"/>
        <v>100</v>
      </c>
      <c r="V32" s="1575" t="s">
        <v>8</v>
      </c>
      <c r="W32" s="1576">
        <f t="shared" si="14"/>
        <v>100</v>
      </c>
      <c r="X32" s="1569"/>
      <c r="Y32" s="3433"/>
      <c r="Z32" s="1577">
        <f t="shared" si="15"/>
        <v>111</v>
      </c>
      <c r="AA32" s="1578">
        <f t="shared" si="3"/>
        <v>1</v>
      </c>
      <c r="AB32" s="1578">
        <f t="shared" si="4"/>
        <v>1</v>
      </c>
      <c r="AC32" s="1578">
        <f t="shared" si="5"/>
        <v>1</v>
      </c>
    </row>
    <row r="33" spans="1:29" ht="15">
      <c r="A33" s="2942" t="s">
        <v>2770</v>
      </c>
      <c r="B33" s="172" t="s">
        <v>783</v>
      </c>
      <c r="C33" s="917"/>
      <c r="D33" s="600">
        <v>100</v>
      </c>
      <c r="E33" s="917"/>
      <c r="F33" s="578">
        <f>SUMIF(101:101,E33,102:102)-SUMIF(101:101,C33,102:102)+100</f>
        <v>100</v>
      </c>
      <c r="G33" s="917"/>
      <c r="H33" s="543">
        <f>SUMIF(101:101,G33,102:102)-SUMIF(101:101,C33,102:102)+100</f>
        <v>100</v>
      </c>
      <c r="I33" s="917"/>
      <c r="J33" s="600">
        <f>SUMIF(101:101,I33,102:102)-SUMIF(101:101,C33,102:102)+100</f>
        <v>100</v>
      </c>
      <c r="K33" s="587"/>
      <c r="L33" s="2148"/>
      <c r="M33" s="2140"/>
      <c r="N33" s="2140"/>
      <c r="O33" s="2140"/>
      <c r="P33" s="3434" t="s">
        <v>551</v>
      </c>
      <c r="Q33" s="1574" t="str">
        <f t="shared" si="11"/>
        <v>建筑类型</v>
      </c>
      <c r="R33" s="1575" t="s">
        <v>8</v>
      </c>
      <c r="S33" s="1576">
        <f t="shared" si="12"/>
        <v>100</v>
      </c>
      <c r="T33" s="1575" t="s">
        <v>8</v>
      </c>
      <c r="U33" s="1576">
        <f t="shared" si="13"/>
        <v>100</v>
      </c>
      <c r="V33" s="1575" t="s">
        <v>8</v>
      </c>
      <c r="W33" s="1576">
        <f t="shared" si="14"/>
        <v>100</v>
      </c>
      <c r="X33" s="1569"/>
      <c r="Y33" s="3435" t="s">
        <v>551</v>
      </c>
      <c r="Z33" s="1577" t="str">
        <f t="shared" si="15"/>
        <v>建筑类型</v>
      </c>
      <c r="AA33" s="1578">
        <f t="shared" si="3"/>
        <v>1</v>
      </c>
      <c r="AB33" s="1578">
        <f t="shared" si="4"/>
        <v>1</v>
      </c>
      <c r="AC33" s="1578">
        <f t="shared" si="5"/>
        <v>1</v>
      </c>
    </row>
    <row r="34" spans="1:29" s="1339"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6"/>
      <c r="M34" s="2177"/>
      <c r="N34" s="2177"/>
      <c r="O34" s="2177"/>
      <c r="P34" s="3435"/>
      <c r="Q34" s="1607" t="str">
        <f t="shared" si="11"/>
        <v>项目建筑规模</v>
      </c>
      <c r="R34" s="1579" t="s">
        <v>8</v>
      </c>
      <c r="S34" s="1580" t="e">
        <f t="shared" si="12"/>
        <v>#N/A</v>
      </c>
      <c r="T34" s="1579" t="s">
        <v>8</v>
      </c>
      <c r="U34" s="1580" t="e">
        <f t="shared" si="13"/>
        <v>#N/A</v>
      </c>
      <c r="V34" s="1579" t="s">
        <v>8</v>
      </c>
      <c r="W34" s="1580" t="e">
        <f t="shared" si="14"/>
        <v>#N/A</v>
      </c>
      <c r="X34" s="1581"/>
      <c r="Y34" s="3435"/>
      <c r="Z34" s="1582" t="str">
        <f t="shared" si="15"/>
        <v>项目建筑规模</v>
      </c>
      <c r="AA34" s="1578" t="e">
        <f t="shared" si="3"/>
        <v>#N/A</v>
      </c>
      <c r="AB34" s="1578" t="e">
        <f t="shared" si="4"/>
        <v>#N/A</v>
      </c>
      <c r="AC34" s="1578"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8"/>
      <c r="M35" s="2140"/>
      <c r="N35" s="2140"/>
      <c r="O35" s="2140"/>
      <c r="P35" s="3435"/>
      <c r="Q35" s="1574" t="str">
        <f t="shared" si="11"/>
        <v>建筑结构</v>
      </c>
      <c r="R35" s="1575" t="s">
        <v>8</v>
      </c>
      <c r="S35" s="1576">
        <f t="shared" si="12"/>
        <v>100</v>
      </c>
      <c r="T35" s="1575" t="s">
        <v>8</v>
      </c>
      <c r="U35" s="1576">
        <f t="shared" si="13"/>
        <v>100</v>
      </c>
      <c r="V35" s="1575" t="s">
        <v>8</v>
      </c>
      <c r="W35" s="1576">
        <f t="shared" si="14"/>
        <v>100</v>
      </c>
      <c r="X35" s="1569"/>
      <c r="Y35" s="3435"/>
      <c r="Z35" s="1577" t="str">
        <f t="shared" si="15"/>
        <v>建筑结构</v>
      </c>
      <c r="AA35" s="1578">
        <f t="shared" si="3"/>
        <v>1</v>
      </c>
      <c r="AB35" s="1578">
        <f t="shared" si="4"/>
        <v>1</v>
      </c>
      <c r="AC35" s="1578">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8"/>
      <c r="M36" s="2140"/>
      <c r="N36" s="2140"/>
      <c r="O36" s="2140"/>
      <c r="P36" s="3435"/>
      <c r="Q36" s="1574" t="str">
        <f t="shared" si="11"/>
        <v>公共部分装修</v>
      </c>
      <c r="R36" s="1575" t="s">
        <v>8</v>
      </c>
      <c r="S36" s="1576">
        <f t="shared" si="12"/>
        <v>100</v>
      </c>
      <c r="T36" s="1575" t="s">
        <v>8</v>
      </c>
      <c r="U36" s="1576">
        <f t="shared" si="13"/>
        <v>100</v>
      </c>
      <c r="V36" s="1575" t="s">
        <v>8</v>
      </c>
      <c r="W36" s="1576">
        <f t="shared" si="14"/>
        <v>100</v>
      </c>
      <c r="X36" s="1569"/>
      <c r="Y36" s="3435"/>
      <c r="Z36" s="1577" t="str">
        <f t="shared" si="15"/>
        <v>公共部分装修</v>
      </c>
      <c r="AA36" s="1578">
        <f t="shared" si="3"/>
        <v>1</v>
      </c>
      <c r="AB36" s="1578">
        <f t="shared" si="4"/>
        <v>1</v>
      </c>
      <c r="AC36" s="1578">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8"/>
      <c r="M37" s="2140"/>
      <c r="N37" s="2140"/>
      <c r="O37" s="2140"/>
      <c r="P37" s="3435"/>
      <c r="Q37" s="1574" t="str">
        <f t="shared" si="11"/>
        <v>成新度</v>
      </c>
      <c r="R37" s="1575" t="s">
        <v>8</v>
      </c>
      <c r="S37" s="1576" t="e">
        <f t="shared" si="12"/>
        <v>#N/A</v>
      </c>
      <c r="T37" s="1575" t="s">
        <v>8</v>
      </c>
      <c r="U37" s="1576" t="e">
        <f t="shared" si="13"/>
        <v>#N/A</v>
      </c>
      <c r="V37" s="1575" t="s">
        <v>8</v>
      </c>
      <c r="W37" s="1576" t="e">
        <f t="shared" si="14"/>
        <v>#N/A</v>
      </c>
      <c r="X37" s="1569"/>
      <c r="Y37" s="3435"/>
      <c r="Z37" s="1577" t="str">
        <f t="shared" si="15"/>
        <v>成新度</v>
      </c>
      <c r="AA37" s="1578" t="e">
        <f t="shared" si="3"/>
        <v>#N/A</v>
      </c>
      <c r="AB37" s="1578" t="e">
        <f t="shared" si="4"/>
        <v>#N/A</v>
      </c>
      <c r="AC37" s="1578" t="e">
        <f t="shared" si="5"/>
        <v>#N/A</v>
      </c>
    </row>
    <row r="38" spans="1:29" s="1220"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1"/>
      <c r="M38" s="2142"/>
      <c r="N38" s="2142"/>
      <c r="O38" s="2142"/>
      <c r="P38" s="3435"/>
      <c r="Q38" s="1151" t="str">
        <f t="shared" si="11"/>
        <v>写字楼等级</v>
      </c>
      <c r="R38" s="1570" t="s">
        <v>8</v>
      </c>
      <c r="S38" s="1571">
        <f t="shared" si="12"/>
        <v>100</v>
      </c>
      <c r="T38" s="1570" t="s">
        <v>8</v>
      </c>
      <c r="U38" s="1571">
        <f t="shared" si="13"/>
        <v>100</v>
      </c>
      <c r="V38" s="1570" t="s">
        <v>8</v>
      </c>
      <c r="W38" s="1571">
        <f t="shared" si="14"/>
        <v>100</v>
      </c>
      <c r="X38" s="1572"/>
      <c r="Y38" s="3435"/>
      <c r="Z38" s="1150" t="str">
        <f t="shared" si="15"/>
        <v>写字楼等级</v>
      </c>
      <c r="AA38" s="1573">
        <f t="shared" si="3"/>
        <v>1</v>
      </c>
      <c r="AB38" s="1573">
        <f t="shared" si="4"/>
        <v>1</v>
      </c>
      <c r="AC38" s="1573">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8"/>
      <c r="M39" s="2140"/>
      <c r="N39" s="2140"/>
      <c r="O39" s="2140"/>
      <c r="P39" s="3435" t="s">
        <v>551</v>
      </c>
      <c r="Q39" s="1574" t="str">
        <f t="shared" si="11"/>
        <v>物业管理</v>
      </c>
      <c r="R39" s="1575" t="s">
        <v>8</v>
      </c>
      <c r="S39" s="1576">
        <f t="shared" si="12"/>
        <v>100</v>
      </c>
      <c r="T39" s="1575" t="s">
        <v>8</v>
      </c>
      <c r="U39" s="1576">
        <f t="shared" si="13"/>
        <v>100</v>
      </c>
      <c r="V39" s="1575" t="s">
        <v>8</v>
      </c>
      <c r="W39" s="1576">
        <f t="shared" si="14"/>
        <v>100</v>
      </c>
      <c r="X39" s="1569"/>
      <c r="Y39" s="3435" t="s">
        <v>551</v>
      </c>
      <c r="Z39" s="1577" t="str">
        <f t="shared" si="15"/>
        <v>物业管理</v>
      </c>
      <c r="AA39" s="1578">
        <f t="shared" si="3"/>
        <v>1</v>
      </c>
      <c r="AB39" s="1578">
        <f t="shared" si="4"/>
        <v>1</v>
      </c>
      <c r="AC39" s="1578">
        <f t="shared" si="5"/>
        <v>1</v>
      </c>
    </row>
    <row r="40" spans="1:29" ht="15">
      <c r="A40" s="597"/>
      <c r="B40" s="1898"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8"/>
      <c r="M40" s="2140"/>
      <c r="N40" s="2140"/>
      <c r="O40" s="2140"/>
      <c r="P40" s="3435"/>
      <c r="Q40" s="1574" t="str">
        <f t="shared" si="11"/>
        <v>市政基础设施</v>
      </c>
      <c r="R40" s="1575" t="s">
        <v>8</v>
      </c>
      <c r="S40" s="1576">
        <f t="shared" si="12"/>
        <v>100</v>
      </c>
      <c r="T40" s="1575" t="s">
        <v>8</v>
      </c>
      <c r="U40" s="1576">
        <f t="shared" si="13"/>
        <v>100</v>
      </c>
      <c r="V40" s="1575" t="s">
        <v>8</v>
      </c>
      <c r="W40" s="1576">
        <f t="shared" si="14"/>
        <v>100</v>
      </c>
      <c r="X40" s="1569"/>
      <c r="Y40" s="3435"/>
      <c r="Z40" s="1577" t="str">
        <f t="shared" si="15"/>
        <v>市政基础设施</v>
      </c>
      <c r="AA40" s="1578">
        <f t="shared" si="3"/>
        <v>1</v>
      </c>
      <c r="AB40" s="1578">
        <f t="shared" si="4"/>
        <v>1</v>
      </c>
      <c r="AC40" s="1578">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8"/>
      <c r="M41" s="2140"/>
      <c r="N41" s="2140"/>
      <c r="O41" s="2140"/>
      <c r="P41" s="3435"/>
      <c r="Q41" s="1574" t="str">
        <f t="shared" si="11"/>
        <v>层高</v>
      </c>
      <c r="R41" s="1575" t="s">
        <v>8</v>
      </c>
      <c r="S41" s="1576">
        <f t="shared" si="12"/>
        <v>100</v>
      </c>
      <c r="T41" s="1575" t="s">
        <v>8</v>
      </c>
      <c r="U41" s="1576">
        <f t="shared" si="13"/>
        <v>100</v>
      </c>
      <c r="V41" s="1575" t="s">
        <v>8</v>
      </c>
      <c r="W41" s="1576">
        <f t="shared" si="14"/>
        <v>100</v>
      </c>
      <c r="X41" s="1569"/>
      <c r="Y41" s="3435"/>
      <c r="Z41" s="1577" t="str">
        <f t="shared" si="15"/>
        <v>层高</v>
      </c>
      <c r="AA41" s="1578">
        <f t="shared" si="3"/>
        <v>1</v>
      </c>
      <c r="AB41" s="1578">
        <f t="shared" si="4"/>
        <v>1</v>
      </c>
      <c r="AC41" s="1578">
        <f t="shared" si="5"/>
        <v>1</v>
      </c>
    </row>
    <row r="42" spans="1:29" s="1339" customFormat="1" ht="15">
      <c r="A42" s="606"/>
      <c r="B42" s="905"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6"/>
      <c r="M42" s="2177"/>
      <c r="N42" s="2177"/>
      <c r="O42" s="2177"/>
      <c r="P42" s="3435"/>
      <c r="Q42" s="1607" t="str">
        <f t="shared" si="11"/>
        <v>单套建筑面积</v>
      </c>
      <c r="R42" s="1579" t="s">
        <v>8</v>
      </c>
      <c r="S42" s="1580">
        <f t="shared" si="12"/>
        <v>100</v>
      </c>
      <c r="T42" s="1579" t="s">
        <v>8</v>
      </c>
      <c r="U42" s="1580">
        <f t="shared" si="13"/>
        <v>100</v>
      </c>
      <c r="V42" s="1579" t="s">
        <v>8</v>
      </c>
      <c r="W42" s="1580">
        <f t="shared" si="14"/>
        <v>100</v>
      </c>
      <c r="X42" s="1581"/>
      <c r="Y42" s="3435"/>
      <c r="Z42" s="1582" t="str">
        <f t="shared" si="15"/>
        <v>单套建筑面积</v>
      </c>
      <c r="AA42" s="1578">
        <f t="shared" si="3"/>
        <v>1</v>
      </c>
      <c r="AB42" s="1578">
        <f t="shared" si="4"/>
        <v>1</v>
      </c>
      <c r="AC42" s="1578">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8"/>
      <c r="M43" s="2140"/>
      <c r="N43" s="2140"/>
      <c r="O43" s="2140"/>
      <c r="P43" s="3435"/>
      <c r="Q43" s="1574" t="str">
        <f t="shared" si="11"/>
        <v>内部装修</v>
      </c>
      <c r="R43" s="1575" t="s">
        <v>8</v>
      </c>
      <c r="S43" s="1576">
        <f t="shared" si="12"/>
        <v>100</v>
      </c>
      <c r="T43" s="1575" t="s">
        <v>8</v>
      </c>
      <c r="U43" s="1576">
        <f t="shared" si="13"/>
        <v>100</v>
      </c>
      <c r="V43" s="1575" t="s">
        <v>8</v>
      </c>
      <c r="W43" s="1576">
        <f t="shared" si="14"/>
        <v>100</v>
      </c>
      <c r="X43" s="1569"/>
      <c r="Y43" s="3435"/>
      <c r="Z43" s="1577" t="str">
        <f t="shared" si="15"/>
        <v>内部装修</v>
      </c>
      <c r="AA43" s="1578">
        <f t="shared" si="3"/>
        <v>1</v>
      </c>
      <c r="AB43" s="1578">
        <f t="shared" si="4"/>
        <v>1</v>
      </c>
      <c r="AC43" s="1578">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8"/>
      <c r="M44" s="2140"/>
      <c r="N44" s="2140"/>
      <c r="O44" s="2140"/>
      <c r="P44" s="3435"/>
      <c r="Q44" s="1574" t="str">
        <f t="shared" si="11"/>
        <v>内部装修维护情况</v>
      </c>
      <c r="R44" s="1575" t="s">
        <v>8</v>
      </c>
      <c r="S44" s="1576">
        <f t="shared" si="12"/>
        <v>100</v>
      </c>
      <c r="T44" s="1575" t="s">
        <v>8</v>
      </c>
      <c r="U44" s="1576">
        <f t="shared" si="13"/>
        <v>100</v>
      </c>
      <c r="V44" s="1575" t="s">
        <v>8</v>
      </c>
      <c r="W44" s="1576">
        <f t="shared" si="14"/>
        <v>100</v>
      </c>
      <c r="X44" s="1569"/>
      <c r="Y44" s="3435"/>
      <c r="Z44" s="1577" t="str">
        <f t="shared" si="15"/>
        <v>内部装修维护情况</v>
      </c>
      <c r="AA44" s="1578">
        <f t="shared" si="3"/>
        <v>1</v>
      </c>
      <c r="AB44" s="1578">
        <f t="shared" si="4"/>
        <v>1</v>
      </c>
      <c r="AC44" s="1578">
        <f t="shared" si="5"/>
        <v>1</v>
      </c>
    </row>
    <row r="45" spans="1:29" s="1220"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1"/>
      <c r="M45" s="2142"/>
      <c r="N45" s="2142"/>
      <c r="O45" s="2142"/>
      <c r="P45" s="3435"/>
      <c r="Q45" s="1151">
        <f t="shared" si="11"/>
        <v>111</v>
      </c>
      <c r="R45" s="1570" t="s">
        <v>8</v>
      </c>
      <c r="S45" s="1571">
        <f t="shared" si="12"/>
        <v>100</v>
      </c>
      <c r="T45" s="1570" t="s">
        <v>8</v>
      </c>
      <c r="U45" s="1571">
        <f t="shared" si="13"/>
        <v>100</v>
      </c>
      <c r="V45" s="1570" t="s">
        <v>8</v>
      </c>
      <c r="W45" s="1571">
        <f t="shared" si="14"/>
        <v>100</v>
      </c>
      <c r="X45" s="1572"/>
      <c r="Y45" s="3435"/>
      <c r="Z45" s="1150">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8"/>
      <c r="M46" s="2140"/>
      <c r="N46" s="2140"/>
      <c r="O46" s="2140"/>
      <c r="P46" s="3435"/>
      <c r="Q46" s="1574">
        <f t="shared" si="11"/>
        <v>111</v>
      </c>
      <c r="R46" s="1575" t="s">
        <v>8</v>
      </c>
      <c r="S46" s="1576">
        <f t="shared" si="12"/>
        <v>100</v>
      </c>
      <c r="T46" s="1575" t="s">
        <v>8</v>
      </c>
      <c r="U46" s="1576">
        <f t="shared" si="13"/>
        <v>100</v>
      </c>
      <c r="V46" s="1575" t="s">
        <v>8</v>
      </c>
      <c r="W46" s="1576">
        <f t="shared" si="14"/>
        <v>100</v>
      </c>
      <c r="X46" s="1569"/>
      <c r="Y46" s="3435"/>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8"/>
      <c r="M47" s="2140"/>
      <c r="N47" s="2140"/>
      <c r="O47" s="2140"/>
      <c r="P47" s="3529"/>
      <c r="Q47" s="1574">
        <f t="shared" si="11"/>
        <v>111</v>
      </c>
      <c r="R47" s="1575" t="s">
        <v>8</v>
      </c>
      <c r="S47" s="1576">
        <f t="shared" si="12"/>
        <v>100</v>
      </c>
      <c r="T47" s="1575" t="s">
        <v>8</v>
      </c>
      <c r="U47" s="1576">
        <f t="shared" si="13"/>
        <v>100</v>
      </c>
      <c r="V47" s="1575" t="s">
        <v>8</v>
      </c>
      <c r="W47" s="1576">
        <f t="shared" si="14"/>
        <v>100</v>
      </c>
      <c r="X47" s="1569"/>
      <c r="Y47" s="3529"/>
      <c r="Z47" s="1577">
        <f t="shared" si="15"/>
        <v>111</v>
      </c>
      <c r="AA47" s="1578">
        <f t="shared" si="3"/>
        <v>1</v>
      </c>
      <c r="AB47" s="1578">
        <f t="shared" si="4"/>
        <v>1</v>
      </c>
      <c r="AC47" s="1578">
        <f t="shared" si="5"/>
        <v>1</v>
      </c>
    </row>
    <row r="48" spans="1:29" ht="15">
      <c r="A48" s="610" t="s">
        <v>739</v>
      </c>
      <c r="B48" s="890"/>
      <c r="C48" s="2658" t="s">
        <v>1</v>
      </c>
      <c r="D48" s="2659"/>
      <c r="E48" s="2660"/>
      <c r="F48" s="2661"/>
      <c r="G48" s="2662"/>
      <c r="H48" s="2663"/>
      <c r="I48" s="2660"/>
      <c r="J48" s="2663"/>
      <c r="K48" s="1613"/>
      <c r="L48" s="2150"/>
      <c r="M48" s="2140"/>
      <c r="N48" s="2140"/>
      <c r="O48" s="2140"/>
      <c r="P48" s="3453" t="str">
        <f>A48</f>
        <v>成交单价（元/平方米）</v>
      </c>
      <c r="Q48" s="3430"/>
      <c r="R48" s="3528">
        <f>E48</f>
        <v>0</v>
      </c>
      <c r="S48" s="3528"/>
      <c r="T48" s="3528">
        <f>G48</f>
        <v>0</v>
      </c>
      <c r="U48" s="3528"/>
      <c r="V48" s="3528">
        <f>I48</f>
        <v>0</v>
      </c>
      <c r="W48" s="3528"/>
      <c r="X48" s="1561"/>
      <c r="Y48" s="1583"/>
      <c r="Z48" s="1561"/>
      <c r="AA48" s="1561"/>
      <c r="AB48" s="1561"/>
      <c r="AC48" s="1561"/>
    </row>
    <row r="49" spans="1:29" ht="15.75" thickBot="1">
      <c r="A49" s="618" t="s">
        <v>2775</v>
      </c>
      <c r="B49" s="891"/>
      <c r="C49" s="2664" t="e">
        <f>R50</f>
        <v>#DIV/0!</v>
      </c>
      <c r="D49" s="2665"/>
      <c r="E49" s="2666" t="e">
        <f>R49</f>
        <v>#DIV/0!</v>
      </c>
      <c r="F49" s="2666"/>
      <c r="G49" s="2664" t="e">
        <f>T49</f>
        <v>#DIV/0!</v>
      </c>
      <c r="H49" s="2665"/>
      <c r="I49" s="2666" t="e">
        <f>V49</f>
        <v>#DIV/0!</v>
      </c>
      <c r="J49" s="2665"/>
      <c r="K49" s="1614"/>
      <c r="L49" s="2150"/>
      <c r="M49" s="2140"/>
      <c r="N49" s="2140"/>
      <c r="O49" s="2140"/>
      <c r="P49" s="3453" t="str">
        <f>A49</f>
        <v>比较价格（元/平方米）</v>
      </c>
      <c r="Q49" s="3430"/>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61"/>
      <c r="Y49" s="1561"/>
      <c r="Z49" s="1561"/>
      <c r="AA49" s="1561"/>
      <c r="AB49" s="1561"/>
      <c r="AC49" s="1561"/>
    </row>
    <row r="50" spans="1:29" ht="15.75" thickBot="1">
      <c r="A50" s="624" t="s">
        <v>2941</v>
      </c>
      <c r="B50" s="625"/>
      <c r="C50" s="2667" t="e">
        <f>R50</f>
        <v>#DIV/0!</v>
      </c>
      <c r="D50" s="2667"/>
      <c r="E50" s="2667"/>
      <c r="F50" s="2667"/>
      <c r="G50" s="2667"/>
      <c r="H50" s="2667"/>
      <c r="I50" s="2667"/>
      <c r="J50" s="2667"/>
      <c r="K50" s="1615"/>
      <c r="L50" s="2150"/>
      <c r="M50" s="2140"/>
      <c r="N50" s="2140"/>
      <c r="O50" s="2140"/>
      <c r="P50" s="3533" t="str">
        <f>A50</f>
        <v>估价对象XX用房的比较价格（楼面单价，元/平方米）</v>
      </c>
      <c r="Q50" s="3453"/>
      <c r="R50" s="3527" t="e">
        <f>IF(F1="售价",ROUND(AVERAGE(R49:V49),0),ROUND(AVERAGE(R49:V49),1))</f>
        <v>#DIV/0!</v>
      </c>
      <c r="S50" s="3527"/>
      <c r="T50" s="3527"/>
      <c r="U50" s="3527"/>
      <c r="V50" s="3527"/>
      <c r="W50" s="3527"/>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8" t="s">
        <v>530</v>
      </c>
      <c r="B59" s="649"/>
      <c r="C59" s="2837" t="str">
        <f>YEAR(C7)&amp;"-"&amp;MONTH(C7)</f>
        <v>2017-6</v>
      </c>
      <c r="D59" s="2839">
        <f>EDATE(C59,-1)</f>
        <v>42856</v>
      </c>
      <c r="E59" s="2839">
        <f t="shared" ref="E59:O59" si="16">EDATE(D59,-1)</f>
        <v>42826</v>
      </c>
      <c r="F59" s="2839">
        <f t="shared" si="16"/>
        <v>42795</v>
      </c>
      <c r="G59" s="2839">
        <f t="shared" si="16"/>
        <v>42767</v>
      </c>
      <c r="H59" s="2839">
        <f t="shared" si="16"/>
        <v>42736</v>
      </c>
      <c r="I59" s="2839">
        <f t="shared" si="16"/>
        <v>42705</v>
      </c>
      <c r="J59" s="2839">
        <f t="shared" si="16"/>
        <v>42675</v>
      </c>
      <c r="K59" s="2839">
        <f t="shared" si="16"/>
        <v>42644</v>
      </c>
      <c r="L59" s="2839">
        <f t="shared" si="16"/>
        <v>42614</v>
      </c>
      <c r="M59" s="2839">
        <f t="shared" si="16"/>
        <v>42583</v>
      </c>
      <c r="N59" s="2839">
        <f t="shared" si="16"/>
        <v>42552</v>
      </c>
      <c r="O59" s="2839">
        <f t="shared" si="16"/>
        <v>42522</v>
      </c>
      <c r="P59" s="2217"/>
      <c r="Q59" s="2167"/>
      <c r="R59" s="2167"/>
      <c r="S59" s="2167"/>
      <c r="T59" s="2167"/>
      <c r="U59" s="2167"/>
      <c r="V59" s="2167"/>
      <c r="W59" s="2167"/>
      <c r="X59" s="2167"/>
      <c r="Y59" s="2167"/>
      <c r="Z59" s="2167"/>
      <c r="AA59" s="2167"/>
      <c r="AB59" s="2167"/>
      <c r="AC59" s="2167"/>
    </row>
    <row r="60" spans="1:29" s="1220" customFormat="1" ht="15">
      <c r="A60" s="650"/>
      <c r="B60" s="651"/>
      <c r="C60" s="652">
        <v>100</v>
      </c>
      <c r="D60" s="653"/>
      <c r="E60" s="653"/>
      <c r="F60" s="653"/>
      <c r="G60" s="653"/>
      <c r="H60" s="653"/>
      <c r="I60" s="653"/>
      <c r="J60" s="653"/>
      <c r="K60" s="653"/>
      <c r="L60" s="653"/>
      <c r="M60" s="654"/>
      <c r="N60" s="653"/>
      <c r="O60" s="654"/>
      <c r="P60" s="2218"/>
      <c r="Q60" s="1995"/>
      <c r="R60" s="1995"/>
      <c r="S60" s="1995"/>
      <c r="T60" s="1995"/>
      <c r="U60" s="1995"/>
      <c r="V60" s="1995"/>
      <c r="W60" s="1995"/>
      <c r="X60" s="1995"/>
      <c r="Y60" s="1995"/>
      <c r="Z60" s="1995"/>
      <c r="AA60" s="1995"/>
      <c r="AB60" s="1995"/>
      <c r="AC60" s="1995"/>
    </row>
    <row r="61" spans="1:29" s="1220" customFormat="1" ht="15.75" thickBot="1">
      <c r="A61" s="656" t="s">
        <v>576</v>
      </c>
      <c r="B61" s="657"/>
      <c r="C61" s="658"/>
      <c r="D61" s="659"/>
      <c r="E61" s="659"/>
      <c r="F61" s="659"/>
      <c r="G61" s="659"/>
      <c r="H61" s="659"/>
      <c r="I61" s="659"/>
      <c r="J61" s="659"/>
      <c r="K61" s="659"/>
      <c r="L61" s="659"/>
      <c r="M61" s="660"/>
      <c r="N61" s="659"/>
      <c r="O61" s="660"/>
      <c r="P61" s="2218"/>
      <c r="Q61" s="2164"/>
      <c r="R61" s="1995"/>
      <c r="S61" s="1995"/>
      <c r="T61" s="1995"/>
      <c r="U61" s="1995"/>
      <c r="V61" s="1995"/>
      <c r="W61" s="1995"/>
      <c r="X61" s="1995"/>
      <c r="Y61" s="1995"/>
      <c r="Z61" s="1995"/>
      <c r="AA61" s="1995"/>
      <c r="AB61" s="1995"/>
      <c r="AC61" s="1995"/>
    </row>
    <row r="62" spans="1:29" s="1220" customFormat="1" ht="15">
      <c r="A62" s="662" t="s">
        <v>532</v>
      </c>
      <c r="B62" s="651"/>
      <c r="C62" s="663" t="s">
        <v>577</v>
      </c>
      <c r="D62" s="664"/>
      <c r="E62" s="664"/>
      <c r="F62" s="664"/>
      <c r="G62" s="664"/>
      <c r="H62" s="664"/>
      <c r="I62" s="664"/>
      <c r="J62" s="664"/>
      <c r="K62" s="664"/>
      <c r="L62" s="665"/>
      <c r="M62" s="666"/>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2"/>
      <c r="B63" s="651"/>
      <c r="C63" s="892">
        <v>100</v>
      </c>
      <c r="D63" s="653"/>
      <c r="E63" s="653"/>
      <c r="F63" s="653"/>
      <c r="G63" s="653"/>
      <c r="H63" s="653"/>
      <c r="I63" s="653"/>
      <c r="J63" s="653"/>
      <c r="K63" s="653"/>
      <c r="L63" s="653"/>
      <c r="M63" s="655"/>
      <c r="N63" s="2168"/>
      <c r="O63" s="2168"/>
      <c r="P63" s="2218"/>
      <c r="Q63" s="2164"/>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70"/>
      <c r="O64" s="2170"/>
      <c r="P64" s="2220"/>
      <c r="Q64" s="2164"/>
      <c r="R64" s="2151"/>
      <c r="S64" s="2151"/>
      <c r="T64" s="2151"/>
      <c r="U64" s="2151"/>
      <c r="V64" s="2151"/>
      <c r="W64" s="2151"/>
      <c r="X64" s="2151"/>
      <c r="Y64" s="2151"/>
      <c r="Z64" s="2151"/>
      <c r="AA64" s="2151"/>
      <c r="AB64" s="2151"/>
      <c r="AC64" s="2151"/>
    </row>
    <row r="65" spans="1:29" ht="15.75" thickBot="1">
      <c r="A65" s="672"/>
      <c r="B65" s="673"/>
      <c r="C65" s="674"/>
      <c r="D65" s="674"/>
      <c r="E65" s="674"/>
      <c r="F65" s="674"/>
      <c r="G65" s="674"/>
      <c r="H65" s="674"/>
      <c r="I65" s="674"/>
      <c r="J65" s="674"/>
      <c r="K65" s="674"/>
      <c r="L65" s="674"/>
      <c r="M65" s="675"/>
      <c r="N65" s="2172"/>
      <c r="O65" s="2172"/>
      <c r="P65" s="2220"/>
      <c r="Q65" s="2164"/>
      <c r="R65" s="2151"/>
      <c r="S65" s="2151"/>
      <c r="T65" s="2151"/>
      <c r="U65" s="2151"/>
      <c r="V65" s="2151"/>
      <c r="W65" s="2151"/>
      <c r="X65" s="2151"/>
      <c r="Y65" s="2151"/>
      <c r="Z65" s="2151"/>
      <c r="AA65" s="2151"/>
      <c r="AB65" s="2151"/>
      <c r="AC65" s="2151"/>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0"/>
      <c r="O66" s="2170"/>
      <c r="P66" s="2220"/>
      <c r="Q66" s="2164"/>
      <c r="R66" s="2151"/>
      <c r="S66" s="2151"/>
      <c r="T66" s="2151"/>
      <c r="U66" s="2151"/>
      <c r="V66" s="2151"/>
      <c r="W66" s="2151"/>
      <c r="X66" s="2151"/>
      <c r="Y66" s="2151"/>
      <c r="Z66" s="2151"/>
      <c r="AA66" s="2151"/>
      <c r="AB66" s="2151"/>
      <c r="AC66" s="2151"/>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2"/>
      <c r="O67" s="2172"/>
      <c r="P67" s="2220"/>
      <c r="Q67" s="2164"/>
      <c r="R67" s="2151"/>
      <c r="S67" s="2151"/>
      <c r="T67" s="2151"/>
      <c r="U67" s="2151"/>
      <c r="V67" s="2151"/>
      <c r="W67" s="2151"/>
      <c r="X67" s="2151"/>
      <c r="Y67" s="2151"/>
      <c r="Z67" s="2151"/>
      <c r="AA67" s="2151"/>
      <c r="AB67" s="2151"/>
      <c r="AC67" s="2151"/>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2"/>
      <c r="B69" s="686"/>
      <c r="C69" s="544"/>
      <c r="D69" s="544"/>
      <c r="E69" s="544"/>
      <c r="F69" s="544"/>
      <c r="G69" s="544"/>
      <c r="H69" s="544"/>
      <c r="I69" s="544"/>
      <c r="J69" s="544"/>
      <c r="K69" s="687"/>
      <c r="L69" s="688"/>
      <c r="M69" s="689"/>
      <c r="N69" s="2170"/>
      <c r="O69" s="2170"/>
      <c r="P69" s="2220"/>
      <c r="Q69" s="2164"/>
      <c r="R69" s="2151"/>
      <c r="S69" s="2151"/>
      <c r="T69" s="2151"/>
      <c r="U69" s="2151"/>
      <c r="V69" s="2151"/>
      <c r="W69" s="2151"/>
      <c r="X69" s="2151"/>
      <c r="Y69" s="2151"/>
      <c r="Z69" s="2151"/>
      <c r="AA69" s="2151"/>
      <c r="AB69" s="2151"/>
      <c r="AC69" s="2151"/>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90"/>
      <c r="B71" s="676">
        <f>B12</f>
        <v>111</v>
      </c>
      <c r="C71" s="691"/>
      <c r="D71" s="691"/>
      <c r="E71" s="691"/>
      <c r="F71" s="691"/>
      <c r="G71" s="691"/>
      <c r="H71" s="692"/>
      <c r="I71" s="692"/>
      <c r="J71" s="692"/>
      <c r="K71" s="692"/>
      <c r="L71" s="693"/>
      <c r="M71" s="694"/>
      <c r="N71" s="2173"/>
      <c r="O71" s="2173"/>
      <c r="P71" s="2221"/>
      <c r="Q71" s="2175"/>
      <c r="R71" s="2176"/>
      <c r="S71" s="2176"/>
      <c r="T71" s="2176"/>
      <c r="U71" s="2176"/>
      <c r="V71" s="2176"/>
      <c r="W71" s="2176"/>
      <c r="X71" s="2176"/>
      <c r="Y71" s="2176"/>
      <c r="Z71" s="2176"/>
      <c r="AA71" s="2176"/>
      <c r="AB71" s="2176"/>
      <c r="AC71" s="2176"/>
    </row>
    <row r="72" spans="1:29" s="1339" customFormat="1" ht="15.75" thickBot="1">
      <c r="A72" s="690"/>
      <c r="B72" s="681"/>
      <c r="C72" s="695"/>
      <c r="D72" s="674"/>
      <c r="E72" s="674"/>
      <c r="F72" s="674"/>
      <c r="G72" s="674"/>
      <c r="H72" s="674"/>
      <c r="I72" s="674"/>
      <c r="J72" s="674"/>
      <c r="K72" s="674"/>
      <c r="L72" s="674"/>
      <c r="M72" s="675"/>
      <c r="N72" s="2172"/>
      <c r="O72" s="2172"/>
      <c r="P72" s="2221"/>
      <c r="Q72" s="2175"/>
      <c r="R72" s="2176"/>
      <c r="S72" s="2176"/>
      <c r="T72" s="2176"/>
      <c r="U72" s="2176"/>
      <c r="V72" s="2176"/>
      <c r="W72" s="2176"/>
      <c r="X72" s="2176"/>
      <c r="Y72" s="2176"/>
      <c r="Z72" s="2176"/>
      <c r="AA72" s="2176"/>
      <c r="AB72" s="2176"/>
      <c r="AC72" s="2176"/>
    </row>
    <row r="73" spans="1:29" s="1339" customFormat="1" ht="15.75" thickTop="1">
      <c r="A73" s="690"/>
      <c r="B73" s="676">
        <f>B13</f>
        <v>111</v>
      </c>
      <c r="C73" s="691"/>
      <c r="D73" s="691"/>
      <c r="E73" s="691"/>
      <c r="F73" s="691"/>
      <c r="G73" s="691"/>
      <c r="H73" s="692"/>
      <c r="I73" s="692"/>
      <c r="J73" s="692"/>
      <c r="K73" s="692"/>
      <c r="L73" s="693"/>
      <c r="M73" s="694"/>
      <c r="N73" s="2173"/>
      <c r="O73" s="2173"/>
      <c r="P73" s="2222"/>
      <c r="Q73" s="2178"/>
      <c r="R73" s="2176"/>
      <c r="S73" s="2176"/>
      <c r="T73" s="2176"/>
      <c r="U73" s="2176"/>
      <c r="V73" s="2176"/>
      <c r="W73" s="2176"/>
      <c r="X73" s="2176"/>
      <c r="Y73" s="2176"/>
      <c r="Z73" s="2176"/>
      <c r="AA73" s="2176"/>
      <c r="AB73" s="2176"/>
      <c r="AC73" s="2176"/>
    </row>
    <row r="74" spans="1:29" s="1339" customFormat="1" ht="15.75" thickBot="1">
      <c r="A74" s="690"/>
      <c r="B74" s="681"/>
      <c r="C74" s="695"/>
      <c r="D74" s="695"/>
      <c r="E74" s="695"/>
      <c r="F74" s="695"/>
      <c r="G74" s="695"/>
      <c r="H74" s="696"/>
      <c r="I74" s="696"/>
      <c r="J74" s="696"/>
      <c r="K74" s="696"/>
      <c r="L74" s="696"/>
      <c r="M74" s="697"/>
      <c r="N74" s="2173"/>
      <c r="O74" s="2173"/>
      <c r="P74" s="2221"/>
      <c r="Q74" s="2175"/>
      <c r="R74" s="2176"/>
      <c r="S74" s="2176"/>
      <c r="T74" s="2176"/>
      <c r="U74" s="2176"/>
      <c r="V74" s="2176"/>
      <c r="W74" s="2176"/>
      <c r="X74" s="2176"/>
      <c r="Y74" s="2176"/>
      <c r="Z74" s="2176"/>
      <c r="AA74" s="2176"/>
      <c r="AB74" s="2176"/>
      <c r="AC74" s="2176"/>
    </row>
    <row r="75" spans="1:29" s="1339" customFormat="1" ht="15.75" thickTop="1">
      <c r="A75" s="690"/>
      <c r="B75" s="684">
        <f>B14</f>
        <v>111</v>
      </c>
      <c r="C75" s="664"/>
      <c r="D75" s="664"/>
      <c r="E75" s="664"/>
      <c r="F75" s="664"/>
      <c r="G75" s="664"/>
      <c r="H75" s="698"/>
      <c r="I75" s="698"/>
      <c r="J75" s="698"/>
      <c r="K75" s="698"/>
      <c r="L75" s="699"/>
      <c r="M75" s="700"/>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1"/>
      <c r="B76" s="702"/>
      <c r="C76" s="703"/>
      <c r="D76" s="703"/>
      <c r="E76" s="703"/>
      <c r="F76" s="703"/>
      <c r="G76" s="703"/>
      <c r="H76" s="704"/>
      <c r="I76" s="704"/>
      <c r="J76" s="704"/>
      <c r="K76" s="704"/>
      <c r="L76" s="704"/>
      <c r="M76" s="705"/>
      <c r="N76" s="2173"/>
      <c r="O76" s="2173"/>
      <c r="P76" s="2221"/>
      <c r="Q76" s="2175"/>
      <c r="R76" s="2176"/>
      <c r="S76" s="2176"/>
      <c r="T76" s="2176"/>
      <c r="U76" s="2176"/>
      <c r="V76" s="2176"/>
      <c r="W76" s="2176"/>
      <c r="X76" s="2176"/>
      <c r="Y76" s="2176"/>
      <c r="Z76" s="2176"/>
      <c r="AA76" s="2176"/>
      <c r="AB76" s="2176"/>
      <c r="AC76" s="2176"/>
    </row>
    <row r="77" spans="1:29">
      <c r="A77" s="667" t="s">
        <v>540</v>
      </c>
      <c r="B77" s="668" t="s">
        <v>586</v>
      </c>
      <c r="C77" s="706" t="s">
        <v>580</v>
      </c>
      <c r="D77" s="706" t="s">
        <v>581</v>
      </c>
      <c r="E77" s="706" t="s">
        <v>582</v>
      </c>
      <c r="F77" s="706" t="s">
        <v>583</v>
      </c>
      <c r="G77" s="706" t="s">
        <v>584</v>
      </c>
      <c r="H77" s="707"/>
      <c r="I77" s="707"/>
      <c r="J77" s="707"/>
      <c r="K77" s="708"/>
      <c r="L77" s="709"/>
      <c r="M77" s="710"/>
      <c r="N77" s="2170"/>
      <c r="O77" s="2170"/>
      <c r="P77" s="2224"/>
      <c r="Q77" s="2164"/>
      <c r="R77" s="2151"/>
      <c r="S77" s="2151"/>
      <c r="T77" s="2151"/>
      <c r="U77" s="2151"/>
      <c r="V77" s="2151"/>
      <c r="W77" s="2151"/>
      <c r="X77" s="2151"/>
      <c r="Y77" s="2151"/>
      <c r="Z77" s="2151"/>
      <c r="AA77" s="2151"/>
      <c r="AB77" s="2151"/>
      <c r="AC77" s="2151"/>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2"/>
      <c r="O78" s="2172"/>
      <c r="P78" s="2220"/>
      <c r="Q78" s="2164"/>
      <c r="R78" s="2151"/>
      <c r="S78" s="2151"/>
      <c r="T78" s="2151"/>
      <c r="U78" s="2151"/>
      <c r="V78" s="2151"/>
      <c r="W78" s="2151"/>
      <c r="X78" s="2151"/>
      <c r="Y78" s="2151"/>
      <c r="Z78" s="2151"/>
      <c r="AA78" s="2151"/>
      <c r="AB78" s="2151"/>
      <c r="AC78" s="2151"/>
    </row>
    <row r="79" spans="1:29" ht="15.75" thickTop="1">
      <c r="A79" s="672"/>
      <c r="B79" s="676" t="s">
        <v>587</v>
      </c>
      <c r="C79" s="711" t="s">
        <v>580</v>
      </c>
      <c r="D79" s="711" t="s">
        <v>581</v>
      </c>
      <c r="E79" s="711" t="s">
        <v>582</v>
      </c>
      <c r="F79" s="711" t="s">
        <v>583</v>
      </c>
      <c r="G79" s="711" t="s">
        <v>584</v>
      </c>
      <c r="H79" s="677"/>
      <c r="I79" s="677"/>
      <c r="J79" s="677"/>
      <c r="K79" s="678"/>
      <c r="L79" s="679"/>
      <c r="M79" s="680"/>
      <c r="N79" s="2170"/>
      <c r="O79" s="2170"/>
      <c r="P79" s="2220"/>
      <c r="Q79" s="2164"/>
      <c r="R79" s="2151"/>
      <c r="S79" s="2151"/>
      <c r="T79" s="2151"/>
      <c r="U79" s="2151"/>
      <c r="V79" s="2151"/>
      <c r="W79" s="2151"/>
      <c r="X79" s="2151"/>
      <c r="Y79" s="2151"/>
      <c r="Z79" s="2151"/>
      <c r="AA79" s="2151"/>
      <c r="AB79" s="2151"/>
      <c r="AC79" s="2151"/>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2"/>
      <c r="O80" s="2172"/>
      <c r="P80" s="2220"/>
      <c r="Q80" s="2164"/>
      <c r="R80" s="2151"/>
      <c r="S80" s="2151"/>
      <c r="T80" s="2151"/>
      <c r="U80" s="2151"/>
      <c r="V80" s="2151"/>
      <c r="W80" s="2151"/>
      <c r="X80" s="2151"/>
      <c r="Y80" s="2151"/>
      <c r="Z80" s="2151"/>
      <c r="AA80" s="2151"/>
      <c r="AB80" s="2151"/>
      <c r="AC80" s="2151"/>
    </row>
    <row r="81" spans="1:29" ht="15.75" thickTop="1">
      <c r="A81" s="672"/>
      <c r="B81" s="1899" t="s">
        <v>2569</v>
      </c>
      <c r="C81" s="711" t="s">
        <v>580</v>
      </c>
      <c r="D81" s="711" t="s">
        <v>581</v>
      </c>
      <c r="E81" s="711" t="s">
        <v>582</v>
      </c>
      <c r="F81" s="711" t="s">
        <v>583</v>
      </c>
      <c r="G81" s="711" t="s">
        <v>584</v>
      </c>
      <c r="H81" s="677"/>
      <c r="I81" s="677"/>
      <c r="J81" s="677"/>
      <c r="K81" s="678"/>
      <c r="L81" s="679"/>
      <c r="M81" s="680"/>
      <c r="N81" s="2170"/>
      <c r="O81" s="2170"/>
      <c r="P81" s="2220"/>
      <c r="Q81" s="2164"/>
      <c r="R81" s="2151"/>
      <c r="S81" s="2151"/>
      <c r="T81" s="2151"/>
      <c r="U81" s="2151"/>
      <c r="V81" s="2151"/>
      <c r="W81" s="2151"/>
      <c r="X81" s="2151"/>
      <c r="Y81" s="2151"/>
      <c r="Z81" s="2151"/>
      <c r="AA81" s="2151"/>
      <c r="AB81" s="2151"/>
      <c r="AC81" s="2151"/>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2"/>
      <c r="O82" s="2172"/>
      <c r="P82" s="2220"/>
      <c r="Q82" s="2164"/>
      <c r="R82" s="2151"/>
      <c r="S82" s="2151"/>
      <c r="T82" s="2151"/>
      <c r="U82" s="2151"/>
      <c r="V82" s="2151"/>
      <c r="W82" s="2151"/>
      <c r="X82" s="2151"/>
      <c r="Y82" s="2151"/>
      <c r="Z82" s="2151"/>
      <c r="AA82" s="2151"/>
      <c r="AB82" s="2151"/>
      <c r="AC82" s="2151"/>
    </row>
    <row r="83" spans="1:29" ht="15.75" thickTop="1">
      <c r="A83" s="672"/>
      <c r="B83" s="2628" t="s">
        <v>2570</v>
      </c>
      <c r="C83" s="2629" t="s">
        <v>2571</v>
      </c>
      <c r="D83" s="2629" t="s">
        <v>2572</v>
      </c>
      <c r="E83" s="2629" t="s">
        <v>2573</v>
      </c>
      <c r="F83" s="2629" t="s">
        <v>2574</v>
      </c>
      <c r="G83" s="2629" t="s">
        <v>2575</v>
      </c>
      <c r="H83" s="677"/>
      <c r="I83" s="677"/>
      <c r="J83" s="677"/>
      <c r="K83" s="677"/>
      <c r="L83" s="677"/>
      <c r="M83" s="2632"/>
      <c r="N83" s="2172"/>
      <c r="O83" s="2172"/>
      <c r="P83" s="2220"/>
      <c r="Q83" s="2164"/>
      <c r="R83" s="2151"/>
      <c r="S83" s="2151"/>
      <c r="T83" s="2151"/>
      <c r="U83" s="2151"/>
      <c r="V83" s="2151"/>
      <c r="W83" s="2151"/>
      <c r="X83" s="2151"/>
      <c r="Y83" s="2151"/>
      <c r="Z83" s="2151"/>
      <c r="AA83" s="2151"/>
      <c r="AB83" s="2151"/>
      <c r="AC83" s="2151"/>
    </row>
    <row r="84" spans="1:29" ht="15.75" thickBot="1">
      <c r="A84" s="672"/>
      <c r="B84" s="684"/>
      <c r="C84" s="682">
        <v>100</v>
      </c>
      <c r="D84" s="682">
        <f>C84-$K21</f>
        <v>100</v>
      </c>
      <c r="E84" s="682">
        <f>D84-$K21</f>
        <v>100</v>
      </c>
      <c r="F84" s="682">
        <f>E84-$K21</f>
        <v>100</v>
      </c>
      <c r="G84" s="682">
        <f>F84-$K21</f>
        <v>100</v>
      </c>
      <c r="H84" s="936"/>
      <c r="I84" s="936"/>
      <c r="J84" s="936"/>
      <c r="K84" s="936"/>
      <c r="L84" s="936"/>
      <c r="M84" s="562"/>
      <c r="N84" s="2172"/>
      <c r="O84" s="2172"/>
      <c r="P84" s="2220"/>
      <c r="Q84" s="2164"/>
      <c r="R84" s="2151"/>
      <c r="S84" s="2151"/>
      <c r="T84" s="2151"/>
      <c r="U84" s="2151"/>
      <c r="V84" s="2151"/>
      <c r="W84" s="2151"/>
      <c r="X84" s="2151"/>
      <c r="Y84" s="2151"/>
      <c r="Z84" s="2151"/>
      <c r="AA84" s="2151"/>
      <c r="AB84" s="2151"/>
      <c r="AC84" s="2151"/>
    </row>
    <row r="85" spans="1:29" ht="15.75" thickTop="1">
      <c r="A85" s="672"/>
      <c r="B85" s="676" t="s">
        <v>787</v>
      </c>
      <c r="C85" s="711" t="s">
        <v>580</v>
      </c>
      <c r="D85" s="711" t="s">
        <v>581</v>
      </c>
      <c r="E85" s="711" t="s">
        <v>582</v>
      </c>
      <c r="F85" s="711" t="s">
        <v>583</v>
      </c>
      <c r="G85" s="711" t="s">
        <v>584</v>
      </c>
      <c r="H85" s="677"/>
      <c r="I85" s="677"/>
      <c r="J85" s="677"/>
      <c r="K85" s="678"/>
      <c r="L85" s="679"/>
      <c r="M85" s="680"/>
      <c r="N85" s="2170"/>
      <c r="O85" s="2170"/>
      <c r="P85" s="2220"/>
      <c r="Q85" s="2164"/>
      <c r="R85" s="2151"/>
      <c r="S85" s="2151"/>
      <c r="T85" s="2151"/>
      <c r="U85" s="2151"/>
      <c r="V85" s="2151"/>
      <c r="W85" s="2151"/>
      <c r="X85" s="2151"/>
      <c r="Y85" s="2151"/>
      <c r="Z85" s="2151"/>
      <c r="AA85" s="2151"/>
      <c r="AB85" s="2151"/>
      <c r="AC85" s="2151"/>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2"/>
      <c r="B87" s="676" t="s">
        <v>788</v>
      </c>
      <c r="C87" s="691"/>
      <c r="D87" s="691"/>
      <c r="E87" s="691"/>
      <c r="F87" s="691"/>
      <c r="G87" s="691"/>
      <c r="H87" s="691"/>
      <c r="I87" s="691"/>
      <c r="J87" s="691"/>
      <c r="K87" s="691"/>
      <c r="L87" s="893"/>
      <c r="M87" s="894"/>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2"/>
      <c r="B89" s="676" t="str">
        <f>B27</f>
        <v>楼层</v>
      </c>
      <c r="C89" s="691"/>
      <c r="D89" s="691"/>
      <c r="E89" s="691"/>
      <c r="F89" s="895"/>
      <c r="G89" s="691"/>
      <c r="H89" s="691"/>
      <c r="I89" s="691"/>
      <c r="J89" s="691"/>
      <c r="K89" s="691"/>
      <c r="L89" s="691"/>
      <c r="M89" s="894"/>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90"/>
      <c r="B91" s="676" t="str">
        <f>B28</f>
        <v>朝向</v>
      </c>
      <c r="C91" s="691"/>
      <c r="D91" s="691"/>
      <c r="E91" s="691"/>
      <c r="F91" s="691"/>
      <c r="G91" s="691"/>
      <c r="H91" s="692"/>
      <c r="I91" s="692"/>
      <c r="J91" s="692"/>
      <c r="K91" s="692"/>
      <c r="L91" s="693"/>
      <c r="M91" s="694"/>
      <c r="N91" s="2173"/>
      <c r="O91" s="2173"/>
      <c r="P91" s="2221"/>
      <c r="Q91" s="2175"/>
      <c r="R91" s="2176"/>
      <c r="S91" s="2176"/>
      <c r="T91" s="2176"/>
      <c r="U91" s="2176"/>
      <c r="V91" s="2176"/>
      <c r="W91" s="2176"/>
      <c r="X91" s="2176"/>
      <c r="Y91" s="2176"/>
      <c r="Z91" s="2176"/>
      <c r="AA91" s="2176"/>
      <c r="AB91" s="2176"/>
      <c r="AC91" s="2176"/>
    </row>
    <row r="92" spans="1:29" s="1339"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2"/>
      <c r="B93" s="676">
        <f>B29</f>
        <v>111</v>
      </c>
      <c r="C93" s="691"/>
      <c r="D93" s="691"/>
      <c r="E93" s="691"/>
      <c r="F93" s="691"/>
      <c r="G93" s="691"/>
      <c r="H93" s="691"/>
      <c r="I93" s="691"/>
      <c r="J93" s="691"/>
      <c r="K93" s="691"/>
      <c r="L93" s="893"/>
      <c r="M93" s="894"/>
      <c r="N93" s="2170"/>
      <c r="O93" s="2170"/>
      <c r="P93" s="2220"/>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74"/>
      <c r="H94" s="674"/>
      <c r="I94" s="674"/>
      <c r="J94" s="674"/>
      <c r="K94" s="674"/>
      <c r="L94" s="674"/>
      <c r="M94" s="675"/>
      <c r="N94" s="2172"/>
      <c r="O94" s="2172"/>
      <c r="P94" s="2220"/>
      <c r="Q94" s="2164"/>
      <c r="R94" s="2151"/>
      <c r="S94" s="2151"/>
      <c r="T94" s="2151"/>
      <c r="U94" s="2151"/>
      <c r="V94" s="2151"/>
      <c r="W94" s="2151"/>
      <c r="X94" s="2151"/>
      <c r="Y94" s="2151"/>
      <c r="Z94" s="2151"/>
      <c r="AA94" s="2151"/>
      <c r="AB94" s="2151"/>
      <c r="AC94" s="2151"/>
    </row>
    <row r="95" spans="1:29" ht="15.75" thickTop="1">
      <c r="A95" s="672"/>
      <c r="B95" s="676">
        <f>B30</f>
        <v>111</v>
      </c>
      <c r="C95" s="691"/>
      <c r="D95" s="691"/>
      <c r="E95" s="691"/>
      <c r="F95" s="691"/>
      <c r="G95" s="721"/>
      <c r="H95" s="721"/>
      <c r="I95" s="721"/>
      <c r="J95" s="721"/>
      <c r="K95" s="722"/>
      <c r="L95" s="723"/>
      <c r="M95" s="724"/>
      <c r="N95" s="2170"/>
      <c r="O95" s="2170"/>
      <c r="P95" s="2220"/>
      <c r="Q95" s="2164"/>
      <c r="R95" s="2151"/>
      <c r="S95" s="2151"/>
      <c r="T95" s="2151"/>
      <c r="U95" s="2151"/>
      <c r="V95" s="2151"/>
      <c r="W95" s="2151"/>
      <c r="X95" s="2151"/>
      <c r="Y95" s="2151"/>
      <c r="Z95" s="2151"/>
      <c r="AA95" s="2151"/>
      <c r="AB95" s="2151"/>
      <c r="AC95" s="2151"/>
    </row>
    <row r="96" spans="1:29" ht="15.75" thickBot="1">
      <c r="A96" s="672"/>
      <c r="B96" s="681"/>
      <c r="C96" s="695"/>
      <c r="D96" s="695"/>
      <c r="E96" s="695"/>
      <c r="F96" s="695"/>
      <c r="G96" s="674"/>
      <c r="H96" s="674"/>
      <c r="I96" s="674"/>
      <c r="J96" s="674"/>
      <c r="K96" s="674"/>
      <c r="L96" s="674"/>
      <c r="M96" s="675"/>
      <c r="N96" s="2172"/>
      <c r="O96" s="2172"/>
      <c r="P96" s="2220"/>
      <c r="Q96" s="2164"/>
      <c r="R96" s="2151"/>
      <c r="S96" s="2151"/>
      <c r="T96" s="2151"/>
      <c r="U96" s="2151"/>
      <c r="V96" s="2151"/>
      <c r="W96" s="2151"/>
      <c r="X96" s="2151"/>
      <c r="Y96" s="2151"/>
      <c r="Z96" s="2151"/>
      <c r="AA96" s="2151"/>
      <c r="AB96" s="2151"/>
      <c r="AC96" s="2151"/>
    </row>
    <row r="97" spans="1:29" ht="15.75" thickTop="1">
      <c r="A97" s="672"/>
      <c r="B97" s="676">
        <f>B31</f>
        <v>111</v>
      </c>
      <c r="C97" s="691"/>
      <c r="D97" s="691"/>
      <c r="E97" s="691"/>
      <c r="F97" s="691"/>
      <c r="G97" s="721"/>
      <c r="H97" s="721"/>
      <c r="I97" s="721"/>
      <c r="J97" s="721"/>
      <c r="K97" s="722"/>
      <c r="L97" s="723"/>
      <c r="M97" s="724"/>
      <c r="N97" s="2170"/>
      <c r="O97" s="2170"/>
      <c r="P97" s="2220"/>
      <c r="Q97" s="2164"/>
      <c r="R97" s="2151"/>
      <c r="S97" s="2151"/>
      <c r="T97" s="2151"/>
      <c r="U97" s="2151"/>
      <c r="V97" s="2151"/>
      <c r="W97" s="2151"/>
      <c r="X97" s="2151"/>
      <c r="Y97" s="2151"/>
      <c r="Z97" s="2151"/>
      <c r="AA97" s="2151"/>
      <c r="AB97" s="2151"/>
      <c r="AC97" s="2151"/>
    </row>
    <row r="98" spans="1:29" ht="15.75" thickBot="1">
      <c r="A98" s="672"/>
      <c r="B98" s="681"/>
      <c r="C98" s="695"/>
      <c r="D98" s="674"/>
      <c r="E98" s="674"/>
      <c r="F98" s="674"/>
      <c r="G98" s="674"/>
      <c r="H98" s="674"/>
      <c r="I98" s="674"/>
      <c r="J98" s="674"/>
      <c r="K98" s="674"/>
      <c r="L98" s="674"/>
      <c r="M98" s="675"/>
      <c r="N98" s="2172"/>
      <c r="O98" s="2172"/>
      <c r="P98" s="2220"/>
      <c r="Q98" s="2164"/>
      <c r="R98" s="2151"/>
      <c r="S98" s="2151"/>
      <c r="T98" s="2151"/>
      <c r="U98" s="2151"/>
      <c r="V98" s="2151"/>
      <c r="W98" s="2151"/>
      <c r="X98" s="2151"/>
      <c r="Y98" s="2151"/>
      <c r="Z98" s="2151"/>
      <c r="AA98" s="2151"/>
      <c r="AB98" s="2151"/>
      <c r="AC98" s="2151"/>
    </row>
    <row r="99" spans="1:29" ht="15.75" thickTop="1">
      <c r="A99" s="672"/>
      <c r="B99" s="684">
        <f>B32</f>
        <v>111</v>
      </c>
      <c r="C99" s="664"/>
      <c r="D99" s="664"/>
      <c r="E99" s="664"/>
      <c r="F99" s="664"/>
      <c r="G99" s="725"/>
      <c r="H99" s="725"/>
      <c r="I99" s="725"/>
      <c r="J99" s="725"/>
      <c r="K99" s="726"/>
      <c r="L99" s="727"/>
      <c r="M99" s="728"/>
      <c r="N99" s="2170"/>
      <c r="O99" s="2170"/>
      <c r="P99" s="2220"/>
      <c r="Q99" s="2164"/>
      <c r="R99" s="2151"/>
      <c r="S99" s="2151"/>
      <c r="T99" s="2151"/>
      <c r="U99" s="2151"/>
      <c r="V99" s="2151"/>
      <c r="W99" s="2151"/>
      <c r="X99" s="2151"/>
      <c r="Y99" s="2151"/>
      <c r="Z99" s="2151"/>
      <c r="AA99" s="2151"/>
      <c r="AB99" s="2151"/>
      <c r="AC99" s="2151"/>
    </row>
    <row r="100" spans="1:29" ht="15.75" thickBot="1">
      <c r="A100" s="896"/>
      <c r="B100" s="702"/>
      <c r="C100" s="703"/>
      <c r="D100" s="703"/>
      <c r="E100" s="703"/>
      <c r="F100" s="703"/>
      <c r="G100" s="729"/>
      <c r="H100" s="729"/>
      <c r="I100" s="729"/>
      <c r="J100" s="729"/>
      <c r="K100" s="729"/>
      <c r="L100" s="729"/>
      <c r="M100" s="730"/>
      <c r="N100" s="2172"/>
      <c r="O100" s="2172"/>
      <c r="P100" s="2220"/>
      <c r="Q100" s="2164"/>
      <c r="R100" s="2151"/>
      <c r="S100" s="2151"/>
      <c r="T100" s="2151"/>
      <c r="U100" s="2151"/>
      <c r="V100" s="2151"/>
      <c r="W100" s="2151"/>
      <c r="X100" s="2151"/>
      <c r="Y100" s="2151"/>
      <c r="Z100" s="2151"/>
      <c r="AA100" s="2151"/>
      <c r="AB100" s="2151"/>
      <c r="AC100" s="2151"/>
    </row>
    <row r="101" spans="1:29">
      <c r="A101" s="667" t="s">
        <v>552</v>
      </c>
      <c r="B101" s="668" t="s">
        <v>750</v>
      </c>
      <c r="C101" s="601"/>
      <c r="D101" s="601"/>
      <c r="E101" s="601"/>
      <c r="F101" s="601"/>
      <c r="G101" s="601"/>
      <c r="H101" s="601"/>
      <c r="I101" s="601"/>
      <c r="J101" s="601"/>
      <c r="K101" s="669"/>
      <c r="L101" s="670"/>
      <c r="M101" s="671"/>
      <c r="N101" s="2170"/>
      <c r="O101" s="2170"/>
      <c r="P101" s="2220"/>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1"/>
      <c r="B104" s="732"/>
      <c r="C104" s="733"/>
      <c r="D104" s="733"/>
      <c r="E104" s="733"/>
      <c r="F104" s="733"/>
      <c r="G104" s="733"/>
      <c r="H104" s="733"/>
      <c r="I104" s="733"/>
      <c r="J104" s="734"/>
      <c r="K104" s="734"/>
      <c r="L104" s="735"/>
      <c r="M104" s="736"/>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90"/>
      <c r="B105" s="681"/>
      <c r="C105" s="695"/>
      <c r="D105" s="674"/>
      <c r="E105" s="674"/>
      <c r="F105" s="674"/>
      <c r="G105" s="674"/>
      <c r="H105" s="674"/>
      <c r="I105" s="674"/>
      <c r="J105" s="674"/>
      <c r="K105" s="674"/>
      <c r="L105" s="674"/>
      <c r="M105" s="675"/>
      <c r="N105" s="2172"/>
      <c r="O105" s="2172"/>
      <c r="P105" s="2221"/>
      <c r="Q105" s="2175"/>
      <c r="R105" s="2176"/>
      <c r="S105" s="2176"/>
      <c r="T105" s="2176"/>
      <c r="U105" s="2176"/>
      <c r="V105" s="2176"/>
      <c r="W105" s="2176"/>
      <c r="X105" s="2176"/>
      <c r="Y105" s="2176"/>
      <c r="Z105" s="2176"/>
      <c r="AA105" s="2176"/>
      <c r="AB105" s="2176"/>
      <c r="AC105" s="2176"/>
    </row>
    <row r="106" spans="1:29" ht="15" thickTop="1">
      <c r="A106" s="738"/>
      <c r="B106" s="676" t="s">
        <v>752</v>
      </c>
      <c r="C106" s="691"/>
      <c r="D106" s="691"/>
      <c r="E106" s="721"/>
      <c r="F106" s="721"/>
      <c r="G106" s="721"/>
      <c r="H106" s="721"/>
      <c r="I106" s="721"/>
      <c r="J106" s="721"/>
      <c r="K106" s="722"/>
      <c r="L106" s="723"/>
      <c r="M106" s="724"/>
      <c r="N106" s="2170"/>
      <c r="O106" s="2170"/>
      <c r="P106" s="2220"/>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8"/>
      <c r="B108" s="676" t="s">
        <v>754</v>
      </c>
      <c r="C108" s="691"/>
      <c r="D108" s="691"/>
      <c r="E108" s="691"/>
      <c r="F108" s="721"/>
      <c r="G108" s="721"/>
      <c r="H108" s="721"/>
      <c r="I108" s="721"/>
      <c r="J108" s="721"/>
      <c r="K108" s="722"/>
      <c r="L108" s="723"/>
      <c r="M108" s="724"/>
      <c r="N108" s="2170"/>
      <c r="O108" s="2170"/>
      <c r="P108" s="2220"/>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0"/>
      <c r="O110" s="2170"/>
      <c r="P110" s="2220"/>
      <c r="Q110" s="2164"/>
      <c r="R110" s="2151"/>
      <c r="S110" s="2151"/>
      <c r="T110" s="2151"/>
      <c r="U110" s="2151"/>
      <c r="V110" s="2151"/>
      <c r="W110" s="2151"/>
      <c r="X110" s="2151"/>
      <c r="Y110" s="2151"/>
      <c r="Z110" s="2151"/>
      <c r="AA110" s="2151"/>
      <c r="AB110" s="2151"/>
      <c r="AC110" s="2151"/>
    </row>
    <row r="111" spans="1:29">
      <c r="A111" s="738"/>
      <c r="B111" s="684"/>
      <c r="C111" s="897">
        <v>0.5</v>
      </c>
      <c r="D111" s="897">
        <v>0.6</v>
      </c>
      <c r="E111" s="897">
        <v>0.7</v>
      </c>
      <c r="F111" s="897">
        <v>0.8</v>
      </c>
      <c r="G111" s="897">
        <v>0.9</v>
      </c>
      <c r="H111" s="897">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1"/>
      <c r="B113" s="676" t="s">
        <v>789</v>
      </c>
      <c r="C113" s="691"/>
      <c r="D113" s="691"/>
      <c r="E113" s="691"/>
      <c r="F113" s="691"/>
      <c r="G113" s="691"/>
      <c r="H113" s="721"/>
      <c r="I113" s="721"/>
      <c r="J113" s="721"/>
      <c r="K113" s="722"/>
      <c r="L113" s="723"/>
      <c r="M113" s="724"/>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8"/>
      <c r="B115" s="676" t="s">
        <v>756</v>
      </c>
      <c r="C115" s="691"/>
      <c r="D115" s="691"/>
      <c r="E115" s="721"/>
      <c r="F115" s="721"/>
      <c r="G115" s="721"/>
      <c r="H115" s="721"/>
      <c r="I115" s="721"/>
      <c r="J115" s="721"/>
      <c r="K115" s="722"/>
      <c r="L115" s="723"/>
      <c r="M115" s="724"/>
      <c r="N115" s="2170"/>
      <c r="O115" s="2170"/>
      <c r="P115" s="2220"/>
      <c r="Q115" s="2164"/>
      <c r="R115" s="2151"/>
      <c r="S115" s="2151"/>
      <c r="T115" s="2151"/>
      <c r="U115" s="2151"/>
      <c r="V115" s="2151"/>
      <c r="W115" s="2151"/>
      <c r="X115" s="2151"/>
      <c r="Y115" s="2151"/>
      <c r="Z115" s="2151"/>
      <c r="AA115" s="2151"/>
      <c r="AB115" s="2151"/>
      <c r="AC115" s="2151"/>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8"/>
      <c r="B117" s="1899" t="s">
        <v>2568</v>
      </c>
      <c r="C117" s="691"/>
      <c r="D117" s="691"/>
      <c r="E117" s="691"/>
      <c r="F117" s="691"/>
      <c r="G117" s="691"/>
      <c r="H117" s="721"/>
      <c r="I117" s="721"/>
      <c r="J117" s="721"/>
      <c r="K117" s="722"/>
      <c r="L117" s="723"/>
      <c r="M117" s="724"/>
      <c r="N117" s="2170"/>
      <c r="O117" s="2170"/>
      <c r="P117" s="2220"/>
      <c r="Q117" s="2164"/>
      <c r="R117" s="2151"/>
      <c r="S117" s="2151"/>
      <c r="T117" s="2151"/>
      <c r="U117" s="2151"/>
      <c r="V117" s="2151"/>
      <c r="W117" s="2151"/>
      <c r="X117" s="2151"/>
      <c r="Y117" s="2151"/>
      <c r="Z117" s="2151"/>
      <c r="AA117" s="2151"/>
      <c r="AB117" s="2151"/>
      <c r="AC117" s="2151"/>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2"/>
      <c r="O118" s="2172"/>
      <c r="P118" s="2220"/>
      <c r="Q118" s="2164"/>
      <c r="R118" s="2151"/>
      <c r="S118" s="2151"/>
      <c r="T118" s="2151"/>
      <c r="U118" s="2151"/>
      <c r="V118" s="2151"/>
      <c r="W118" s="2151"/>
      <c r="X118" s="2151"/>
      <c r="Y118" s="2151"/>
      <c r="Z118" s="2151"/>
      <c r="AA118" s="2151"/>
      <c r="AB118" s="2151"/>
      <c r="AC118" s="2151"/>
    </row>
    <row r="119" spans="1:29" ht="15" thickTop="1">
      <c r="A119" s="738"/>
      <c r="B119" s="918" t="s">
        <v>790</v>
      </c>
      <c r="C119" s="721"/>
      <c r="D119" s="721"/>
      <c r="E119" s="721"/>
      <c r="F119" s="721"/>
      <c r="G119" s="721"/>
      <c r="H119" s="721"/>
      <c r="I119" s="721"/>
      <c r="J119" s="721"/>
      <c r="K119" s="721"/>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1"/>
      <c r="B121" s="676" t="s">
        <v>778</v>
      </c>
      <c r="C121" s="691"/>
      <c r="D121" s="691"/>
      <c r="E121" s="691"/>
      <c r="F121" s="721"/>
      <c r="G121" s="692"/>
      <c r="H121" s="692"/>
      <c r="I121" s="692"/>
      <c r="J121" s="692"/>
      <c r="K121" s="692"/>
      <c r="L121" s="693"/>
      <c r="M121" s="694"/>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90"/>
      <c r="B122" s="673"/>
      <c r="C122" s="695"/>
      <c r="D122" s="695"/>
      <c r="E122" s="695"/>
      <c r="F122" s="695"/>
      <c r="G122" s="695"/>
      <c r="H122" s="695"/>
      <c r="I122" s="695"/>
      <c r="J122" s="695"/>
      <c r="K122" s="695"/>
      <c r="L122" s="695"/>
      <c r="M122" s="695"/>
      <c r="N122" s="2173"/>
      <c r="O122" s="2173"/>
      <c r="P122" s="2221"/>
      <c r="Q122" s="2175"/>
      <c r="R122" s="2176"/>
      <c r="S122" s="2176"/>
      <c r="T122" s="2176"/>
      <c r="U122" s="2176"/>
      <c r="V122" s="2176"/>
      <c r="W122" s="2176"/>
      <c r="X122" s="2176"/>
      <c r="Y122" s="2176"/>
      <c r="Z122" s="2176"/>
      <c r="AA122" s="2176"/>
      <c r="AB122" s="2176"/>
      <c r="AC122" s="2176"/>
    </row>
    <row r="123" spans="1:29" ht="15" thickTop="1">
      <c r="A123" s="738"/>
      <c r="B123" s="676" t="s">
        <v>758</v>
      </c>
      <c r="C123" s="691"/>
      <c r="D123" s="691"/>
      <c r="E123" s="691"/>
      <c r="F123" s="721"/>
      <c r="G123" s="721"/>
      <c r="H123" s="721"/>
      <c r="I123" s="721"/>
      <c r="J123" s="721"/>
      <c r="K123" s="722"/>
      <c r="L123" s="723"/>
      <c r="M123" s="724"/>
      <c r="N123" s="2170"/>
      <c r="O123" s="2170"/>
      <c r="P123" s="2220"/>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0"/>
      <c r="O125" s="2170"/>
      <c r="P125" s="2221"/>
      <c r="Q125" s="2164"/>
      <c r="R125" s="2151"/>
      <c r="S125" s="2151"/>
      <c r="T125" s="2151"/>
      <c r="U125" s="2151"/>
      <c r="V125" s="2151"/>
      <c r="W125" s="2151"/>
      <c r="X125" s="2151"/>
      <c r="Y125" s="2151"/>
      <c r="Z125" s="2151"/>
      <c r="AA125" s="2151"/>
      <c r="AB125" s="2151"/>
      <c r="AC125" s="2151"/>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1"/>
      <c r="B127" s="676">
        <f>B45</f>
        <v>111</v>
      </c>
      <c r="C127" s="691"/>
      <c r="D127" s="691"/>
      <c r="E127" s="691"/>
      <c r="F127" s="691"/>
      <c r="G127" s="691"/>
      <c r="H127" s="692"/>
      <c r="I127" s="692"/>
      <c r="J127" s="692"/>
      <c r="K127" s="692"/>
      <c r="L127" s="693"/>
      <c r="M127" s="694"/>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90"/>
      <c r="B128" s="681"/>
      <c r="C128" s="695"/>
      <c r="D128" s="674"/>
      <c r="E128" s="674"/>
      <c r="F128" s="674"/>
      <c r="G128" s="695"/>
      <c r="H128" s="696"/>
      <c r="I128" s="696"/>
      <c r="J128" s="696"/>
      <c r="K128" s="696"/>
      <c r="L128" s="696"/>
      <c r="M128" s="697"/>
      <c r="N128" s="2173"/>
      <c r="O128" s="2173"/>
      <c r="P128" s="2221"/>
      <c r="Q128" s="2175"/>
      <c r="R128" s="2176"/>
      <c r="S128" s="2176"/>
      <c r="T128" s="2176"/>
      <c r="U128" s="2176"/>
      <c r="V128" s="2176"/>
      <c r="W128" s="2176"/>
      <c r="X128" s="2176"/>
      <c r="Y128" s="2176"/>
      <c r="Z128" s="2176"/>
      <c r="AA128" s="2176"/>
      <c r="AB128" s="2176"/>
      <c r="AC128" s="2176"/>
    </row>
    <row r="129" spans="1:29" ht="15" thickTop="1">
      <c r="A129" s="738"/>
      <c r="B129" s="676">
        <f>B46</f>
        <v>111</v>
      </c>
      <c r="C129" s="691"/>
      <c r="D129" s="691"/>
      <c r="E129" s="691"/>
      <c r="F129" s="691"/>
      <c r="G129" s="721"/>
      <c r="H129" s="721"/>
      <c r="I129" s="721"/>
      <c r="J129" s="721"/>
      <c r="K129" s="722"/>
      <c r="L129" s="723"/>
      <c r="M129" s="724"/>
      <c r="N129" s="2170"/>
      <c r="O129" s="2170"/>
      <c r="P129" s="2220"/>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220"/>
      <c r="Q130" s="2164"/>
      <c r="R130" s="2151"/>
      <c r="S130" s="2151"/>
      <c r="T130" s="2151"/>
      <c r="U130" s="2151"/>
      <c r="V130" s="2151"/>
      <c r="W130" s="2151"/>
      <c r="X130" s="2151"/>
      <c r="Y130" s="2151"/>
      <c r="Z130" s="2151"/>
      <c r="AA130" s="2151"/>
      <c r="AB130" s="2151"/>
      <c r="AC130" s="2151"/>
    </row>
    <row r="131" spans="1:29" ht="15" thickTop="1">
      <c r="A131" s="738"/>
      <c r="B131" s="684">
        <f>B47</f>
        <v>111</v>
      </c>
      <c r="C131" s="664"/>
      <c r="D131" s="664"/>
      <c r="E131" s="664"/>
      <c r="F131" s="664"/>
      <c r="G131" s="725"/>
      <c r="H131" s="725"/>
      <c r="I131" s="725"/>
      <c r="J131" s="725"/>
      <c r="K131" s="664"/>
      <c r="L131" s="665"/>
      <c r="M131" s="728"/>
      <c r="N131" s="2170"/>
      <c r="O131" s="2170"/>
      <c r="P131" s="2220"/>
      <c r="Q131" s="2164"/>
      <c r="R131" s="2151"/>
      <c r="S131" s="2151"/>
      <c r="T131" s="2151"/>
      <c r="U131" s="2151"/>
      <c r="V131" s="2151"/>
      <c r="W131" s="2151"/>
      <c r="X131" s="2151"/>
      <c r="Y131" s="2151"/>
      <c r="Z131" s="2151"/>
      <c r="AA131" s="2151"/>
      <c r="AB131" s="2151"/>
      <c r="AC131" s="2151"/>
    </row>
    <row r="132" spans="1:29" ht="15.75" thickBot="1">
      <c r="A132" s="896"/>
      <c r="B132" s="702"/>
      <c r="C132" s="703"/>
      <c r="D132" s="703"/>
      <c r="E132" s="703"/>
      <c r="F132" s="703"/>
      <c r="G132" s="729"/>
      <c r="H132" s="729"/>
      <c r="I132" s="729"/>
      <c r="J132" s="729"/>
      <c r="K132" s="729"/>
      <c r="L132" s="729"/>
      <c r="M132" s="730"/>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791</v>
      </c>
      <c r="C1" s="507" t="s">
        <v>723</v>
      </c>
      <c r="D1" s="852"/>
      <c r="E1" s="509"/>
      <c r="F1" s="2842"/>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6" customFormat="1" ht="28.5" customHeight="1">
      <c r="A2" s="426" t="s">
        <v>467</v>
      </c>
      <c r="B2" s="853"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1"/>
    </row>
    <row r="3" spans="1:29" s="1336" customFormat="1" ht="28.5" customHeight="1" thickBot="1">
      <c r="A3" s="512" t="s">
        <v>520</v>
      </c>
      <c r="B3" s="513" t="e">
        <f>C43</f>
        <v>#DIV/0!</v>
      </c>
      <c r="C3" s="855" t="s">
        <v>725</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522</v>
      </c>
      <c r="B4" s="516"/>
      <c r="C4" s="3436" t="s">
        <v>523</v>
      </c>
      <c r="D4" s="3437"/>
      <c r="E4" s="3461" t="s">
        <v>524</v>
      </c>
      <c r="F4" s="3462"/>
      <c r="G4" s="3436" t="s">
        <v>525</v>
      </c>
      <c r="H4" s="3437"/>
      <c r="I4" s="3436" t="s">
        <v>526</v>
      </c>
      <c r="J4" s="3437"/>
      <c r="K4" s="517" t="s">
        <v>527</v>
      </c>
      <c r="L4" s="2139"/>
      <c r="M4" s="2140"/>
      <c r="N4" s="2140"/>
      <c r="O4" s="2140"/>
      <c r="P4" s="3438" t="s">
        <v>528</v>
      </c>
      <c r="Q4" s="3439"/>
      <c r="R4" s="3424" t="s">
        <v>524</v>
      </c>
      <c r="S4" s="3425"/>
      <c r="T4" s="3424" t="s">
        <v>525</v>
      </c>
      <c r="U4" s="3425"/>
      <c r="V4" s="3444" t="s">
        <v>526</v>
      </c>
      <c r="W4" s="3444"/>
      <c r="X4" s="1569"/>
      <c r="Y4" s="3424" t="s">
        <v>528</v>
      </c>
      <c r="Z4" s="3425"/>
      <c r="AA4" s="3419" t="s">
        <v>524</v>
      </c>
      <c r="AB4" s="3420" t="s">
        <v>525</v>
      </c>
      <c r="AC4" s="3419" t="s">
        <v>526</v>
      </c>
    </row>
    <row r="5" spans="1:29" ht="15">
      <c r="A5" s="518"/>
      <c r="B5" s="519"/>
      <c r="C5" s="3447" t="s">
        <v>2935</v>
      </c>
      <c r="D5" s="3448"/>
      <c r="E5" s="3463" t="s">
        <v>2936</v>
      </c>
      <c r="F5" s="3464"/>
      <c r="G5" s="3447" t="s">
        <v>2937</v>
      </c>
      <c r="H5" s="3448"/>
      <c r="I5" s="3447" t="s">
        <v>2938</v>
      </c>
      <c r="J5" s="3448"/>
      <c r="K5" s="517"/>
      <c r="L5" s="2139"/>
      <c r="M5" s="2140"/>
      <c r="N5" s="2140"/>
      <c r="O5" s="2140"/>
      <c r="P5" s="3440"/>
      <c r="Q5" s="3441"/>
      <c r="R5" s="3426"/>
      <c r="S5" s="3427"/>
      <c r="T5" s="3426"/>
      <c r="U5" s="3427"/>
      <c r="V5" s="3444"/>
      <c r="W5" s="3444"/>
      <c r="X5" s="1569"/>
      <c r="Y5" s="3426"/>
      <c r="Z5" s="3427"/>
      <c r="AA5" s="3420"/>
      <c r="AB5" s="3420"/>
      <c r="AC5" s="3420"/>
    </row>
    <row r="6" spans="1:29" ht="15.75" thickBot="1">
      <c r="A6" s="520"/>
      <c r="B6" s="521"/>
      <c r="C6" s="3465" t="s">
        <v>2939</v>
      </c>
      <c r="D6" s="3446"/>
      <c r="E6" s="3466" t="s">
        <v>2939</v>
      </c>
      <c r="F6" s="3467"/>
      <c r="G6" s="3465" t="s">
        <v>2939</v>
      </c>
      <c r="H6" s="3446"/>
      <c r="I6" s="3465" t="s">
        <v>2939</v>
      </c>
      <c r="J6" s="3446"/>
      <c r="K6" s="517" t="s">
        <v>529</v>
      </c>
      <c r="L6" s="2139"/>
      <c r="M6" s="2140"/>
      <c r="N6" s="2140"/>
      <c r="O6" s="2140"/>
      <c r="P6" s="3442"/>
      <c r="Q6" s="3443"/>
      <c r="R6" s="3426"/>
      <c r="S6" s="3427"/>
      <c r="T6" s="3428"/>
      <c r="U6" s="3429"/>
      <c r="V6" s="3444"/>
      <c r="W6" s="3444"/>
      <c r="X6" s="1569"/>
      <c r="Y6" s="3428"/>
      <c r="Z6" s="3429"/>
      <c r="AA6" s="3421"/>
      <c r="AB6" s="3421"/>
      <c r="AC6" s="3421"/>
    </row>
    <row r="7" spans="1:29" s="1220" customFormat="1" ht="15.75" thickBot="1">
      <c r="A7" s="2947"/>
      <c r="B7" s="2954"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22" t="s">
        <v>531</v>
      </c>
      <c r="Q7" s="3431"/>
      <c r="R7" s="1570" t="s">
        <v>8</v>
      </c>
      <c r="S7" s="1571">
        <f t="shared" ref="S7:S15" si="0">F7</f>
        <v>0</v>
      </c>
      <c r="T7" s="1570" t="s">
        <v>8</v>
      </c>
      <c r="U7" s="1571">
        <f t="shared" ref="U7:U15" si="1">H7</f>
        <v>0</v>
      </c>
      <c r="V7" s="1570" t="s">
        <v>8</v>
      </c>
      <c r="W7" s="1571">
        <f t="shared" ref="W7:W15" si="2">J7</f>
        <v>0</v>
      </c>
      <c r="X7" s="1572"/>
      <c r="Y7" s="3422" t="s">
        <v>531</v>
      </c>
      <c r="Z7" s="3423"/>
      <c r="AA7" s="1573" t="e">
        <f>D7/F7</f>
        <v>#DIV/0!</v>
      </c>
      <c r="AB7" s="1573" t="e">
        <f>D7/H7</f>
        <v>#DIV/0!</v>
      </c>
      <c r="AC7" s="1573" t="e">
        <f>D7/J7</f>
        <v>#DIV/0!</v>
      </c>
    </row>
    <row r="8" spans="1:29" s="1220"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22" t="s">
        <v>534</v>
      </c>
      <c r="Q8" s="3423"/>
      <c r="R8" s="1570" t="s">
        <v>8</v>
      </c>
      <c r="S8" s="1571">
        <f t="shared" si="0"/>
        <v>0</v>
      </c>
      <c r="T8" s="1570" t="s">
        <v>8</v>
      </c>
      <c r="U8" s="1571">
        <f t="shared" si="1"/>
        <v>0</v>
      </c>
      <c r="V8" s="1570" t="s">
        <v>8</v>
      </c>
      <c r="W8" s="1571">
        <f t="shared" si="2"/>
        <v>0</v>
      </c>
      <c r="X8" s="1572"/>
      <c r="Y8" s="3422" t="s">
        <v>534</v>
      </c>
      <c r="Z8" s="3423"/>
      <c r="AA8" s="1573" t="e">
        <f t="shared" ref="AA8:AA40" si="3">D8/F8</f>
        <v>#DIV/0!</v>
      </c>
      <c r="AB8" s="1573" t="e">
        <f t="shared" ref="AB8:AB40" si="4">D8/H8</f>
        <v>#DIV/0!</v>
      </c>
      <c r="AC8" s="1573" t="e">
        <f t="shared" ref="AC8:AC40" si="5">D8/J8</f>
        <v>#DIV/0!</v>
      </c>
    </row>
    <row r="9" spans="1:29" s="1220" customFormat="1" ht="15">
      <c r="A9" s="2949"/>
      <c r="B9" s="2956" t="s">
        <v>2771</v>
      </c>
      <c r="C9" s="860"/>
      <c r="D9" s="254">
        <v>100</v>
      </c>
      <c r="E9" s="863"/>
      <c r="F9" s="254">
        <f>SUMIF(57:57,E9,58:58)-SUMIF(57:57,C9,58:58)+100</f>
        <v>100</v>
      </c>
      <c r="G9" s="861"/>
      <c r="H9" s="254">
        <f>SUMIF(57:57,G9,58:58)-SUMIF(57:57,C9,58:58)+100</f>
        <v>100</v>
      </c>
      <c r="I9" s="861"/>
      <c r="J9" s="254">
        <f>SUMIF(57:57,I9,58:58)-SUMIF(57:57,C9,58:58)+100</f>
        <v>100</v>
      </c>
      <c r="K9" s="527"/>
      <c r="L9" s="2141"/>
      <c r="M9" s="2142"/>
      <c r="N9" s="2142"/>
      <c r="O9" s="2143"/>
      <c r="P9" s="3430" t="s">
        <v>536</v>
      </c>
      <c r="Q9" s="1151" t="str">
        <f t="shared" ref="Q9:Q15" si="6">B9</f>
        <v>用途</v>
      </c>
      <c r="R9" s="1570" t="s">
        <v>8</v>
      </c>
      <c r="S9" s="1571">
        <f t="shared" si="0"/>
        <v>100</v>
      </c>
      <c r="T9" s="1570" t="s">
        <v>8</v>
      </c>
      <c r="U9" s="1571">
        <f t="shared" si="1"/>
        <v>100</v>
      </c>
      <c r="V9" s="1570" t="s">
        <v>8</v>
      </c>
      <c r="W9" s="1571">
        <f t="shared" si="2"/>
        <v>100</v>
      </c>
      <c r="X9" s="1572"/>
      <c r="Y9" s="3388"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SUMIF(59:59,E10,60:60)-SUMIF(59:59,C10,60:60)+100</f>
        <v>100</v>
      </c>
      <c r="G10" s="865"/>
      <c r="H10" s="255">
        <f>SUMIF(59:59,G10,60:60)-SUMIF(59:59,C10,60:60)+100</f>
        <v>100</v>
      </c>
      <c r="I10" s="864"/>
      <c r="J10" s="255">
        <f>SUMIF(59:59,I10,60:60)-SUMIF(59:59,C10,60:60)+100</f>
        <v>100</v>
      </c>
      <c r="K10" s="587"/>
      <c r="L10" s="2144"/>
      <c r="M10" s="2184"/>
      <c r="N10" s="2184"/>
      <c r="O10" s="2145"/>
      <c r="P10" s="3430"/>
      <c r="Q10" s="1151" t="str">
        <f t="shared" si="6"/>
        <v>土地使用年限（年）</v>
      </c>
      <c r="R10" s="1570" t="s">
        <v>8</v>
      </c>
      <c r="S10" s="1571">
        <f t="shared" si="0"/>
        <v>100</v>
      </c>
      <c r="T10" s="1570" t="s">
        <v>8</v>
      </c>
      <c r="U10" s="1571">
        <f t="shared" si="1"/>
        <v>100</v>
      </c>
      <c r="V10" s="1570" t="s">
        <v>8</v>
      </c>
      <c r="W10" s="1571">
        <f t="shared" si="2"/>
        <v>100</v>
      </c>
      <c r="X10" s="1572"/>
      <c r="Y10" s="3388"/>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6"/>
      <c r="M11" s="2140"/>
      <c r="N11" s="2140"/>
      <c r="O11" s="2147"/>
      <c r="P11" s="3430"/>
      <c r="Q11" s="1151" t="str">
        <f t="shared" si="6"/>
        <v>容积率</v>
      </c>
      <c r="R11" s="1570" t="s">
        <v>8</v>
      </c>
      <c r="S11" s="1571" t="e">
        <f t="shared" si="0"/>
        <v>#N/A</v>
      </c>
      <c r="T11" s="1570" t="s">
        <v>8</v>
      </c>
      <c r="U11" s="1571" t="e">
        <f t="shared" si="1"/>
        <v>#N/A</v>
      </c>
      <c r="V11" s="1570" t="s">
        <v>8</v>
      </c>
      <c r="W11" s="1571" t="e">
        <f t="shared" si="2"/>
        <v>#N/A</v>
      </c>
      <c r="X11" s="1572"/>
      <c r="Y11" s="3388"/>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42"/>
      <c r="F12" s="255">
        <f>SUMIF(64:64,E12,65:65)-SUMIF(64:64,C12,65:65)+100</f>
        <v>100</v>
      </c>
      <c r="G12" s="921"/>
      <c r="H12" s="255">
        <f>SUMIF(64:64,G12,65:65)-SUMIF(64:64,C12,65:65)+100</f>
        <v>100</v>
      </c>
      <c r="I12" s="883"/>
      <c r="J12" s="255">
        <f>SUMIF(64:64,I12,65:65)-SUMIF(64:64,C12,65:65)+100</f>
        <v>100</v>
      </c>
      <c r="K12" s="584"/>
      <c r="L12" s="2141"/>
      <c r="M12" s="2142"/>
      <c r="N12" s="2142"/>
      <c r="O12" s="2143"/>
      <c r="P12" s="3430"/>
      <c r="Q12" s="1151">
        <f t="shared" si="6"/>
        <v>111</v>
      </c>
      <c r="R12" s="1570" t="s">
        <v>8</v>
      </c>
      <c r="S12" s="1571">
        <f t="shared" si="0"/>
        <v>100</v>
      </c>
      <c r="T12" s="1570" t="s">
        <v>8</v>
      </c>
      <c r="U12" s="1571">
        <f t="shared" si="1"/>
        <v>100</v>
      </c>
      <c r="V12" s="1570" t="s">
        <v>8</v>
      </c>
      <c r="W12" s="1571">
        <f t="shared" si="2"/>
        <v>100</v>
      </c>
      <c r="X12" s="1572"/>
      <c r="Y12" s="3388"/>
      <c r="Z12" s="1150">
        <f t="shared" si="7"/>
        <v>111</v>
      </c>
      <c r="AA12" s="1573">
        <f>D12/F12</f>
        <v>1</v>
      </c>
      <c r="AB12" s="1573">
        <f>D12/H12</f>
        <v>1</v>
      </c>
      <c r="AC12" s="1573">
        <f>D12/J12</f>
        <v>1</v>
      </c>
    </row>
    <row r="13" spans="1:29" ht="15">
      <c r="A13" s="2952"/>
      <c r="B13" s="2958">
        <v>111</v>
      </c>
      <c r="C13" s="542"/>
      <c r="D13" s="543">
        <v>100</v>
      </c>
      <c r="E13" s="542"/>
      <c r="F13" s="255">
        <f>SUMIF(66:66,E13,67:67)-SUMIF(66:66,C13,67:67)+100</f>
        <v>100</v>
      </c>
      <c r="G13" s="921"/>
      <c r="H13" s="543">
        <f>SUMIF(66:66,G13,67:67)-SUMIF(66:66,C13,67:67)+100</f>
        <v>100</v>
      </c>
      <c r="I13" s="883"/>
      <c r="J13" s="543">
        <f>SUMIF(66:66,I13,67:67)-SUMIF(66:66,C13,67:67)+100</f>
        <v>100</v>
      </c>
      <c r="K13" s="584"/>
      <c r="L13" s="2148"/>
      <c r="M13" s="2140"/>
      <c r="N13" s="2140"/>
      <c r="O13" s="2147"/>
      <c r="P13" s="3430"/>
      <c r="Q13" s="1151">
        <f t="shared" si="6"/>
        <v>111</v>
      </c>
      <c r="R13" s="1570" t="s">
        <v>8</v>
      </c>
      <c r="S13" s="1571">
        <f t="shared" si="0"/>
        <v>100</v>
      </c>
      <c r="T13" s="1570" t="s">
        <v>8</v>
      </c>
      <c r="U13" s="1571">
        <f t="shared" si="1"/>
        <v>100</v>
      </c>
      <c r="V13" s="1570" t="s">
        <v>8</v>
      </c>
      <c r="W13" s="1571">
        <f t="shared" si="2"/>
        <v>100</v>
      </c>
      <c r="X13" s="1572"/>
      <c r="Y13" s="3388"/>
      <c r="Z13" s="1150">
        <f t="shared" si="7"/>
        <v>111</v>
      </c>
      <c r="AA13" s="1573">
        <f t="shared" si="3"/>
        <v>1</v>
      </c>
      <c r="AB13" s="1573">
        <f t="shared" si="4"/>
        <v>1</v>
      </c>
      <c r="AC13" s="1573">
        <f t="shared" si="5"/>
        <v>1</v>
      </c>
    </row>
    <row r="14" spans="1:29" ht="15.75" thickBot="1">
      <c r="A14" s="2953"/>
      <c r="B14" s="2959">
        <v>111</v>
      </c>
      <c r="C14" s="548"/>
      <c r="D14" s="549">
        <v>100</v>
      </c>
      <c r="E14" s="548"/>
      <c r="F14" s="549">
        <f>SUMIF(68:68,E14,69:69)-SUMIF(68:68,C14,69:69)+100</f>
        <v>100</v>
      </c>
      <c r="G14" s="921"/>
      <c r="H14" s="549">
        <f>SUMIF(68:68,G14,69:69)-SUMIF(68:68,C14,69:69)+100</f>
        <v>100</v>
      </c>
      <c r="I14" s="883"/>
      <c r="J14" s="549">
        <f>SUMIF(68:68,I14,69:69)-SUMIF(68:68,C14,69:69)+100</f>
        <v>100</v>
      </c>
      <c r="K14" s="584"/>
      <c r="L14" s="2148"/>
      <c r="M14" s="2140"/>
      <c r="N14" s="2140"/>
      <c r="O14" s="2147"/>
      <c r="P14" s="3430"/>
      <c r="Q14" s="1151">
        <f t="shared" si="6"/>
        <v>111</v>
      </c>
      <c r="R14" s="1570" t="s">
        <v>8</v>
      </c>
      <c r="S14" s="1571">
        <f t="shared" si="0"/>
        <v>100</v>
      </c>
      <c r="T14" s="1570" t="s">
        <v>8</v>
      </c>
      <c r="U14" s="1571">
        <f t="shared" si="1"/>
        <v>100</v>
      </c>
      <c r="V14" s="1570" t="s">
        <v>8</v>
      </c>
      <c r="W14" s="1571">
        <f t="shared" si="2"/>
        <v>100</v>
      </c>
      <c r="X14" s="1572"/>
      <c r="Y14" s="3388"/>
      <c r="Z14" s="1150">
        <f t="shared" si="7"/>
        <v>111</v>
      </c>
      <c r="AA14" s="1573">
        <f t="shared" si="3"/>
        <v>1</v>
      </c>
      <c r="AB14" s="1573">
        <f t="shared" si="4"/>
        <v>1</v>
      </c>
      <c r="AC14" s="1573">
        <f t="shared" si="5"/>
        <v>1</v>
      </c>
    </row>
    <row r="15" spans="1:29" ht="57">
      <c r="A15" s="2945" t="s">
        <v>2769</v>
      </c>
      <c r="B15" s="166" t="s">
        <v>792</v>
      </c>
      <c r="C15" s="922"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8"/>
      <c r="M15" s="2140"/>
      <c r="N15" s="2140"/>
      <c r="O15" s="2147"/>
      <c r="P15" s="3432" t="s">
        <v>541</v>
      </c>
      <c r="Q15" s="1574" t="str">
        <f t="shared" si="6"/>
        <v>产业集聚程度</v>
      </c>
      <c r="R15" s="1575" t="s">
        <v>8</v>
      </c>
      <c r="S15" s="1576">
        <f t="shared" si="0"/>
        <v>100</v>
      </c>
      <c r="T15" s="1575" t="s">
        <v>8</v>
      </c>
      <c r="U15" s="1576">
        <f t="shared" si="1"/>
        <v>100</v>
      </c>
      <c r="V15" s="1575" t="s">
        <v>8</v>
      </c>
      <c r="W15" s="1576">
        <f t="shared" si="2"/>
        <v>100</v>
      </c>
      <c r="X15" s="1569"/>
      <c r="Y15" s="3432"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8"/>
      <c r="M16" s="2140"/>
      <c r="N16" s="2140"/>
      <c r="O16" s="2147"/>
      <c r="P16" s="3433"/>
      <c r="Q16" s="1574"/>
      <c r="R16" s="1575"/>
      <c r="S16" s="1576"/>
      <c r="T16" s="1575"/>
      <c r="U16" s="1576"/>
      <c r="V16" s="1575"/>
      <c r="W16" s="1576"/>
      <c r="X16" s="1569"/>
      <c r="Y16" s="3433"/>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8"/>
      <c r="M17" s="2140"/>
      <c r="N17" s="2140"/>
      <c r="O17" s="2147"/>
      <c r="P17" s="3433"/>
      <c r="Q17" s="1574" t="str">
        <f>B17</f>
        <v>交通便捷度</v>
      </c>
      <c r="R17" s="1575" t="s">
        <v>8</v>
      </c>
      <c r="S17" s="1576">
        <f>F17</f>
        <v>100</v>
      </c>
      <c r="T17" s="1575" t="s">
        <v>8</v>
      </c>
      <c r="U17" s="1576">
        <f>H17</f>
        <v>100</v>
      </c>
      <c r="V17" s="1575" t="s">
        <v>8</v>
      </c>
      <c r="W17" s="1576">
        <f>J17</f>
        <v>100</v>
      </c>
      <c r="X17" s="1569"/>
      <c r="Y17" s="3433"/>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8"/>
      <c r="M18" s="2140"/>
      <c r="N18" s="2140"/>
      <c r="O18" s="2147"/>
      <c r="P18" s="3433"/>
      <c r="Q18" s="1574"/>
      <c r="R18" s="1575"/>
      <c r="S18" s="1576"/>
      <c r="T18" s="1575"/>
      <c r="U18" s="1576"/>
      <c r="V18" s="1575"/>
      <c r="W18" s="1576"/>
      <c r="X18" s="1569"/>
      <c r="Y18" s="3433"/>
      <c r="Z18" s="1577"/>
      <c r="AA18" s="1578">
        <v>1</v>
      </c>
      <c r="AB18" s="1578">
        <v>1</v>
      </c>
      <c r="AC18" s="1578">
        <v>1</v>
      </c>
    </row>
    <row r="19" spans="1:29" ht="42.75">
      <c r="A19" s="535"/>
      <c r="B19" s="2634"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8"/>
      <c r="M19" s="2140"/>
      <c r="N19" s="2140"/>
      <c r="O19" s="2147"/>
      <c r="P19" s="3433"/>
      <c r="Q19" s="1574" t="str">
        <f>B19</f>
        <v>公共配套设施</v>
      </c>
      <c r="R19" s="1575" t="s">
        <v>8</v>
      </c>
      <c r="S19" s="1576">
        <f>F19</f>
        <v>100</v>
      </c>
      <c r="T19" s="1575" t="s">
        <v>8</v>
      </c>
      <c r="U19" s="1576">
        <f>H19</f>
        <v>100</v>
      </c>
      <c r="V19" s="1575" t="s">
        <v>8</v>
      </c>
      <c r="W19" s="1576">
        <f>J19</f>
        <v>100</v>
      </c>
      <c r="X19" s="1569"/>
      <c r="Y19" s="3433"/>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8"/>
      <c r="M20" s="2140"/>
      <c r="N20" s="2140"/>
      <c r="O20" s="2147"/>
      <c r="P20" s="3433"/>
      <c r="Q20" s="1574"/>
      <c r="R20" s="1575"/>
      <c r="S20" s="1576"/>
      <c r="T20" s="1575"/>
      <c r="U20" s="1576"/>
      <c r="V20" s="1575"/>
      <c r="W20" s="1576"/>
      <c r="X20" s="1569"/>
      <c r="Y20" s="3433"/>
      <c r="Z20" s="1577"/>
      <c r="AA20" s="1578">
        <v>1</v>
      </c>
      <c r="AB20" s="1578">
        <v>1</v>
      </c>
      <c r="AC20" s="1578">
        <v>1</v>
      </c>
    </row>
    <row r="21" spans="1:29" ht="28.5">
      <c r="A21" s="535"/>
      <c r="B21" s="2622"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8"/>
      <c r="M21" s="2140"/>
      <c r="N21" s="2140"/>
      <c r="O21" s="2147"/>
      <c r="P21" s="3433"/>
      <c r="Q21" s="2610" t="str">
        <f>B21</f>
        <v>基础设施水平</v>
      </c>
      <c r="R21" s="1575" t="s">
        <v>8</v>
      </c>
      <c r="S21" s="1576">
        <f>F21</f>
        <v>100</v>
      </c>
      <c r="T21" s="1575" t="s">
        <v>8</v>
      </c>
      <c r="U21" s="1576">
        <f>H21</f>
        <v>100</v>
      </c>
      <c r="V21" s="1575" t="s">
        <v>8</v>
      </c>
      <c r="W21" s="1576">
        <f>J21</f>
        <v>100</v>
      </c>
      <c r="X21" s="2612"/>
      <c r="Y21" s="3433"/>
      <c r="Z21" s="2611"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33"/>
      <c r="L22" s="2148"/>
      <c r="M22" s="2140"/>
      <c r="N22" s="2140"/>
      <c r="O22" s="2147"/>
      <c r="P22" s="3433"/>
      <c r="Q22" s="2610"/>
      <c r="R22" s="1575"/>
      <c r="S22" s="1576"/>
      <c r="T22" s="1575"/>
      <c r="U22" s="1576"/>
      <c r="V22" s="1575"/>
      <c r="W22" s="1576"/>
      <c r="X22" s="2612"/>
      <c r="Y22" s="3433"/>
      <c r="Z22" s="2611"/>
      <c r="AA22" s="1578">
        <v>1</v>
      </c>
      <c r="AB22" s="1578">
        <v>1</v>
      </c>
      <c r="AC22" s="1578">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8"/>
      <c r="M23" s="2140"/>
      <c r="N23" s="2140"/>
      <c r="O23" s="2147"/>
      <c r="P23" s="3433"/>
      <c r="Q23" s="1574" t="str">
        <f>B23</f>
        <v>环境质量</v>
      </c>
      <c r="R23" s="1575" t="s">
        <v>8</v>
      </c>
      <c r="S23" s="1576">
        <f>F23</f>
        <v>100</v>
      </c>
      <c r="T23" s="1575" t="s">
        <v>8</v>
      </c>
      <c r="U23" s="1576">
        <f>H23</f>
        <v>100</v>
      </c>
      <c r="V23" s="1575" t="s">
        <v>8</v>
      </c>
      <c r="W23" s="1576">
        <f>J23</f>
        <v>100</v>
      </c>
      <c r="X23" s="1569"/>
      <c r="Y23" s="3433"/>
      <c r="Z23" s="1577" t="str">
        <f>Q23</f>
        <v>环境质量</v>
      </c>
      <c r="AA23" s="1578">
        <f t="shared" si="3"/>
        <v>1</v>
      </c>
      <c r="AB23" s="1578">
        <f t="shared" si="4"/>
        <v>1</v>
      </c>
      <c r="AC23" s="1578">
        <f t="shared" si="5"/>
        <v>1</v>
      </c>
    </row>
    <row r="24" spans="1:29" ht="15">
      <c r="A24" s="535"/>
      <c r="B24" s="923"/>
      <c r="C24" s="579"/>
      <c r="D24" s="558"/>
      <c r="E24" s="559"/>
      <c r="F24" s="560"/>
      <c r="G24" s="561"/>
      <c r="H24" s="558"/>
      <c r="I24" s="559"/>
      <c r="J24" s="558"/>
      <c r="K24" s="902"/>
      <c r="L24" s="2148"/>
      <c r="M24" s="2140"/>
      <c r="N24" s="2140"/>
      <c r="O24" s="2147"/>
      <c r="P24" s="3433"/>
      <c r="Q24" s="1574"/>
      <c r="R24" s="1575"/>
      <c r="S24" s="1576"/>
      <c r="T24" s="1575"/>
      <c r="U24" s="1576"/>
      <c r="V24" s="1575"/>
      <c r="W24" s="1576"/>
      <c r="X24" s="1569"/>
      <c r="Y24" s="3433"/>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8"/>
      <c r="M25" s="2140"/>
      <c r="N25" s="2140"/>
      <c r="O25" s="2147"/>
      <c r="P25" s="3433"/>
      <c r="Q25" s="1574">
        <f>B25</f>
        <v>111</v>
      </c>
      <c r="R25" s="1575" t="s">
        <v>8</v>
      </c>
      <c r="S25" s="1576">
        <f>F25</f>
        <v>100</v>
      </c>
      <c r="T25" s="1575" t="s">
        <v>8</v>
      </c>
      <c r="U25" s="1576">
        <f>H25</f>
        <v>100</v>
      </c>
      <c r="V25" s="1575" t="s">
        <v>8</v>
      </c>
      <c r="W25" s="1576">
        <f>J25</f>
        <v>100</v>
      </c>
      <c r="X25" s="1569"/>
      <c r="Y25" s="3433"/>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8"/>
      <c r="M26" s="2140"/>
      <c r="N26" s="2140"/>
      <c r="O26" s="2147"/>
      <c r="P26" s="3433"/>
      <c r="Q26" s="1574">
        <f t="shared" ref="Q26:Q40" si="11">B26</f>
        <v>111</v>
      </c>
      <c r="R26" s="1575" t="s">
        <v>8</v>
      </c>
      <c r="S26" s="1576">
        <f>F26</f>
        <v>100</v>
      </c>
      <c r="T26" s="1575" t="s">
        <v>8</v>
      </c>
      <c r="U26" s="1576">
        <f>H26</f>
        <v>100</v>
      </c>
      <c r="V26" s="1575" t="s">
        <v>8</v>
      </c>
      <c r="W26" s="1576">
        <f>J26</f>
        <v>100</v>
      </c>
      <c r="X26" s="1569"/>
      <c r="Y26" s="3433"/>
      <c r="Z26" s="1577">
        <f>Q26</f>
        <v>111</v>
      </c>
      <c r="AA26" s="1578">
        <f t="shared" si="3"/>
        <v>1</v>
      </c>
      <c r="AB26" s="1578">
        <f t="shared" si="4"/>
        <v>1</v>
      </c>
      <c r="AC26" s="1578">
        <f t="shared" si="5"/>
        <v>1</v>
      </c>
    </row>
    <row r="27" spans="1:29" s="1220"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1"/>
      <c r="M27" s="2142"/>
      <c r="N27" s="2142"/>
      <c r="O27" s="2143"/>
      <c r="P27" s="3433"/>
      <c r="Q27" s="1151">
        <f t="shared" si="11"/>
        <v>111</v>
      </c>
      <c r="R27" s="1570" t="s">
        <v>8</v>
      </c>
      <c r="S27" s="1571">
        <f>F27</f>
        <v>100</v>
      </c>
      <c r="T27" s="1570" t="s">
        <v>8</v>
      </c>
      <c r="U27" s="1571">
        <f>H27</f>
        <v>100</v>
      </c>
      <c r="V27" s="1570" t="s">
        <v>8</v>
      </c>
      <c r="W27" s="1571">
        <f>J27</f>
        <v>100</v>
      </c>
      <c r="X27" s="1572"/>
      <c r="Y27" s="3433"/>
      <c r="Z27" s="1150">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8"/>
      <c r="M28" s="2140"/>
      <c r="N28" s="2140"/>
      <c r="O28" s="2147"/>
      <c r="P28" s="3433"/>
      <c r="Q28" s="1574">
        <f t="shared" si="11"/>
        <v>111</v>
      </c>
      <c r="R28" s="1575" t="s">
        <v>8</v>
      </c>
      <c r="S28" s="1576">
        <f t="shared" ref="S28:S40" si="12">F28</f>
        <v>100</v>
      </c>
      <c r="T28" s="1575" t="s">
        <v>8</v>
      </c>
      <c r="U28" s="1576">
        <f t="shared" ref="U28:U40" si="13">H28</f>
        <v>100</v>
      </c>
      <c r="V28" s="1575" t="s">
        <v>8</v>
      </c>
      <c r="W28" s="1576">
        <f t="shared" ref="W28:W40" si="14">J28</f>
        <v>100</v>
      </c>
      <c r="X28" s="1569"/>
      <c r="Y28" s="3433"/>
      <c r="Z28" s="1577">
        <f t="shared" ref="Z28:Z40" si="15">Q28</f>
        <v>111</v>
      </c>
      <c r="AA28" s="1578">
        <f t="shared" si="3"/>
        <v>1</v>
      </c>
      <c r="AB28" s="1578">
        <f t="shared" si="4"/>
        <v>1</v>
      </c>
      <c r="AC28" s="1578">
        <f t="shared" si="5"/>
        <v>1</v>
      </c>
    </row>
    <row r="29" spans="1:29" ht="15">
      <c r="A29" s="2942" t="s">
        <v>2770</v>
      </c>
      <c r="B29" s="172" t="s">
        <v>783</v>
      </c>
      <c r="C29" s="917"/>
      <c r="D29" s="600">
        <v>100</v>
      </c>
      <c r="E29" s="917"/>
      <c r="F29" s="578">
        <f>SUMIF(88:88,E29,89:89)-SUMIF(88:88,C29,89:89)+100</f>
        <v>100</v>
      </c>
      <c r="G29" s="917"/>
      <c r="H29" s="543">
        <f>SUMIF(88:88,G29,89:89)-SUMIF(88:88,C29,89:89)+100</f>
        <v>100</v>
      </c>
      <c r="I29" s="917"/>
      <c r="J29" s="600">
        <f>SUMIF(88:88,I29,89:89)-SUMIF(88:88,C29,89:89)+100</f>
        <v>100</v>
      </c>
      <c r="K29" s="587"/>
      <c r="L29" s="2148"/>
      <c r="M29" s="2140"/>
      <c r="N29" s="2140"/>
      <c r="O29" s="2147"/>
      <c r="P29" s="3434" t="s">
        <v>551</v>
      </c>
      <c r="Q29" s="1574" t="str">
        <f t="shared" si="11"/>
        <v>建筑类型</v>
      </c>
      <c r="R29" s="1575" t="s">
        <v>8</v>
      </c>
      <c r="S29" s="1576">
        <f t="shared" si="12"/>
        <v>100</v>
      </c>
      <c r="T29" s="1575" t="s">
        <v>8</v>
      </c>
      <c r="U29" s="1576">
        <f t="shared" si="13"/>
        <v>100</v>
      </c>
      <c r="V29" s="1575" t="s">
        <v>8</v>
      </c>
      <c r="W29" s="1576">
        <f t="shared" si="14"/>
        <v>100</v>
      </c>
      <c r="X29" s="1569"/>
      <c r="Y29" s="3435" t="s">
        <v>551</v>
      </c>
      <c r="Z29" s="1577" t="str">
        <f t="shared" si="15"/>
        <v>建筑类型</v>
      </c>
      <c r="AA29" s="1578">
        <f t="shared" si="3"/>
        <v>1</v>
      </c>
      <c r="AB29" s="1578">
        <f t="shared" si="4"/>
        <v>1</v>
      </c>
      <c r="AC29" s="1578">
        <f t="shared" si="5"/>
        <v>1</v>
      </c>
    </row>
    <row r="30" spans="1:29" s="1339"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6"/>
      <c r="M30" s="2177"/>
      <c r="N30" s="2177"/>
      <c r="O30" s="2149"/>
      <c r="P30" s="3435"/>
      <c r="Q30" s="1607" t="str">
        <f t="shared" si="11"/>
        <v>项目建筑规模</v>
      </c>
      <c r="R30" s="1579" t="s">
        <v>8</v>
      </c>
      <c r="S30" s="1580" t="e">
        <f t="shared" si="12"/>
        <v>#N/A</v>
      </c>
      <c r="T30" s="1579" t="s">
        <v>8</v>
      </c>
      <c r="U30" s="1580" t="e">
        <f t="shared" si="13"/>
        <v>#N/A</v>
      </c>
      <c r="V30" s="1579" t="s">
        <v>8</v>
      </c>
      <c r="W30" s="1580" t="e">
        <f t="shared" si="14"/>
        <v>#N/A</v>
      </c>
      <c r="X30" s="1581"/>
      <c r="Y30" s="3435"/>
      <c r="Z30" s="1582" t="str">
        <f t="shared" si="15"/>
        <v>项目建筑规模</v>
      </c>
      <c r="AA30" s="1578" t="e">
        <f t="shared" si="3"/>
        <v>#N/A</v>
      </c>
      <c r="AB30" s="1578" t="e">
        <f t="shared" si="4"/>
        <v>#N/A</v>
      </c>
      <c r="AC30" s="1578"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48"/>
      <c r="M31" s="2140"/>
      <c r="N31" s="2140"/>
      <c r="O31" s="2147"/>
      <c r="P31" s="3435"/>
      <c r="Q31" s="1574" t="str">
        <f t="shared" si="11"/>
        <v>建筑结构</v>
      </c>
      <c r="R31" s="1575" t="s">
        <v>8</v>
      </c>
      <c r="S31" s="1576">
        <f t="shared" si="12"/>
        <v>100</v>
      </c>
      <c r="T31" s="1575" t="s">
        <v>8</v>
      </c>
      <c r="U31" s="1576">
        <f t="shared" si="13"/>
        <v>100</v>
      </c>
      <c r="V31" s="1575" t="s">
        <v>8</v>
      </c>
      <c r="W31" s="1576">
        <f t="shared" si="14"/>
        <v>100</v>
      </c>
      <c r="X31" s="1569"/>
      <c r="Y31" s="3435"/>
      <c r="Z31" s="1577" t="str">
        <f t="shared" si="15"/>
        <v>建筑结构</v>
      </c>
      <c r="AA31" s="1578">
        <f t="shared" si="3"/>
        <v>1</v>
      </c>
      <c r="AB31" s="1578">
        <f t="shared" si="4"/>
        <v>1</v>
      </c>
      <c r="AC31" s="1578">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48"/>
      <c r="M32" s="2140"/>
      <c r="N32" s="2140"/>
      <c r="O32" s="2147"/>
      <c r="P32" s="3435"/>
      <c r="Q32" s="1574" t="str">
        <f t="shared" si="11"/>
        <v>公共部分装修</v>
      </c>
      <c r="R32" s="1575" t="s">
        <v>8</v>
      </c>
      <c r="S32" s="1576">
        <f t="shared" si="12"/>
        <v>100</v>
      </c>
      <c r="T32" s="1575" t="s">
        <v>8</v>
      </c>
      <c r="U32" s="1576">
        <f t="shared" si="13"/>
        <v>100</v>
      </c>
      <c r="V32" s="1575" t="s">
        <v>8</v>
      </c>
      <c r="W32" s="1576">
        <f t="shared" si="14"/>
        <v>100</v>
      </c>
      <c r="X32" s="1569"/>
      <c r="Y32" s="3435"/>
      <c r="Z32" s="1577" t="str">
        <f t="shared" si="15"/>
        <v>公共部分装修</v>
      </c>
      <c r="AA32" s="1578">
        <f t="shared" si="3"/>
        <v>1</v>
      </c>
      <c r="AB32" s="1578">
        <f t="shared" si="4"/>
        <v>1</v>
      </c>
      <c r="AC32" s="1578">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8"/>
      <c r="M33" s="2140"/>
      <c r="N33" s="2140"/>
      <c r="O33" s="2147"/>
      <c r="P33" s="3435"/>
      <c r="Q33" s="1574" t="str">
        <f t="shared" si="11"/>
        <v>成新度</v>
      </c>
      <c r="R33" s="1575" t="s">
        <v>8</v>
      </c>
      <c r="S33" s="1576" t="e">
        <f t="shared" si="12"/>
        <v>#N/A</v>
      </c>
      <c r="T33" s="1575" t="s">
        <v>8</v>
      </c>
      <c r="U33" s="1576" t="e">
        <f t="shared" si="13"/>
        <v>#N/A</v>
      </c>
      <c r="V33" s="1575" t="s">
        <v>8</v>
      </c>
      <c r="W33" s="1576" t="e">
        <f t="shared" si="14"/>
        <v>#N/A</v>
      </c>
      <c r="X33" s="1569"/>
      <c r="Y33" s="3435"/>
      <c r="Z33" s="1577" t="str">
        <f t="shared" si="15"/>
        <v>成新度</v>
      </c>
      <c r="AA33" s="1578" t="e">
        <f t="shared" si="3"/>
        <v>#N/A</v>
      </c>
      <c r="AB33" s="1578" t="e">
        <f t="shared" si="4"/>
        <v>#N/A</v>
      </c>
      <c r="AC33" s="1578" t="e">
        <f t="shared" si="5"/>
        <v>#N/A</v>
      </c>
    </row>
    <row r="34" spans="1:29" s="1220"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1"/>
      <c r="M34" s="2142"/>
      <c r="N34" s="2142"/>
      <c r="O34" s="2143"/>
      <c r="P34" s="3435"/>
      <c r="Q34" s="1151" t="str">
        <f t="shared" si="11"/>
        <v>物业管理</v>
      </c>
      <c r="R34" s="1570" t="s">
        <v>8</v>
      </c>
      <c r="S34" s="1571">
        <f t="shared" si="12"/>
        <v>100</v>
      </c>
      <c r="T34" s="1570" t="s">
        <v>8</v>
      </c>
      <c r="U34" s="1571">
        <f t="shared" si="13"/>
        <v>100</v>
      </c>
      <c r="V34" s="1570" t="s">
        <v>8</v>
      </c>
      <c r="W34" s="1571">
        <f t="shared" si="14"/>
        <v>100</v>
      </c>
      <c r="X34" s="1572"/>
      <c r="Y34" s="3435"/>
      <c r="Z34" s="1150" t="str">
        <f t="shared" si="15"/>
        <v>物业管理</v>
      </c>
      <c r="AA34" s="1573">
        <f t="shared" si="3"/>
        <v>1</v>
      </c>
      <c r="AB34" s="1573">
        <f t="shared" si="4"/>
        <v>1</v>
      </c>
      <c r="AC34" s="1573">
        <f t="shared" si="5"/>
        <v>1</v>
      </c>
    </row>
    <row r="35" spans="1:29" ht="15">
      <c r="A35" s="597"/>
      <c r="B35" s="1898"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8"/>
      <c r="M35" s="2140"/>
      <c r="N35" s="2140"/>
      <c r="O35" s="2147"/>
      <c r="P35" s="3435" t="s">
        <v>551</v>
      </c>
      <c r="Q35" s="1574" t="str">
        <f t="shared" si="11"/>
        <v>市政基础设施</v>
      </c>
      <c r="R35" s="1575" t="s">
        <v>8</v>
      </c>
      <c r="S35" s="1576">
        <f t="shared" si="12"/>
        <v>100</v>
      </c>
      <c r="T35" s="1575" t="s">
        <v>8</v>
      </c>
      <c r="U35" s="1576">
        <f t="shared" si="13"/>
        <v>100</v>
      </c>
      <c r="V35" s="1575" t="s">
        <v>8</v>
      </c>
      <c r="W35" s="1576">
        <f t="shared" si="14"/>
        <v>100</v>
      </c>
      <c r="X35" s="1569"/>
      <c r="Y35" s="3435" t="s">
        <v>551</v>
      </c>
      <c r="Z35" s="1577" t="str">
        <f t="shared" si="15"/>
        <v>市政基础设施</v>
      </c>
      <c r="AA35" s="1578">
        <f t="shared" si="3"/>
        <v>1</v>
      </c>
      <c r="AB35" s="1578">
        <f t="shared" si="4"/>
        <v>1</v>
      </c>
      <c r="AC35" s="1578">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8"/>
      <c r="M36" s="2140"/>
      <c r="N36" s="2140"/>
      <c r="O36" s="2147"/>
      <c r="P36" s="3435"/>
      <c r="Q36" s="1574" t="str">
        <f t="shared" si="11"/>
        <v>内部装修</v>
      </c>
      <c r="R36" s="1575" t="s">
        <v>8</v>
      </c>
      <c r="S36" s="1576">
        <f t="shared" si="12"/>
        <v>100</v>
      </c>
      <c r="T36" s="1575" t="s">
        <v>8</v>
      </c>
      <c r="U36" s="1576">
        <f t="shared" si="13"/>
        <v>100</v>
      </c>
      <c r="V36" s="1575" t="s">
        <v>8</v>
      </c>
      <c r="W36" s="1576">
        <f t="shared" si="14"/>
        <v>100</v>
      </c>
      <c r="X36" s="1569"/>
      <c r="Y36" s="3435"/>
      <c r="Z36" s="1577" t="str">
        <f t="shared" si="15"/>
        <v>内部装修</v>
      </c>
      <c r="AA36" s="1578">
        <f t="shared" si="3"/>
        <v>1</v>
      </c>
      <c r="AB36" s="1578">
        <f t="shared" si="4"/>
        <v>1</v>
      </c>
      <c r="AC36" s="1578">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8"/>
      <c r="M37" s="2140"/>
      <c r="N37" s="2140"/>
      <c r="O37" s="2147"/>
      <c r="P37" s="3435"/>
      <c r="Q37" s="1574" t="str">
        <f t="shared" si="11"/>
        <v>内部装修状况</v>
      </c>
      <c r="R37" s="1575" t="s">
        <v>8</v>
      </c>
      <c r="S37" s="1576">
        <f t="shared" si="12"/>
        <v>100</v>
      </c>
      <c r="T37" s="1575" t="s">
        <v>8</v>
      </c>
      <c r="U37" s="1576">
        <f t="shared" si="13"/>
        <v>100</v>
      </c>
      <c r="V37" s="1575" t="s">
        <v>8</v>
      </c>
      <c r="W37" s="1576">
        <f t="shared" si="14"/>
        <v>100</v>
      </c>
      <c r="X37" s="1569"/>
      <c r="Y37" s="3435"/>
      <c r="Z37" s="1577" t="str">
        <f t="shared" si="15"/>
        <v>内部装修状况</v>
      </c>
      <c r="AA37" s="1578">
        <f t="shared" si="3"/>
        <v>1</v>
      </c>
      <c r="AB37" s="1578">
        <f t="shared" si="4"/>
        <v>1</v>
      </c>
      <c r="AC37" s="1578">
        <f t="shared" si="5"/>
        <v>1</v>
      </c>
    </row>
    <row r="38" spans="1:29" s="1339"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6"/>
      <c r="M38" s="2177"/>
      <c r="N38" s="2177"/>
      <c r="O38" s="2149"/>
      <c r="P38" s="3435"/>
      <c r="Q38" s="1607">
        <f t="shared" si="11"/>
        <v>111</v>
      </c>
      <c r="R38" s="1579" t="s">
        <v>8</v>
      </c>
      <c r="S38" s="1580">
        <f t="shared" si="12"/>
        <v>100</v>
      </c>
      <c r="T38" s="1579" t="s">
        <v>8</v>
      </c>
      <c r="U38" s="1580">
        <f t="shared" si="13"/>
        <v>100</v>
      </c>
      <c r="V38" s="1579" t="s">
        <v>8</v>
      </c>
      <c r="W38" s="1580">
        <f t="shared" si="14"/>
        <v>100</v>
      </c>
      <c r="X38" s="1581"/>
      <c r="Y38" s="3435"/>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8"/>
      <c r="M39" s="2140"/>
      <c r="N39" s="2140"/>
      <c r="O39" s="2147"/>
      <c r="P39" s="3435"/>
      <c r="Q39" s="1574">
        <f t="shared" si="11"/>
        <v>111</v>
      </c>
      <c r="R39" s="1575" t="s">
        <v>8</v>
      </c>
      <c r="S39" s="1576">
        <f t="shared" si="12"/>
        <v>100</v>
      </c>
      <c r="T39" s="1575" t="s">
        <v>8</v>
      </c>
      <c r="U39" s="1576">
        <f t="shared" si="13"/>
        <v>100</v>
      </c>
      <c r="V39" s="1575" t="s">
        <v>8</v>
      </c>
      <c r="W39" s="1576">
        <f t="shared" si="14"/>
        <v>100</v>
      </c>
      <c r="X39" s="1569"/>
      <c r="Y39" s="3435"/>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8"/>
      <c r="M40" s="2140"/>
      <c r="N40" s="2140"/>
      <c r="O40" s="2147"/>
      <c r="P40" s="3529"/>
      <c r="Q40" s="1574">
        <f t="shared" si="11"/>
        <v>111</v>
      </c>
      <c r="R40" s="1575" t="s">
        <v>8</v>
      </c>
      <c r="S40" s="1576">
        <f t="shared" si="12"/>
        <v>100</v>
      </c>
      <c r="T40" s="1575" t="s">
        <v>8</v>
      </c>
      <c r="U40" s="1576">
        <f t="shared" si="13"/>
        <v>100</v>
      </c>
      <c r="V40" s="1575" t="s">
        <v>8</v>
      </c>
      <c r="W40" s="1576">
        <f t="shared" si="14"/>
        <v>100</v>
      </c>
      <c r="X40" s="1569"/>
      <c r="Y40" s="3529"/>
      <c r="Z40" s="1577">
        <f t="shared" si="15"/>
        <v>111</v>
      </c>
      <c r="AA40" s="1578">
        <f t="shared" si="3"/>
        <v>1</v>
      </c>
      <c r="AB40" s="1578">
        <f t="shared" si="4"/>
        <v>1</v>
      </c>
      <c r="AC40" s="1578">
        <f t="shared" si="5"/>
        <v>1</v>
      </c>
    </row>
    <row r="41" spans="1:29" ht="15">
      <c r="A41" s="610" t="s">
        <v>739</v>
      </c>
      <c r="B41" s="890"/>
      <c r="C41" s="2658" t="s">
        <v>1</v>
      </c>
      <c r="D41" s="2659"/>
      <c r="E41" s="2660"/>
      <c r="F41" s="2661"/>
      <c r="G41" s="2662"/>
      <c r="H41" s="2663"/>
      <c r="I41" s="2660"/>
      <c r="J41" s="2663"/>
      <c r="K41" s="1613"/>
      <c r="L41" s="2150"/>
      <c r="M41" s="2151"/>
      <c r="N41" s="2140"/>
      <c r="O41" s="2151"/>
      <c r="P41" s="3430" t="str">
        <f>A41</f>
        <v>成交单价（元/平方米）</v>
      </c>
      <c r="Q41" s="3430"/>
      <c r="R41" s="3528">
        <f>E41</f>
        <v>0</v>
      </c>
      <c r="S41" s="3528"/>
      <c r="T41" s="3528">
        <f>G41</f>
        <v>0</v>
      </c>
      <c r="U41" s="3528"/>
      <c r="V41" s="3528">
        <f>I41</f>
        <v>0</v>
      </c>
      <c r="W41" s="3528"/>
      <c r="X41" s="1561"/>
      <c r="Y41" s="1583"/>
      <c r="Z41" s="1561"/>
      <c r="AA41" s="1561"/>
      <c r="AB41" s="1561"/>
      <c r="AC41" s="1561"/>
    </row>
    <row r="42" spans="1:29" ht="15.75" thickBot="1">
      <c r="A42" s="618" t="s">
        <v>2775</v>
      </c>
      <c r="B42" s="891"/>
      <c r="C42" s="2664" t="e">
        <f>R43</f>
        <v>#DIV/0!</v>
      </c>
      <c r="D42" s="2665"/>
      <c r="E42" s="2666" t="e">
        <f>R42</f>
        <v>#DIV/0!</v>
      </c>
      <c r="F42" s="2666"/>
      <c r="G42" s="2664" t="e">
        <f>T42</f>
        <v>#DIV/0!</v>
      </c>
      <c r="H42" s="2665"/>
      <c r="I42" s="2666" t="e">
        <f>V42</f>
        <v>#DIV/0!</v>
      </c>
      <c r="J42" s="2665"/>
      <c r="K42" s="1614"/>
      <c r="L42" s="2150"/>
      <c r="M42" s="2151"/>
      <c r="N42" s="2140"/>
      <c r="O42" s="2151"/>
      <c r="P42" s="3430" t="str">
        <f>A42</f>
        <v>比较价格（元/平方米）</v>
      </c>
      <c r="Q42" s="3430"/>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61"/>
      <c r="Y42" s="1561"/>
      <c r="Z42" s="1561"/>
      <c r="AA42" s="1561"/>
      <c r="AB42" s="1561"/>
      <c r="AC42" s="1561"/>
    </row>
    <row r="43" spans="1:29" ht="15.75" thickBot="1">
      <c r="A43" s="624" t="s">
        <v>2941</v>
      </c>
      <c r="B43" s="625"/>
      <c r="C43" s="2667" t="e">
        <f>R43</f>
        <v>#DIV/0!</v>
      </c>
      <c r="D43" s="2667"/>
      <c r="E43" s="2667"/>
      <c r="F43" s="2667"/>
      <c r="G43" s="2667"/>
      <c r="H43" s="2667"/>
      <c r="I43" s="2667"/>
      <c r="J43" s="2667"/>
      <c r="K43" s="1615"/>
      <c r="L43" s="2150"/>
      <c r="M43" s="2151"/>
      <c r="N43" s="2151"/>
      <c r="O43" s="2151"/>
      <c r="P43" s="3452" t="str">
        <f>A43</f>
        <v>估价对象XX用房的比较价格（楼面单价，元/平方米）</v>
      </c>
      <c r="Q43" s="3453"/>
      <c r="R43" s="3527" t="e">
        <f>IF(F1="售价",ROUND(AVERAGE(R42:V42),0),ROUND(AVERAGE(R42:V42),1))</f>
        <v>#DIV/0!</v>
      </c>
      <c r="S43" s="3527"/>
      <c r="T43" s="3527"/>
      <c r="U43" s="3527"/>
      <c r="V43" s="3527"/>
      <c r="W43" s="3527"/>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8" t="s">
        <v>530</v>
      </c>
      <c r="B52" s="649"/>
      <c r="C52" s="2837" t="str">
        <f>YEAR(C7)&amp;"-"&amp;MONTH(C7)</f>
        <v>2017-6</v>
      </c>
      <c r="D52" s="2839">
        <f>EDATE(C52,-1)</f>
        <v>42856</v>
      </c>
      <c r="E52" s="2839">
        <f t="shared" ref="E52:O52" si="16">EDATE(D52,-1)</f>
        <v>42826</v>
      </c>
      <c r="F52" s="2839">
        <f t="shared" si="16"/>
        <v>42795</v>
      </c>
      <c r="G52" s="2839">
        <f t="shared" si="16"/>
        <v>42767</v>
      </c>
      <c r="H52" s="2839">
        <f t="shared" si="16"/>
        <v>42736</v>
      </c>
      <c r="I52" s="2839">
        <f t="shared" si="16"/>
        <v>42705</v>
      </c>
      <c r="J52" s="2839">
        <f t="shared" si="16"/>
        <v>42675</v>
      </c>
      <c r="K52" s="2839">
        <f t="shared" si="16"/>
        <v>42644</v>
      </c>
      <c r="L52" s="2839">
        <f t="shared" si="16"/>
        <v>42614</v>
      </c>
      <c r="M52" s="2839">
        <f t="shared" si="16"/>
        <v>42583</v>
      </c>
      <c r="N52" s="2839">
        <f t="shared" si="16"/>
        <v>42552</v>
      </c>
      <c r="O52" s="2839">
        <f t="shared" si="16"/>
        <v>42522</v>
      </c>
      <c r="P52" s="2166"/>
      <c r="Q52" s="2167"/>
      <c r="R52" s="2167"/>
      <c r="S52" s="2167"/>
      <c r="T52" s="2167"/>
      <c r="U52" s="2167"/>
      <c r="V52" s="2167"/>
      <c r="W52" s="2167"/>
      <c r="X52" s="2167"/>
      <c r="Y52" s="2167"/>
      <c r="Z52" s="2167"/>
      <c r="AA52" s="2167"/>
      <c r="AB52" s="2167"/>
      <c r="AC52" s="2167"/>
    </row>
    <row r="53" spans="1:29" s="1220" customFormat="1" ht="15">
      <c r="A53" s="650"/>
      <c r="B53" s="651"/>
      <c r="C53" s="652">
        <v>100</v>
      </c>
      <c r="D53" s="653"/>
      <c r="E53" s="653"/>
      <c r="F53" s="653"/>
      <c r="G53" s="653"/>
      <c r="H53" s="653"/>
      <c r="I53" s="653"/>
      <c r="J53" s="653"/>
      <c r="K53" s="653"/>
      <c r="L53" s="653"/>
      <c r="M53" s="654"/>
      <c r="N53" s="653"/>
      <c r="O53" s="655"/>
      <c r="P53" s="2164"/>
      <c r="Q53" s="1995"/>
      <c r="R53" s="1995"/>
      <c r="S53" s="1995"/>
      <c r="T53" s="1995"/>
      <c r="U53" s="1995"/>
      <c r="V53" s="1995"/>
      <c r="W53" s="1995"/>
      <c r="X53" s="1995"/>
      <c r="Y53" s="1995"/>
      <c r="Z53" s="1995"/>
      <c r="AA53" s="1995"/>
      <c r="AB53" s="1995"/>
      <c r="AC53" s="1995"/>
    </row>
    <row r="54" spans="1:29" s="1220" customFormat="1" ht="15.75" thickBot="1">
      <c r="A54" s="656" t="s">
        <v>576</v>
      </c>
      <c r="B54" s="657"/>
      <c r="C54" s="658"/>
      <c r="D54" s="659"/>
      <c r="E54" s="659"/>
      <c r="F54" s="659"/>
      <c r="G54" s="659"/>
      <c r="H54" s="659"/>
      <c r="I54" s="659"/>
      <c r="J54" s="659"/>
      <c r="K54" s="659"/>
      <c r="L54" s="659"/>
      <c r="M54" s="660"/>
      <c r="N54" s="659"/>
      <c r="O54" s="661"/>
      <c r="P54" s="2164"/>
      <c r="Q54" s="2164"/>
      <c r="R54" s="1995"/>
      <c r="S54" s="1995"/>
      <c r="T54" s="1995"/>
      <c r="U54" s="1995"/>
      <c r="V54" s="1995"/>
      <c r="W54" s="1995"/>
      <c r="X54" s="1995"/>
      <c r="Y54" s="1995"/>
      <c r="Z54" s="1995"/>
      <c r="AA54" s="1995"/>
      <c r="AB54" s="1995"/>
      <c r="AC54" s="1995"/>
    </row>
    <row r="55" spans="1:29" s="1220" customFormat="1" ht="15">
      <c r="A55" s="662" t="s">
        <v>532</v>
      </c>
      <c r="B55" s="651"/>
      <c r="C55" s="663" t="s">
        <v>577</v>
      </c>
      <c r="D55" s="664"/>
      <c r="E55" s="664"/>
      <c r="F55" s="664"/>
      <c r="G55" s="664"/>
      <c r="H55" s="664"/>
      <c r="I55" s="664"/>
      <c r="J55" s="664"/>
      <c r="K55" s="664"/>
      <c r="L55" s="665"/>
      <c r="M55" s="666"/>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2"/>
      <c r="B56" s="651"/>
      <c r="C56" s="652">
        <v>100</v>
      </c>
      <c r="D56" s="653"/>
      <c r="E56" s="653"/>
      <c r="F56" s="653"/>
      <c r="G56" s="653"/>
      <c r="H56" s="653"/>
      <c r="I56" s="653"/>
      <c r="J56" s="653"/>
      <c r="K56" s="653"/>
      <c r="L56" s="653"/>
      <c r="M56" s="655"/>
      <c r="N56" s="2168"/>
      <c r="O56" s="2168"/>
      <c r="P56" s="2164"/>
      <c r="Q56" s="2164"/>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74"/>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0"/>
      <c r="O59" s="2170"/>
      <c r="P59" s="2171"/>
      <c r="Q59" s="2164"/>
      <c r="R59" s="2151"/>
      <c r="S59" s="2151"/>
      <c r="T59" s="2151"/>
      <c r="U59" s="2151"/>
      <c r="V59" s="2151"/>
      <c r="W59" s="2151"/>
      <c r="X59" s="2151"/>
      <c r="Y59" s="2151"/>
      <c r="Z59" s="2151"/>
      <c r="AA59" s="2151"/>
      <c r="AB59" s="2151"/>
      <c r="AC59" s="2151"/>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2"/>
      <c r="O60" s="2172"/>
      <c r="P60" s="2171"/>
      <c r="Q60" s="2164"/>
      <c r="R60" s="2151"/>
      <c r="S60" s="2151"/>
      <c r="T60" s="2151"/>
      <c r="U60" s="2151"/>
      <c r="V60" s="2151"/>
      <c r="W60" s="2151"/>
      <c r="X60" s="2151"/>
      <c r="Y60" s="2151"/>
      <c r="Z60" s="2151"/>
      <c r="AA60" s="2151"/>
      <c r="AB60" s="2151"/>
      <c r="AC60" s="2151"/>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2"/>
      <c r="B62" s="686"/>
      <c r="C62" s="544"/>
      <c r="D62" s="544"/>
      <c r="E62" s="544"/>
      <c r="F62" s="544"/>
      <c r="G62" s="544"/>
      <c r="H62" s="544"/>
      <c r="I62" s="544"/>
      <c r="J62" s="544"/>
      <c r="K62" s="687"/>
      <c r="L62" s="688"/>
      <c r="M62" s="689"/>
      <c r="N62" s="2170"/>
      <c r="O62" s="2170"/>
      <c r="P62" s="2171"/>
      <c r="Q62" s="2164"/>
      <c r="R62" s="2151"/>
      <c r="S62" s="2151"/>
      <c r="T62" s="2151"/>
      <c r="U62" s="2151"/>
      <c r="V62" s="2151"/>
      <c r="W62" s="2151"/>
      <c r="X62" s="2151"/>
      <c r="Y62" s="2151"/>
      <c r="Z62" s="2151"/>
      <c r="AA62" s="2151"/>
      <c r="AB62" s="2151"/>
      <c r="AC62" s="2151"/>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90"/>
      <c r="B64" s="676">
        <f>B12</f>
        <v>111</v>
      </c>
      <c r="C64" s="691"/>
      <c r="D64" s="691"/>
      <c r="E64" s="691"/>
      <c r="F64" s="691"/>
      <c r="G64" s="691"/>
      <c r="H64" s="692"/>
      <c r="I64" s="692"/>
      <c r="J64" s="692"/>
      <c r="K64" s="692"/>
      <c r="L64" s="693"/>
      <c r="M64" s="694"/>
      <c r="N64" s="2173"/>
      <c r="O64" s="2173"/>
      <c r="P64" s="2174"/>
      <c r="Q64" s="2175"/>
      <c r="R64" s="2176"/>
      <c r="S64" s="2176"/>
      <c r="T64" s="2176"/>
      <c r="U64" s="2176"/>
      <c r="V64" s="2176"/>
      <c r="W64" s="2176"/>
      <c r="X64" s="2176"/>
      <c r="Y64" s="2176"/>
      <c r="Z64" s="2176"/>
      <c r="AA64" s="2176"/>
      <c r="AB64" s="2176"/>
      <c r="AC64" s="2176"/>
    </row>
    <row r="65" spans="1:29" s="1339" customFormat="1" ht="15.75" thickBot="1">
      <c r="A65" s="690"/>
      <c r="B65" s="681"/>
      <c r="C65" s="695"/>
      <c r="D65" s="674"/>
      <c r="E65" s="674"/>
      <c r="F65" s="674"/>
      <c r="G65" s="674"/>
      <c r="H65" s="674"/>
      <c r="I65" s="674"/>
      <c r="J65" s="674"/>
      <c r="K65" s="674"/>
      <c r="L65" s="674"/>
      <c r="M65" s="675"/>
      <c r="N65" s="2172"/>
      <c r="O65" s="2172"/>
      <c r="P65" s="2174"/>
      <c r="Q65" s="2175"/>
      <c r="R65" s="2176"/>
      <c r="S65" s="2176"/>
      <c r="T65" s="2176"/>
      <c r="U65" s="2176"/>
      <c r="V65" s="2176"/>
      <c r="W65" s="2176"/>
      <c r="X65" s="2176"/>
      <c r="Y65" s="2176"/>
      <c r="Z65" s="2176"/>
      <c r="AA65" s="2176"/>
      <c r="AB65" s="2176"/>
      <c r="AC65" s="2176"/>
    </row>
    <row r="66" spans="1:29" s="1339" customFormat="1" ht="15.75" thickTop="1">
      <c r="A66" s="690"/>
      <c r="B66" s="676">
        <f>B13</f>
        <v>111</v>
      </c>
      <c r="C66" s="691"/>
      <c r="D66" s="691"/>
      <c r="E66" s="691"/>
      <c r="F66" s="691"/>
      <c r="G66" s="691"/>
      <c r="H66" s="692"/>
      <c r="I66" s="692"/>
      <c r="J66" s="692"/>
      <c r="K66" s="692"/>
      <c r="L66" s="693"/>
      <c r="M66" s="694"/>
      <c r="N66" s="2173"/>
      <c r="O66" s="2173"/>
      <c r="P66" s="2177"/>
      <c r="Q66" s="2178"/>
      <c r="R66" s="2176"/>
      <c r="S66" s="2176"/>
      <c r="T66" s="2176"/>
      <c r="U66" s="2176"/>
      <c r="V66" s="2176"/>
      <c r="W66" s="2176"/>
      <c r="X66" s="2176"/>
      <c r="Y66" s="2176"/>
      <c r="Z66" s="2176"/>
      <c r="AA66" s="2176"/>
      <c r="AB66" s="2176"/>
      <c r="AC66" s="2176"/>
    </row>
    <row r="67" spans="1:29" s="1339" customFormat="1" ht="15.75" thickBot="1">
      <c r="A67" s="690"/>
      <c r="B67" s="681"/>
      <c r="C67" s="695"/>
      <c r="D67" s="674"/>
      <c r="E67" s="674"/>
      <c r="F67" s="674"/>
      <c r="G67" s="695"/>
      <c r="H67" s="696"/>
      <c r="I67" s="696"/>
      <c r="J67" s="696"/>
      <c r="K67" s="696"/>
      <c r="L67" s="696"/>
      <c r="M67" s="697"/>
      <c r="N67" s="2173"/>
      <c r="O67" s="2173"/>
      <c r="P67" s="2174"/>
      <c r="Q67" s="2175"/>
      <c r="R67" s="2176"/>
      <c r="S67" s="2176"/>
      <c r="T67" s="2176"/>
      <c r="U67" s="2176"/>
      <c r="V67" s="2176"/>
      <c r="W67" s="2176"/>
      <c r="X67" s="2176"/>
      <c r="Y67" s="2176"/>
      <c r="Z67" s="2176"/>
      <c r="AA67" s="2176"/>
      <c r="AB67" s="2176"/>
      <c r="AC67" s="2176"/>
    </row>
    <row r="68" spans="1:29" s="1339" customFormat="1" ht="15.75" thickTop="1">
      <c r="A68" s="690"/>
      <c r="B68" s="684">
        <f>B14</f>
        <v>111</v>
      </c>
      <c r="C68" s="664"/>
      <c r="D68" s="664"/>
      <c r="E68" s="664"/>
      <c r="F68" s="664"/>
      <c r="G68" s="664"/>
      <c r="H68" s="698"/>
      <c r="I68" s="698"/>
      <c r="J68" s="698"/>
      <c r="K68" s="698"/>
      <c r="L68" s="699"/>
      <c r="M68" s="700"/>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1"/>
      <c r="B69" s="702"/>
      <c r="C69" s="703"/>
      <c r="D69" s="703"/>
      <c r="E69" s="703"/>
      <c r="F69" s="703"/>
      <c r="G69" s="703"/>
      <c r="H69" s="704"/>
      <c r="I69" s="704"/>
      <c r="J69" s="704"/>
      <c r="K69" s="704"/>
      <c r="L69" s="704"/>
      <c r="M69" s="705"/>
      <c r="N69" s="2173"/>
      <c r="O69" s="2173"/>
      <c r="P69" s="2174"/>
      <c r="Q69" s="2175"/>
      <c r="R69" s="2176"/>
      <c r="S69" s="2176"/>
      <c r="T69" s="2176"/>
      <c r="U69" s="2176"/>
      <c r="V69" s="2176"/>
      <c r="W69" s="2176"/>
      <c r="X69" s="2176"/>
      <c r="Y69" s="2176"/>
      <c r="Z69" s="2176"/>
      <c r="AA69" s="2176"/>
      <c r="AB69" s="2176"/>
      <c r="AC69" s="2176"/>
    </row>
    <row r="70" spans="1:29">
      <c r="A70" s="667" t="s">
        <v>540</v>
      </c>
      <c r="B70" s="668" t="s">
        <v>586</v>
      </c>
      <c r="C70" s="706" t="s">
        <v>580</v>
      </c>
      <c r="D70" s="706" t="s">
        <v>581</v>
      </c>
      <c r="E70" s="706" t="s">
        <v>582</v>
      </c>
      <c r="F70" s="706" t="s">
        <v>583</v>
      </c>
      <c r="G70" s="706" t="s">
        <v>584</v>
      </c>
      <c r="H70" s="707"/>
      <c r="I70" s="707"/>
      <c r="J70" s="707"/>
      <c r="K70" s="708"/>
      <c r="L70" s="709"/>
      <c r="M70" s="710"/>
      <c r="N70" s="2170"/>
      <c r="O70" s="2170"/>
      <c r="P70" s="2180"/>
      <c r="Q70" s="2164"/>
      <c r="R70" s="2151"/>
      <c r="S70" s="2151"/>
      <c r="T70" s="2151"/>
      <c r="U70" s="2151"/>
      <c r="V70" s="2151"/>
      <c r="W70" s="2151"/>
      <c r="X70" s="2151"/>
      <c r="Y70" s="2151"/>
      <c r="Z70" s="2151"/>
      <c r="AA70" s="2151"/>
      <c r="AB70" s="2151"/>
      <c r="AC70" s="2151"/>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2"/>
      <c r="O71" s="2172"/>
      <c r="P71" s="2171"/>
      <c r="Q71" s="2164"/>
      <c r="R71" s="2151"/>
      <c r="S71" s="2151"/>
      <c r="T71" s="2151"/>
      <c r="U71" s="2151"/>
      <c r="V71" s="2151"/>
      <c r="W71" s="2151"/>
      <c r="X71" s="2151"/>
      <c r="Y71" s="2151"/>
      <c r="Z71" s="2151"/>
      <c r="AA71" s="2151"/>
      <c r="AB71" s="2151"/>
      <c r="AC71" s="2151"/>
    </row>
    <row r="72" spans="1:29" ht="15.75" thickTop="1">
      <c r="A72" s="672"/>
      <c r="B72" s="676" t="s">
        <v>587</v>
      </c>
      <c r="C72" s="711" t="s">
        <v>580</v>
      </c>
      <c r="D72" s="711" t="s">
        <v>581</v>
      </c>
      <c r="E72" s="711" t="s">
        <v>582</v>
      </c>
      <c r="F72" s="711" t="s">
        <v>583</v>
      </c>
      <c r="G72" s="711" t="s">
        <v>584</v>
      </c>
      <c r="H72" s="677"/>
      <c r="I72" s="677"/>
      <c r="J72" s="677"/>
      <c r="K72" s="678"/>
      <c r="L72" s="679"/>
      <c r="M72" s="680"/>
      <c r="N72" s="2170"/>
      <c r="O72" s="2170"/>
      <c r="P72" s="2171"/>
      <c r="Q72" s="2164"/>
      <c r="R72" s="2151"/>
      <c r="S72" s="2151"/>
      <c r="T72" s="2151"/>
      <c r="U72" s="2151"/>
      <c r="V72" s="2151"/>
      <c r="W72" s="2151"/>
      <c r="X72" s="2151"/>
      <c r="Y72" s="2151"/>
      <c r="Z72" s="2151"/>
      <c r="AA72" s="2151"/>
      <c r="AB72" s="2151"/>
      <c r="AC72" s="2151"/>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2"/>
      <c r="O73" s="2172"/>
      <c r="P73" s="2171"/>
      <c r="Q73" s="2164"/>
      <c r="R73" s="2151"/>
      <c r="S73" s="2151"/>
      <c r="T73" s="2151"/>
      <c r="U73" s="2151"/>
      <c r="V73" s="2151"/>
      <c r="W73" s="2151"/>
      <c r="X73" s="2151"/>
      <c r="Y73" s="2151"/>
      <c r="Z73" s="2151"/>
      <c r="AA73" s="2151"/>
      <c r="AB73" s="2151"/>
      <c r="AC73" s="2151"/>
    </row>
    <row r="74" spans="1:29" ht="15.75" thickTop="1">
      <c r="A74" s="672"/>
      <c r="B74" s="1899" t="s">
        <v>2569</v>
      </c>
      <c r="C74" s="711" t="s">
        <v>580</v>
      </c>
      <c r="D74" s="711" t="s">
        <v>581</v>
      </c>
      <c r="E74" s="711" t="s">
        <v>582</v>
      </c>
      <c r="F74" s="711" t="s">
        <v>583</v>
      </c>
      <c r="G74" s="711" t="s">
        <v>584</v>
      </c>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2628" t="s">
        <v>2570</v>
      </c>
      <c r="C76" s="2629" t="s">
        <v>2571</v>
      </c>
      <c r="D76" s="2629" t="s">
        <v>2572</v>
      </c>
      <c r="E76" s="2629" t="s">
        <v>2573</v>
      </c>
      <c r="F76" s="2629" t="s">
        <v>2574</v>
      </c>
      <c r="G76" s="2629" t="s">
        <v>2575</v>
      </c>
      <c r="H76" s="936"/>
      <c r="I76" s="936"/>
      <c r="J76" s="936"/>
      <c r="K76" s="936"/>
      <c r="L76" s="936"/>
      <c r="M76" s="562"/>
      <c r="N76" s="2172"/>
      <c r="O76" s="2172"/>
      <c r="P76" s="2171"/>
      <c r="Q76" s="2164"/>
      <c r="R76" s="2151"/>
      <c r="S76" s="2151"/>
      <c r="T76" s="2151"/>
      <c r="U76" s="2151"/>
      <c r="V76" s="2151"/>
      <c r="W76" s="2151"/>
      <c r="X76" s="2151"/>
      <c r="Y76" s="2151"/>
      <c r="Z76" s="2151"/>
      <c r="AA76" s="2151"/>
      <c r="AB76" s="2151"/>
      <c r="AC76" s="2151"/>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787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2"/>
      <c r="B80" s="676">
        <f>B25</f>
        <v>111</v>
      </c>
      <c r="C80" s="691"/>
      <c r="D80" s="691"/>
      <c r="E80" s="691"/>
      <c r="F80" s="691"/>
      <c r="G80" s="691"/>
      <c r="H80" s="691"/>
      <c r="I80" s="691"/>
      <c r="J80" s="691"/>
      <c r="K80" s="691"/>
      <c r="L80" s="893"/>
      <c r="M80" s="894"/>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2"/>
      <c r="B81" s="681"/>
      <c r="C81" s="695"/>
      <c r="D81" s="674"/>
      <c r="E81" s="674"/>
      <c r="F81" s="674"/>
      <c r="G81" s="674"/>
      <c r="H81" s="674"/>
      <c r="I81" s="674"/>
      <c r="J81" s="674"/>
      <c r="K81" s="674"/>
      <c r="L81" s="674"/>
      <c r="M81" s="675"/>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2"/>
      <c r="B82" s="676">
        <f>B26</f>
        <v>111</v>
      </c>
      <c r="C82" s="691"/>
      <c r="D82" s="691"/>
      <c r="E82" s="691"/>
      <c r="F82" s="691"/>
      <c r="G82" s="691"/>
      <c r="H82" s="691"/>
      <c r="I82" s="691"/>
      <c r="J82" s="691"/>
      <c r="K82" s="691"/>
      <c r="L82" s="893"/>
      <c r="M82" s="894"/>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2"/>
      <c r="B83" s="681"/>
      <c r="C83" s="695"/>
      <c r="D83" s="674"/>
      <c r="E83" s="674"/>
      <c r="F83" s="674"/>
      <c r="G83" s="674"/>
      <c r="H83" s="674"/>
      <c r="I83" s="674"/>
      <c r="J83" s="674"/>
      <c r="K83" s="674"/>
      <c r="L83" s="674"/>
      <c r="M83" s="675"/>
      <c r="N83" s="2172"/>
      <c r="O83" s="2172"/>
      <c r="P83" s="2171"/>
      <c r="Q83" s="2164"/>
      <c r="R83" s="1995"/>
      <c r="S83" s="1995"/>
      <c r="T83" s="1995"/>
      <c r="U83" s="1995"/>
      <c r="V83" s="1995"/>
      <c r="W83" s="1995"/>
      <c r="X83" s="1995"/>
      <c r="Y83" s="1995"/>
      <c r="Z83" s="1995"/>
      <c r="AA83" s="1995"/>
      <c r="AB83" s="1995"/>
      <c r="AC83" s="1995"/>
    </row>
    <row r="84" spans="1:29" s="1339" customFormat="1" ht="15.75" thickTop="1">
      <c r="A84" s="690"/>
      <c r="B84" s="676">
        <f>B27</f>
        <v>111</v>
      </c>
      <c r="C84" s="691"/>
      <c r="D84" s="691"/>
      <c r="E84" s="691"/>
      <c r="F84" s="691"/>
      <c r="G84" s="691"/>
      <c r="H84" s="691"/>
      <c r="I84" s="691"/>
      <c r="J84" s="691"/>
      <c r="K84" s="691"/>
      <c r="L84" s="893"/>
      <c r="M84" s="8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3"/>
      <c r="O85" s="2173"/>
      <c r="P85" s="2174"/>
      <c r="Q85" s="2175"/>
      <c r="R85" s="2176"/>
      <c r="S85" s="2176"/>
      <c r="T85" s="2176"/>
      <c r="U85" s="2176"/>
      <c r="V85" s="2176"/>
      <c r="W85" s="2176"/>
      <c r="X85" s="2176"/>
      <c r="Y85" s="2176"/>
      <c r="Z85" s="2176"/>
      <c r="AA85" s="2176"/>
      <c r="AB85" s="2176"/>
      <c r="AC85" s="2176"/>
    </row>
    <row r="86" spans="1:29" ht="15.75" thickTop="1">
      <c r="A86" s="672"/>
      <c r="B86" s="684">
        <f>B28</f>
        <v>111</v>
      </c>
      <c r="C86" s="664"/>
      <c r="D86" s="664"/>
      <c r="E86" s="664"/>
      <c r="F86" s="664"/>
      <c r="G86" s="725"/>
      <c r="H86" s="725"/>
      <c r="I86" s="725"/>
      <c r="J86" s="725"/>
      <c r="K86" s="726"/>
      <c r="L86" s="727"/>
      <c r="M86" s="728"/>
      <c r="N86" s="2170"/>
      <c r="O86" s="2170"/>
      <c r="P86" s="2171"/>
      <c r="Q86" s="2164"/>
      <c r="R86" s="2151"/>
      <c r="S86" s="2151"/>
      <c r="T86" s="2151"/>
      <c r="U86" s="2151"/>
      <c r="V86" s="2151"/>
      <c r="W86" s="2151"/>
      <c r="X86" s="2151"/>
      <c r="Y86" s="2151"/>
      <c r="Z86" s="2151"/>
      <c r="AA86" s="2151"/>
      <c r="AB86" s="2151"/>
      <c r="AC86" s="2151"/>
    </row>
    <row r="87" spans="1:29" ht="15.75" thickBot="1">
      <c r="A87" s="896"/>
      <c r="B87" s="702"/>
      <c r="C87" s="703"/>
      <c r="D87" s="703"/>
      <c r="E87" s="703"/>
      <c r="F87" s="703"/>
      <c r="G87" s="729"/>
      <c r="H87" s="729"/>
      <c r="I87" s="729"/>
      <c r="J87" s="729"/>
      <c r="K87" s="729"/>
      <c r="L87" s="729"/>
      <c r="M87" s="730"/>
      <c r="N87" s="2172"/>
      <c r="O87" s="2172"/>
      <c r="P87" s="2171"/>
      <c r="Q87" s="2164"/>
      <c r="R87" s="2151"/>
      <c r="S87" s="2151"/>
      <c r="T87" s="2151"/>
      <c r="U87" s="2151"/>
      <c r="V87" s="2151"/>
      <c r="W87" s="2151"/>
      <c r="X87" s="2151"/>
      <c r="Y87" s="2151"/>
      <c r="Z87" s="2151"/>
      <c r="AA87" s="2151"/>
      <c r="AB87" s="2151"/>
      <c r="AC87" s="2151"/>
    </row>
    <row r="88" spans="1:29">
      <c r="A88" s="667" t="s">
        <v>552</v>
      </c>
      <c r="B88" s="668" t="s">
        <v>750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1"/>
      <c r="B91" s="732"/>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2"/>
      <c r="O92" s="2172"/>
      <c r="P92" s="2174"/>
      <c r="Q92" s="2175"/>
      <c r="R92" s="2176"/>
      <c r="S92" s="2176"/>
      <c r="T92" s="2176"/>
      <c r="U92" s="2176"/>
      <c r="V92" s="2176"/>
      <c r="W92" s="2176"/>
      <c r="X92" s="2176"/>
      <c r="Y92" s="2176"/>
      <c r="Z92" s="2176"/>
      <c r="AA92" s="2176"/>
      <c r="AB92" s="2176"/>
      <c r="AC92" s="2176"/>
    </row>
    <row r="93" spans="1:29" ht="15" thickTop="1">
      <c r="A93" s="738"/>
      <c r="B93" s="676" t="s">
        <v>752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754</v>
      </c>
      <c r="C95" s="691"/>
      <c r="D95" s="691"/>
      <c r="E95" s="691"/>
      <c r="F95" s="721"/>
      <c r="G95" s="721"/>
      <c r="H95" s="721"/>
      <c r="I95" s="721"/>
      <c r="J95" s="721"/>
      <c r="K95" s="722"/>
      <c r="L95" s="723"/>
      <c r="M95" s="724"/>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0"/>
      <c r="O97" s="2170"/>
      <c r="P97" s="2171"/>
      <c r="Q97" s="2164"/>
      <c r="R97" s="2151"/>
      <c r="S97" s="2151"/>
      <c r="T97" s="2151"/>
      <c r="U97" s="2151"/>
      <c r="V97" s="2151"/>
      <c r="W97" s="2151"/>
      <c r="X97" s="2151"/>
      <c r="Y97" s="2151"/>
      <c r="Z97" s="2151"/>
      <c r="AA97" s="2151"/>
      <c r="AB97" s="2151"/>
      <c r="AC97" s="2151"/>
    </row>
    <row r="98" spans="1:29">
      <c r="A98" s="738"/>
      <c r="B98" s="684"/>
      <c r="C98" s="897">
        <v>0.5</v>
      </c>
      <c r="D98" s="897">
        <v>0.6</v>
      </c>
      <c r="E98" s="897">
        <v>0.7</v>
      </c>
      <c r="F98" s="897">
        <v>0.8</v>
      </c>
      <c r="G98" s="897">
        <v>0.9</v>
      </c>
      <c r="H98" s="897">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1"/>
      <c r="B100" s="676" t="s">
        <v>756</v>
      </c>
      <c r="C100" s="691"/>
      <c r="D100" s="691"/>
      <c r="E100" s="691"/>
      <c r="F100" s="691"/>
      <c r="G100" s="691"/>
      <c r="H100" s="721"/>
      <c r="I100" s="721"/>
      <c r="J100" s="721"/>
      <c r="K100" s="722"/>
      <c r="L100" s="723"/>
      <c r="M100" s="724"/>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8"/>
      <c r="B102" s="1899" t="s">
        <v>2568</v>
      </c>
      <c r="C102" s="691"/>
      <c r="D102" s="691"/>
      <c r="E102" s="691"/>
      <c r="F102" s="691"/>
      <c r="G102" s="691"/>
      <c r="H102" s="721"/>
      <c r="I102" s="721"/>
      <c r="J102" s="721"/>
      <c r="K102" s="722"/>
      <c r="L102" s="723"/>
      <c r="M102" s="724"/>
      <c r="N102" s="2170"/>
      <c r="O102" s="2170"/>
      <c r="P102" s="2171"/>
      <c r="Q102" s="2164"/>
      <c r="R102" s="2151"/>
      <c r="S102" s="2151"/>
      <c r="T102" s="2151"/>
      <c r="U102" s="2151"/>
      <c r="V102" s="2151"/>
      <c r="W102" s="2151"/>
      <c r="X102" s="2151"/>
      <c r="Y102" s="2151"/>
      <c r="Z102" s="2151"/>
      <c r="AA102" s="2151"/>
      <c r="AB102" s="2151"/>
      <c r="AC102" s="2151"/>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8"/>
      <c r="B104" s="676" t="s">
        <v>758</v>
      </c>
      <c r="C104" s="691"/>
      <c r="D104" s="691"/>
      <c r="E104" s="691"/>
      <c r="F104" s="691"/>
      <c r="G104" s="691"/>
      <c r="H104" s="721"/>
      <c r="I104" s="721"/>
      <c r="J104" s="721"/>
      <c r="K104" s="722"/>
      <c r="L104" s="723"/>
      <c r="M104" s="724"/>
      <c r="N104" s="2170"/>
      <c r="O104" s="2170"/>
      <c r="P104" s="2171"/>
      <c r="Q104" s="2164"/>
      <c r="R104" s="2151"/>
      <c r="S104" s="2151"/>
      <c r="T104" s="2151"/>
      <c r="U104" s="2151"/>
      <c r="V104" s="2151"/>
      <c r="W104" s="2151"/>
      <c r="X104" s="2151"/>
      <c r="Y104" s="2151"/>
      <c r="Z104" s="2151"/>
      <c r="AA104" s="2151"/>
      <c r="AB104" s="2151"/>
      <c r="AC104" s="2151"/>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2"/>
      <c r="O105" s="2172"/>
      <c r="P105" s="2171"/>
      <c r="Q105" s="2164"/>
      <c r="R105" s="2151"/>
      <c r="S105" s="2151"/>
      <c r="T105" s="2151"/>
      <c r="U105" s="2151"/>
      <c r="V105" s="2151"/>
      <c r="W105" s="2151"/>
      <c r="X105" s="2151"/>
      <c r="Y105" s="2151"/>
      <c r="Z105" s="2151"/>
      <c r="AA105" s="2151"/>
      <c r="AB105" s="2151"/>
      <c r="AC105" s="2151"/>
    </row>
    <row r="106" spans="1:29" ht="27.75" thickTop="1">
      <c r="A106" s="738"/>
      <c r="B106" s="918" t="s">
        <v>794</v>
      </c>
      <c r="C106" s="711" t="s">
        <v>580</v>
      </c>
      <c r="D106" s="711" t="s">
        <v>581</v>
      </c>
      <c r="E106" s="711" t="s">
        <v>582</v>
      </c>
      <c r="F106" s="711" t="s">
        <v>583</v>
      </c>
      <c r="G106" s="711" t="s">
        <v>584</v>
      </c>
      <c r="H106" s="677"/>
      <c r="I106" s="677"/>
      <c r="J106" s="677"/>
      <c r="K106" s="678"/>
      <c r="L106" s="679"/>
      <c r="M106" s="680"/>
      <c r="N106" s="2172"/>
      <c r="O106" s="2172"/>
      <c r="P106" s="2211"/>
      <c r="Q106" s="2212"/>
      <c r="R106" s="2151"/>
      <c r="S106" s="2151"/>
      <c r="T106" s="2151"/>
      <c r="U106" s="2151"/>
      <c r="V106" s="2151"/>
      <c r="W106" s="2151"/>
      <c r="X106" s="2151"/>
      <c r="Y106" s="2151"/>
      <c r="Z106" s="2151"/>
      <c r="AA106" s="2151"/>
      <c r="AB106" s="2151"/>
      <c r="AC106" s="2151"/>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1"/>
      <c r="B108" s="676">
        <f>B38</f>
        <v>111</v>
      </c>
      <c r="C108" s="691"/>
      <c r="D108" s="691"/>
      <c r="E108" s="691"/>
      <c r="F108" s="691"/>
      <c r="G108" s="691"/>
      <c r="H108" s="692"/>
      <c r="I108" s="692"/>
      <c r="J108" s="692"/>
      <c r="K108" s="692"/>
      <c r="L108" s="693"/>
      <c r="M108" s="694"/>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90"/>
      <c r="B109" s="673"/>
      <c r="C109" s="695"/>
      <c r="D109" s="674"/>
      <c r="E109" s="674"/>
      <c r="F109" s="674"/>
      <c r="G109" s="695"/>
      <c r="H109" s="696"/>
      <c r="I109" s="696"/>
      <c r="J109" s="696"/>
      <c r="K109" s="696"/>
      <c r="L109" s="696"/>
      <c r="M109" s="697"/>
      <c r="N109" s="2173"/>
      <c r="O109" s="2173"/>
      <c r="P109" s="2174"/>
      <c r="Q109" s="2175"/>
      <c r="R109" s="2176"/>
      <c r="S109" s="2176"/>
      <c r="T109" s="2176"/>
      <c r="U109" s="2176"/>
      <c r="V109" s="2176"/>
      <c r="W109" s="2176"/>
      <c r="X109" s="2176"/>
      <c r="Y109" s="2176"/>
      <c r="Z109" s="2176"/>
      <c r="AA109" s="2176"/>
      <c r="AB109" s="2176"/>
      <c r="AC109" s="2176"/>
    </row>
    <row r="110" spans="1:29" ht="15" thickTop="1">
      <c r="A110" s="738"/>
      <c r="B110" s="676">
        <f>B39</f>
        <v>111</v>
      </c>
      <c r="C110" s="691"/>
      <c r="D110" s="691"/>
      <c r="E110" s="691"/>
      <c r="F110" s="691"/>
      <c r="G110" s="691"/>
      <c r="H110" s="692"/>
      <c r="I110" s="692"/>
      <c r="J110" s="692"/>
      <c r="K110" s="692"/>
      <c r="L110" s="693"/>
      <c r="M110" s="69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95"/>
      <c r="D111" s="674"/>
      <c r="E111" s="674"/>
      <c r="F111" s="674"/>
      <c r="G111" s="695"/>
      <c r="H111" s="696"/>
      <c r="I111" s="696"/>
      <c r="J111" s="696"/>
      <c r="K111" s="696"/>
      <c r="L111" s="696"/>
      <c r="M111" s="697"/>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84">
        <f>B40</f>
        <v>111</v>
      </c>
      <c r="C112" s="664"/>
      <c r="D112" s="664"/>
      <c r="E112" s="664"/>
      <c r="F112" s="664"/>
      <c r="G112" s="725"/>
      <c r="H112" s="725"/>
      <c r="I112" s="725"/>
      <c r="J112" s="725"/>
      <c r="K112" s="664"/>
      <c r="L112" s="665"/>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896"/>
      <c r="B113" s="702"/>
      <c r="C113" s="703"/>
      <c r="D113" s="703"/>
      <c r="E113" s="703"/>
      <c r="F113" s="703"/>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IF(B37="元/平方米",C39,ROUND(B2*10000/D3,0))</f>
        <v>#DIV/0!</v>
      </c>
      <c r="C3" s="855" t="s">
        <v>799</v>
      </c>
      <c r="D3" s="854">
        <f>SUMIF('数据-汇总表'!$C19:$C33,D1,'数据-汇总表'!$E19:$E33)</f>
        <v>0</v>
      </c>
      <c r="E3" s="1851" t="s">
        <v>2086</v>
      </c>
      <c r="F3" s="854">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36" t="s">
        <v>801</v>
      </c>
      <c r="D4" s="3437"/>
      <c r="E4" s="3436" t="s">
        <v>802</v>
      </c>
      <c r="F4" s="3437"/>
      <c r="G4" s="3436" t="s">
        <v>803</v>
      </c>
      <c r="H4" s="3437"/>
      <c r="I4" s="3436" t="s">
        <v>804</v>
      </c>
      <c r="J4" s="3437"/>
      <c r="K4" s="517" t="s">
        <v>805</v>
      </c>
      <c r="L4" s="2139"/>
      <c r="M4" s="2140"/>
      <c r="N4" s="2140"/>
      <c r="O4" s="2140"/>
      <c r="P4" s="3438" t="s">
        <v>806</v>
      </c>
      <c r="Q4" s="3439"/>
      <c r="R4" s="3424" t="s">
        <v>802</v>
      </c>
      <c r="S4" s="3425"/>
      <c r="T4" s="3424" t="s">
        <v>803</v>
      </c>
      <c r="U4" s="3425"/>
      <c r="V4" s="3444" t="s">
        <v>804</v>
      </c>
      <c r="W4" s="3444"/>
      <c r="X4" s="1569"/>
      <c r="Y4" s="3424" t="s">
        <v>806</v>
      </c>
      <c r="Z4" s="3425"/>
      <c r="AA4" s="3419" t="s">
        <v>802</v>
      </c>
      <c r="AB4" s="3420" t="s">
        <v>803</v>
      </c>
      <c r="AC4" s="3419" t="s">
        <v>804</v>
      </c>
    </row>
    <row r="5" spans="1:29" ht="15">
      <c r="A5" s="518"/>
      <c r="B5" s="519"/>
      <c r="C5" s="3447" t="s">
        <v>2935</v>
      </c>
      <c r="D5" s="3448"/>
      <c r="E5" s="3447" t="s">
        <v>2936</v>
      </c>
      <c r="F5" s="3448"/>
      <c r="G5" s="3447" t="s">
        <v>2937</v>
      </c>
      <c r="H5" s="3448"/>
      <c r="I5" s="3447" t="s">
        <v>2938</v>
      </c>
      <c r="J5" s="3448"/>
      <c r="K5" s="517"/>
      <c r="L5" s="2139"/>
      <c r="M5" s="2140"/>
      <c r="N5" s="2140"/>
      <c r="O5" s="2140"/>
      <c r="P5" s="3440"/>
      <c r="Q5" s="3441"/>
      <c r="R5" s="3426"/>
      <c r="S5" s="3427"/>
      <c r="T5" s="3426"/>
      <c r="U5" s="3427"/>
      <c r="V5" s="3444"/>
      <c r="W5" s="3444"/>
      <c r="X5" s="1569"/>
      <c r="Y5" s="3426"/>
      <c r="Z5" s="3427"/>
      <c r="AA5" s="3420"/>
      <c r="AB5" s="3420"/>
      <c r="AC5" s="3420"/>
    </row>
    <row r="6" spans="1:29" ht="15.75" thickBot="1">
      <c r="A6" s="520"/>
      <c r="B6" s="521"/>
      <c r="C6" s="3465" t="s">
        <v>2939</v>
      </c>
      <c r="D6" s="3446"/>
      <c r="E6" s="3534" t="s">
        <v>2939</v>
      </c>
      <c r="F6" s="3451"/>
      <c r="G6" s="3465" t="s">
        <v>2939</v>
      </c>
      <c r="H6" s="3446"/>
      <c r="I6" s="3465" t="s">
        <v>2939</v>
      </c>
      <c r="J6" s="3446"/>
      <c r="K6" s="517" t="s">
        <v>529</v>
      </c>
      <c r="L6" s="2139"/>
      <c r="M6" s="2140"/>
      <c r="N6" s="2140"/>
      <c r="O6" s="2140"/>
      <c r="P6" s="3442"/>
      <c r="Q6" s="3443"/>
      <c r="R6" s="3426"/>
      <c r="S6" s="3427"/>
      <c r="T6" s="3428"/>
      <c r="U6" s="3429"/>
      <c r="V6" s="3444"/>
      <c r="W6" s="3444"/>
      <c r="X6" s="1569"/>
      <c r="Y6" s="3428"/>
      <c r="Z6" s="3429"/>
      <c r="AA6" s="3421"/>
      <c r="AB6" s="3421"/>
      <c r="AC6" s="3421"/>
    </row>
    <row r="7" spans="1:29" s="1220" customFormat="1" ht="15.75" thickBot="1">
      <c r="A7" s="2947"/>
      <c r="B7" s="2954"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22" t="s">
        <v>531</v>
      </c>
      <c r="Q7" s="3431"/>
      <c r="R7" s="1570" t="s">
        <v>8</v>
      </c>
      <c r="S7" s="1571">
        <f t="shared" ref="S7:S14" si="0">F7</f>
        <v>0</v>
      </c>
      <c r="T7" s="1570" t="s">
        <v>8</v>
      </c>
      <c r="U7" s="1571">
        <f t="shared" ref="U7:U14" si="1">H7</f>
        <v>0</v>
      </c>
      <c r="V7" s="1570" t="s">
        <v>8</v>
      </c>
      <c r="W7" s="1571">
        <f t="shared" ref="W7:W14" si="2">J7</f>
        <v>0</v>
      </c>
      <c r="X7" s="1572"/>
      <c r="Y7" s="3422" t="s">
        <v>531</v>
      </c>
      <c r="Z7" s="3423"/>
      <c r="AA7" s="1573" t="e">
        <f>D7/F7</f>
        <v>#DIV/0!</v>
      </c>
      <c r="AB7" s="1573" t="e">
        <f>D7/H7</f>
        <v>#DIV/0!</v>
      </c>
      <c r="AC7" s="1573" t="e">
        <f>D7/J7</f>
        <v>#DIV/0!</v>
      </c>
    </row>
    <row r="8" spans="1:29" s="1220"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22" t="s">
        <v>534</v>
      </c>
      <c r="Q8" s="3423"/>
      <c r="R8" s="1570" t="s">
        <v>8</v>
      </c>
      <c r="S8" s="1571">
        <f t="shared" si="0"/>
        <v>0</v>
      </c>
      <c r="T8" s="1570" t="s">
        <v>8</v>
      </c>
      <c r="U8" s="1571">
        <f t="shared" si="1"/>
        <v>0</v>
      </c>
      <c r="V8" s="1570" t="s">
        <v>8</v>
      </c>
      <c r="W8" s="1571">
        <f t="shared" si="2"/>
        <v>0</v>
      </c>
      <c r="X8" s="1572"/>
      <c r="Y8" s="3422" t="s">
        <v>534</v>
      </c>
      <c r="Z8" s="3423"/>
      <c r="AA8" s="1573" t="e">
        <f t="shared" ref="AA8:AA36" si="3">D8/F8</f>
        <v>#DIV/0!</v>
      </c>
      <c r="AB8" s="1573" t="e">
        <f t="shared" ref="AB8:AB36" si="4">D8/H8</f>
        <v>#DIV/0!</v>
      </c>
      <c r="AC8" s="1573" t="e">
        <f t="shared" ref="AC8:AC36" si="5">D8/J8</f>
        <v>#DIV/0!</v>
      </c>
    </row>
    <row r="9" spans="1:29" s="1220" customFormat="1" ht="15">
      <c r="A9" s="2949"/>
      <c r="B9" s="2956" t="s">
        <v>2771</v>
      </c>
      <c r="C9" s="860"/>
      <c r="D9" s="254">
        <v>100</v>
      </c>
      <c r="E9" s="863"/>
      <c r="F9" s="254">
        <f>SUMIF(53:53,E9,54:54)-SUMIF(53:53,C9,54:54)+100</f>
        <v>100</v>
      </c>
      <c r="G9" s="861"/>
      <c r="H9" s="254">
        <f>SUMIF(53:53,G9,54:54)-SUMIF(53:53,C9,54:54)+100</f>
        <v>100</v>
      </c>
      <c r="I9" s="861"/>
      <c r="J9" s="254">
        <f>SUMIF(53:53,I9,54:54)-SUMIF(53:53,C9,54:54)+100</f>
        <v>100</v>
      </c>
      <c r="K9" s="527"/>
      <c r="L9" s="2141"/>
      <c r="M9" s="2142"/>
      <c r="N9" s="2142"/>
      <c r="O9" s="2143"/>
      <c r="P9" s="3430" t="s">
        <v>536</v>
      </c>
      <c r="Q9" s="1151" t="str">
        <f t="shared" ref="Q9:Q14" si="6">B9</f>
        <v>用途</v>
      </c>
      <c r="R9" s="1570" t="s">
        <v>8</v>
      </c>
      <c r="S9" s="1571">
        <f t="shared" si="0"/>
        <v>100</v>
      </c>
      <c r="T9" s="1570" t="s">
        <v>8</v>
      </c>
      <c r="U9" s="1571">
        <f t="shared" si="1"/>
        <v>100</v>
      </c>
      <c r="V9" s="1570" t="s">
        <v>8</v>
      </c>
      <c r="W9" s="1571">
        <f t="shared" si="2"/>
        <v>100</v>
      </c>
      <c r="X9" s="1572"/>
      <c r="Y9" s="3388"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SUMIF(55:55,E10,56:56)-SUMIF(55:55,C10,56:56)+100</f>
        <v>100</v>
      </c>
      <c r="G10" s="865"/>
      <c r="H10" s="255">
        <f>SUMIF(55:55,G10,56:56)-SUMIF(55:55,C10,56:56)+100</f>
        <v>100</v>
      </c>
      <c r="I10" s="864"/>
      <c r="J10" s="255">
        <f>SUMIF(55:55,I10,56:56)-SUMIF(55:55,C10,56:56)+100</f>
        <v>100</v>
      </c>
      <c r="K10" s="587"/>
      <c r="L10" s="2144"/>
      <c r="M10" s="2184"/>
      <c r="N10" s="2184"/>
      <c r="O10" s="2145"/>
      <c r="P10" s="3430"/>
      <c r="Q10" s="1151" t="str">
        <f t="shared" si="6"/>
        <v>土地使用年限（年）</v>
      </c>
      <c r="R10" s="1570" t="s">
        <v>8</v>
      </c>
      <c r="S10" s="1571">
        <f t="shared" si="0"/>
        <v>100</v>
      </c>
      <c r="T10" s="1570" t="s">
        <v>8</v>
      </c>
      <c r="U10" s="1571">
        <f t="shared" si="1"/>
        <v>100</v>
      </c>
      <c r="V10" s="1570" t="s">
        <v>8</v>
      </c>
      <c r="W10" s="1571">
        <f t="shared" si="2"/>
        <v>100</v>
      </c>
      <c r="X10" s="1572"/>
      <c r="Y10" s="3388"/>
      <c r="Z10" s="1150" t="str">
        <f t="shared" si="7"/>
        <v>土地使用年限（年）</v>
      </c>
      <c r="AA10" s="1573">
        <f t="shared" si="3"/>
        <v>1</v>
      </c>
      <c r="AB10" s="1573">
        <f t="shared" si="4"/>
        <v>1</v>
      </c>
      <c r="AC10" s="1573">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4"/>
      <c r="L11" s="2146"/>
      <c r="M11" s="2140"/>
      <c r="N11" s="2140"/>
      <c r="O11" s="2147"/>
      <c r="P11" s="3430"/>
      <c r="Q11" s="1151">
        <f t="shared" si="6"/>
        <v>111</v>
      </c>
      <c r="R11" s="1570" t="s">
        <v>8</v>
      </c>
      <c r="S11" s="1571">
        <f t="shared" si="0"/>
        <v>100</v>
      </c>
      <c r="T11" s="1570" t="s">
        <v>8</v>
      </c>
      <c r="U11" s="1571">
        <f t="shared" si="1"/>
        <v>100</v>
      </c>
      <c r="V11" s="1570" t="s">
        <v>8</v>
      </c>
      <c r="W11" s="1571">
        <f t="shared" si="2"/>
        <v>100</v>
      </c>
      <c r="X11" s="1572"/>
      <c r="Y11" s="3388"/>
      <c r="Z11" s="1150">
        <f t="shared" si="7"/>
        <v>111</v>
      </c>
      <c r="AA11" s="1573">
        <f t="shared" si="3"/>
        <v>1</v>
      </c>
      <c r="AB11" s="1573">
        <f t="shared" si="4"/>
        <v>1</v>
      </c>
      <c r="AC11" s="1573">
        <f t="shared" si="5"/>
        <v>1</v>
      </c>
    </row>
    <row r="12" spans="1:29" s="1220" customFormat="1" ht="15">
      <c r="A12" s="2952"/>
      <c r="B12" s="2958">
        <v>111</v>
      </c>
      <c r="C12" s="531"/>
      <c r="D12" s="541">
        <v>100</v>
      </c>
      <c r="E12" s="531"/>
      <c r="F12" s="255">
        <f>SUMIF(59:59,E12,60:60)-SUMIF(59:59,C12,60:60)+100</f>
        <v>100</v>
      </c>
      <c r="G12" s="531"/>
      <c r="H12" s="255">
        <f>SUMIF(59:59,G12,60:60)-SUMIF(59:59,C12,60:60)+100</f>
        <v>100</v>
      </c>
      <c r="I12" s="531"/>
      <c r="J12" s="255">
        <f>SUMIF(59:59,I12,60:60)-SUMIF(59:59,C12,60:60)+100</f>
        <v>100</v>
      </c>
      <c r="K12" s="584"/>
      <c r="L12" s="2141"/>
      <c r="M12" s="2142"/>
      <c r="N12" s="2142"/>
      <c r="O12" s="2143"/>
      <c r="P12" s="3430"/>
      <c r="Q12" s="1151">
        <f t="shared" si="6"/>
        <v>111</v>
      </c>
      <c r="R12" s="1570" t="s">
        <v>8</v>
      </c>
      <c r="S12" s="1571">
        <f t="shared" si="0"/>
        <v>100</v>
      </c>
      <c r="T12" s="1570" t="s">
        <v>8</v>
      </c>
      <c r="U12" s="1571">
        <f t="shared" si="1"/>
        <v>100</v>
      </c>
      <c r="V12" s="1570" t="s">
        <v>8</v>
      </c>
      <c r="W12" s="1571">
        <f t="shared" si="2"/>
        <v>100</v>
      </c>
      <c r="X12" s="1572"/>
      <c r="Y12" s="3388"/>
      <c r="Z12" s="1150">
        <f t="shared" si="7"/>
        <v>111</v>
      </c>
      <c r="AA12" s="1573">
        <f>D12/F12</f>
        <v>1</v>
      </c>
      <c r="AB12" s="1573">
        <f>D12/H12</f>
        <v>1</v>
      </c>
      <c r="AC12" s="1573">
        <f>D12/J12</f>
        <v>1</v>
      </c>
    </row>
    <row r="13" spans="1:29" ht="15.75" thickBot="1">
      <c r="A13" s="2953"/>
      <c r="B13" s="2959">
        <v>111</v>
      </c>
      <c r="C13" s="542"/>
      <c r="D13" s="543">
        <v>100</v>
      </c>
      <c r="E13" s="531"/>
      <c r="F13" s="255">
        <f>SUMIF(61:61,E13,62:62)-SUMIF(61:61,C13,62:62)+100</f>
        <v>100</v>
      </c>
      <c r="G13" s="531"/>
      <c r="H13" s="543">
        <f>SUMIF(61:61,G13,62:62)-SUMIF(61:61,C13,62:62)+100</f>
        <v>100</v>
      </c>
      <c r="I13" s="531"/>
      <c r="J13" s="543">
        <f>SUMIF(61:61,I13,62:62)-SUMIF(61:61,C13,62:62)+100</f>
        <v>100</v>
      </c>
      <c r="K13" s="584"/>
      <c r="L13" s="2148"/>
      <c r="M13" s="2140"/>
      <c r="N13" s="2140"/>
      <c r="O13" s="2147"/>
      <c r="P13" s="3430"/>
      <c r="Q13" s="1151">
        <f t="shared" si="6"/>
        <v>111</v>
      </c>
      <c r="R13" s="1570" t="s">
        <v>8</v>
      </c>
      <c r="S13" s="1571">
        <f t="shared" si="0"/>
        <v>100</v>
      </c>
      <c r="T13" s="1570" t="s">
        <v>8</v>
      </c>
      <c r="U13" s="1571">
        <f t="shared" si="1"/>
        <v>100</v>
      </c>
      <c r="V13" s="1570" t="s">
        <v>8</v>
      </c>
      <c r="W13" s="1571">
        <f t="shared" si="2"/>
        <v>100</v>
      </c>
      <c r="X13" s="1572"/>
      <c r="Y13" s="3388"/>
      <c r="Z13" s="1150">
        <f t="shared" si="7"/>
        <v>111</v>
      </c>
      <c r="AA13" s="1573">
        <f t="shared" si="3"/>
        <v>1</v>
      </c>
      <c r="AB13" s="1573">
        <f t="shared" si="4"/>
        <v>1</v>
      </c>
      <c r="AC13" s="1573">
        <f t="shared" si="5"/>
        <v>1</v>
      </c>
    </row>
    <row r="14" spans="1:29" ht="142.5">
      <c r="A14" s="2945" t="s">
        <v>2769</v>
      </c>
      <c r="B14" s="550"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8"/>
      <c r="M14" s="2140"/>
      <c r="N14" s="2140"/>
      <c r="O14" s="2147"/>
      <c r="P14" s="3432" t="s">
        <v>541</v>
      </c>
      <c r="Q14" s="1574" t="str">
        <f t="shared" si="6"/>
        <v>交通便捷度</v>
      </c>
      <c r="R14" s="1575" t="s">
        <v>8</v>
      </c>
      <c r="S14" s="1576">
        <f t="shared" si="0"/>
        <v>100</v>
      </c>
      <c r="T14" s="1575" t="s">
        <v>8</v>
      </c>
      <c r="U14" s="1576">
        <f t="shared" si="1"/>
        <v>100</v>
      </c>
      <c r="V14" s="1575" t="s">
        <v>8</v>
      </c>
      <c r="W14" s="1576">
        <f t="shared" si="2"/>
        <v>100</v>
      </c>
      <c r="X14" s="1569"/>
      <c r="Y14" s="3432" t="s">
        <v>541</v>
      </c>
      <c r="Z14" s="1577" t="str">
        <f t="shared" si="7"/>
        <v>交通便捷度</v>
      </c>
      <c r="AA14" s="1578">
        <f t="shared" si="3"/>
        <v>1</v>
      </c>
      <c r="AB14" s="1578">
        <f t="shared" si="4"/>
        <v>1</v>
      </c>
      <c r="AC14" s="1578">
        <f t="shared" si="5"/>
        <v>1</v>
      </c>
    </row>
    <row r="15" spans="1:29" ht="15">
      <c r="A15" s="518"/>
      <c r="B15" s="925"/>
      <c r="C15" s="579"/>
      <c r="D15" s="558"/>
      <c r="E15" s="579"/>
      <c r="F15" s="560"/>
      <c r="G15" s="579"/>
      <c r="H15" s="562"/>
      <c r="I15" s="579"/>
      <c r="J15" s="558"/>
      <c r="K15" s="902"/>
      <c r="L15" s="2148"/>
      <c r="M15" s="2140"/>
      <c r="N15" s="2140"/>
      <c r="O15" s="2147"/>
      <c r="P15" s="3433"/>
      <c r="Q15" s="1574"/>
      <c r="R15" s="1575"/>
      <c r="S15" s="1576"/>
      <c r="T15" s="1575"/>
      <c r="U15" s="1576"/>
      <c r="V15" s="1575"/>
      <c r="W15" s="1576"/>
      <c r="X15" s="1569"/>
      <c r="Y15" s="3433"/>
      <c r="Z15" s="1577"/>
      <c r="AA15" s="1578">
        <v>1</v>
      </c>
      <c r="AB15" s="1578">
        <v>1</v>
      </c>
      <c r="AC15" s="1578">
        <v>1</v>
      </c>
    </row>
    <row r="16" spans="1:29" ht="185.25">
      <c r="A16" s="518"/>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8"/>
      <c r="M16" s="2140"/>
      <c r="N16" s="2140"/>
      <c r="O16" s="2147"/>
      <c r="P16" s="3433"/>
      <c r="Q16" s="1574" t="str">
        <f>B16</f>
        <v>公共配套设施</v>
      </c>
      <c r="R16" s="1575" t="s">
        <v>8</v>
      </c>
      <c r="S16" s="1576">
        <f>F16</f>
        <v>100</v>
      </c>
      <c r="T16" s="1575" t="s">
        <v>8</v>
      </c>
      <c r="U16" s="1576">
        <f>H16</f>
        <v>100</v>
      </c>
      <c r="V16" s="1575" t="s">
        <v>8</v>
      </c>
      <c r="W16" s="1576">
        <f>J16</f>
        <v>100</v>
      </c>
      <c r="X16" s="1569"/>
      <c r="Y16" s="3433"/>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8"/>
      <c r="M17" s="2140"/>
      <c r="N17" s="2140"/>
      <c r="O17" s="2147"/>
      <c r="P17" s="3433"/>
      <c r="Q17" s="1574"/>
      <c r="R17" s="1575"/>
      <c r="S17" s="1576"/>
      <c r="T17" s="1575"/>
      <c r="U17" s="1576"/>
      <c r="V17" s="1575"/>
      <c r="W17" s="1576"/>
      <c r="X17" s="1569"/>
      <c r="Y17" s="3433"/>
      <c r="Z17" s="1577"/>
      <c r="AA17" s="1578">
        <v>1</v>
      </c>
      <c r="AB17" s="1578">
        <v>1</v>
      </c>
      <c r="AC17" s="1578">
        <v>1</v>
      </c>
    </row>
    <row r="18" spans="1:29" ht="42.75">
      <c r="A18" s="518"/>
      <c r="B18" s="2622" t="s">
        <v>2570</v>
      </c>
      <c r="C18" s="875" t="str">
        <f>IF(B1="工业",估价对象房地状况!G6,估价对象房地状况!C8)</f>
        <v>估价对象所在区域基础设施水平达“六通”。</v>
      </c>
      <c r="D18" s="562">
        <v>100</v>
      </c>
      <c r="E18" s="575"/>
      <c r="F18" s="574">
        <f>SUMIF(67:67,E19,68:68)-SUMIF(67:67,C19,68:68)+100</f>
        <v>100</v>
      </c>
      <c r="G18" s="575"/>
      <c r="H18" s="568">
        <f>SUMIF(67:67,G19,68:68)-SUMIF(67:67,C19,68:68)+100</f>
        <v>100</v>
      </c>
      <c r="I18" s="573"/>
      <c r="J18" s="568">
        <f>SUMIF(67:67,I19,68:68)-SUMIF(67:67,C19,68:68)+100</f>
        <v>100</v>
      </c>
      <c r="K18" s="901"/>
      <c r="L18" s="2148"/>
      <c r="M18" s="2140"/>
      <c r="N18" s="2140"/>
      <c r="O18" s="2147"/>
      <c r="P18" s="3433"/>
      <c r="Q18" s="2610" t="str">
        <f>B18</f>
        <v>基础设施水平</v>
      </c>
      <c r="R18" s="1575" t="s">
        <v>8</v>
      </c>
      <c r="S18" s="1576">
        <f>F18</f>
        <v>100</v>
      </c>
      <c r="T18" s="1575" t="s">
        <v>8</v>
      </c>
      <c r="U18" s="1576">
        <f>H18</f>
        <v>100</v>
      </c>
      <c r="V18" s="1575" t="s">
        <v>8</v>
      </c>
      <c r="W18" s="1576">
        <f>J18</f>
        <v>100</v>
      </c>
      <c r="X18" s="2612"/>
      <c r="Y18" s="3433"/>
      <c r="Z18" s="2611"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33"/>
      <c r="L19" s="2148"/>
      <c r="M19" s="2140"/>
      <c r="N19" s="2140"/>
      <c r="O19" s="2147"/>
      <c r="P19" s="3433"/>
      <c r="Q19" s="2610"/>
      <c r="R19" s="1575"/>
      <c r="S19" s="1576"/>
      <c r="T19" s="1575"/>
      <c r="U19" s="1576"/>
      <c r="V19" s="1575"/>
      <c r="W19" s="1576"/>
      <c r="X19" s="2612"/>
      <c r="Y19" s="3433"/>
      <c r="Z19" s="2611"/>
      <c r="AA19" s="1578">
        <v>1</v>
      </c>
      <c r="AB19" s="1578">
        <v>1</v>
      </c>
      <c r="AC19" s="1578">
        <v>1</v>
      </c>
    </row>
    <row r="20" spans="1:29" ht="142.5">
      <c r="A20" s="518"/>
      <c r="B20" s="563"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65"/>
      <c r="F20" s="566">
        <f>SUMIF(69:69,E21,70:70)-SUMIF(69:69,C21,70:70)+100</f>
        <v>100</v>
      </c>
      <c r="G20" s="567"/>
      <c r="H20" s="562">
        <f>SUMIF(69:69,G21,70:70)-SUMIF(69:69,C21,70:70)+100</f>
        <v>100</v>
      </c>
      <c r="I20" s="565"/>
      <c r="J20" s="562">
        <f>SUMIF(69:69,I21,70:70)-SUMIF(69:69,C21,70:70)+100</f>
        <v>100</v>
      </c>
      <c r="K20" s="901"/>
      <c r="L20" s="2148"/>
      <c r="M20" s="2140"/>
      <c r="N20" s="2140"/>
      <c r="O20" s="2147"/>
      <c r="P20" s="3433"/>
      <c r="Q20" s="1574" t="str">
        <f>B20</f>
        <v>自然及人文环境</v>
      </c>
      <c r="R20" s="1575" t="s">
        <v>8</v>
      </c>
      <c r="S20" s="1576">
        <f>F20</f>
        <v>100</v>
      </c>
      <c r="T20" s="1575" t="s">
        <v>8</v>
      </c>
      <c r="U20" s="1576">
        <f>H20</f>
        <v>100</v>
      </c>
      <c r="V20" s="1575" t="s">
        <v>8</v>
      </c>
      <c r="W20" s="1576">
        <f>J20</f>
        <v>100</v>
      </c>
      <c r="X20" s="1569"/>
      <c r="Y20" s="3433"/>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8"/>
      <c r="M21" s="2140"/>
      <c r="N21" s="2140"/>
      <c r="O21" s="2147"/>
      <c r="P21" s="3433"/>
      <c r="Q21" s="1574"/>
      <c r="R21" s="1575"/>
      <c r="S21" s="1576"/>
      <c r="T21" s="1575"/>
      <c r="U21" s="1576"/>
      <c r="V21" s="1575"/>
      <c r="W21" s="1576"/>
      <c r="X21" s="1569"/>
      <c r="Y21" s="3433"/>
      <c r="Z21" s="1577"/>
      <c r="AA21" s="1578">
        <v>1</v>
      </c>
      <c r="AB21" s="1578">
        <v>1</v>
      </c>
      <c r="AC21" s="157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48"/>
      <c r="M22" s="2140"/>
      <c r="N22" s="2140"/>
      <c r="O22" s="2147"/>
      <c r="P22" s="3433"/>
      <c r="Q22" s="1574" t="str">
        <f>B22</f>
        <v>楼层</v>
      </c>
      <c r="R22" s="1575" t="s">
        <v>8</v>
      </c>
      <c r="S22" s="1576">
        <f>F22</f>
        <v>100</v>
      </c>
      <c r="T22" s="1575" t="s">
        <v>8</v>
      </c>
      <c r="U22" s="1576">
        <f>H22</f>
        <v>100</v>
      </c>
      <c r="V22" s="1575" t="s">
        <v>8</v>
      </c>
      <c r="W22" s="1576">
        <f>J22</f>
        <v>100</v>
      </c>
      <c r="X22" s="1569"/>
      <c r="Y22" s="3433"/>
      <c r="Z22" s="1577" t="str">
        <f>Q22</f>
        <v>楼层</v>
      </c>
      <c r="AA22" s="1578">
        <f t="shared" si="3"/>
        <v>1</v>
      </c>
      <c r="AB22" s="1578">
        <f t="shared" si="4"/>
        <v>1</v>
      </c>
      <c r="AC22" s="1578">
        <f t="shared" si="5"/>
        <v>1</v>
      </c>
    </row>
    <row r="23" spans="1:29" ht="15">
      <c r="A23" s="518"/>
      <c r="B23" s="926">
        <v>111</v>
      </c>
      <c r="C23" s="531"/>
      <c r="D23" s="543">
        <v>100</v>
      </c>
      <c r="E23" s="531"/>
      <c r="F23" s="578">
        <f>SUMIF(73:73,E23,74:74)-SUMIF(73:73,C23,74:74)+100</f>
        <v>100</v>
      </c>
      <c r="G23" s="531"/>
      <c r="H23" s="543">
        <f>SUMIF(73:73,G23,74:74)-SUMIF(73:73,C23,74:74)+100</f>
        <v>100</v>
      </c>
      <c r="I23" s="531"/>
      <c r="J23" s="543">
        <f>SUMIF(73:73,I23,74:74)-SUMIF(73:73,C23,74:74)+100</f>
        <v>100</v>
      </c>
      <c r="K23" s="584"/>
      <c r="L23" s="2148"/>
      <c r="M23" s="2140"/>
      <c r="N23" s="2140"/>
      <c r="O23" s="2147"/>
      <c r="P23" s="3433"/>
      <c r="Q23" s="1574">
        <f>B23</f>
        <v>111</v>
      </c>
      <c r="R23" s="1575" t="s">
        <v>8</v>
      </c>
      <c r="S23" s="1576">
        <f>F23</f>
        <v>100</v>
      </c>
      <c r="T23" s="1575" t="s">
        <v>8</v>
      </c>
      <c r="U23" s="1576">
        <f>H23</f>
        <v>100</v>
      </c>
      <c r="V23" s="1575" t="s">
        <v>8</v>
      </c>
      <c r="W23" s="1576">
        <f>J23</f>
        <v>100</v>
      </c>
      <c r="X23" s="1569"/>
      <c r="Y23" s="3433"/>
      <c r="Z23" s="1577">
        <f>Q23</f>
        <v>111</v>
      </c>
      <c r="AA23" s="1578">
        <f t="shared" si="3"/>
        <v>1</v>
      </c>
      <c r="AB23" s="1578">
        <f t="shared" si="4"/>
        <v>1</v>
      </c>
      <c r="AC23" s="1578">
        <f t="shared" si="5"/>
        <v>1</v>
      </c>
    </row>
    <row r="24" spans="1:29" ht="15">
      <c r="A24" s="518"/>
      <c r="B24" s="926">
        <v>111</v>
      </c>
      <c r="C24" s="531"/>
      <c r="D24" s="543">
        <v>100</v>
      </c>
      <c r="E24" s="531"/>
      <c r="F24" s="578">
        <f>SUMIF(75:75,E24,76:76)-SUMIF(75:75,C24,76:76)+100</f>
        <v>100</v>
      </c>
      <c r="G24" s="531"/>
      <c r="H24" s="543">
        <f>SUMIF(75:75,G24,76:76)-SUMIF(75:75,C24,76:76)+100</f>
        <v>100</v>
      </c>
      <c r="I24" s="531"/>
      <c r="J24" s="543">
        <f>SUMIF(75:75,I24,76:76)-SUMIF(75:75,C24,76:76)+100</f>
        <v>100</v>
      </c>
      <c r="K24" s="584"/>
      <c r="L24" s="2148"/>
      <c r="M24" s="2140"/>
      <c r="N24" s="2140"/>
      <c r="O24" s="2147"/>
      <c r="P24" s="3433"/>
      <c r="Q24" s="1574">
        <f t="shared" ref="Q24:Q36" si="11">B24</f>
        <v>111</v>
      </c>
      <c r="R24" s="1575" t="s">
        <v>8</v>
      </c>
      <c r="S24" s="1576">
        <f>F24</f>
        <v>100</v>
      </c>
      <c r="T24" s="1575" t="s">
        <v>8</v>
      </c>
      <c r="U24" s="1576">
        <f>H24</f>
        <v>100</v>
      </c>
      <c r="V24" s="1575" t="s">
        <v>8</v>
      </c>
      <c r="W24" s="1576">
        <f>J24</f>
        <v>100</v>
      </c>
      <c r="X24" s="1569"/>
      <c r="Y24" s="3433"/>
      <c r="Z24" s="1577">
        <f>Q24</f>
        <v>111</v>
      </c>
      <c r="AA24" s="1578">
        <f t="shared" si="3"/>
        <v>1</v>
      </c>
      <c r="AB24" s="1578">
        <f t="shared" si="4"/>
        <v>1</v>
      </c>
      <c r="AC24" s="1578">
        <f t="shared" si="5"/>
        <v>1</v>
      </c>
    </row>
    <row r="25" spans="1:29" s="1220" customFormat="1" ht="15.75" thickBot="1">
      <c r="A25" s="580"/>
      <c r="B25" s="915">
        <v>111</v>
      </c>
      <c r="C25" s="548"/>
      <c r="D25" s="927">
        <v>100</v>
      </c>
      <c r="E25" s="912"/>
      <c r="F25" s="928">
        <f>SUMIF(77:77,E25,78:78)-SUMIF(77:77,C25,78:78)+100</f>
        <v>100</v>
      </c>
      <c r="G25" s="912"/>
      <c r="H25" s="927">
        <f>SUMIF(77:77,G25,78:78)-SUMIF(77:77,C25,78:78)+100</f>
        <v>100</v>
      </c>
      <c r="I25" s="912"/>
      <c r="J25" s="927">
        <f>SUMIF(77:77,I25,78:78)-SUMIF(77:77,C25,78:78)+100</f>
        <v>100</v>
      </c>
      <c r="K25" s="584"/>
      <c r="L25" s="2141"/>
      <c r="M25" s="2142"/>
      <c r="N25" s="2142"/>
      <c r="O25" s="2143"/>
      <c r="P25" s="3433"/>
      <c r="Q25" s="1151">
        <f t="shared" si="11"/>
        <v>111</v>
      </c>
      <c r="R25" s="1570" t="s">
        <v>8</v>
      </c>
      <c r="S25" s="1571">
        <f>F25</f>
        <v>100</v>
      </c>
      <c r="T25" s="1570" t="s">
        <v>8</v>
      </c>
      <c r="U25" s="1571">
        <f>H25</f>
        <v>100</v>
      </c>
      <c r="V25" s="1570" t="s">
        <v>8</v>
      </c>
      <c r="W25" s="1571">
        <f>J25</f>
        <v>100</v>
      </c>
      <c r="X25" s="1572"/>
      <c r="Y25" s="3433"/>
      <c r="Z25" s="1150">
        <f>Q25</f>
        <v>111</v>
      </c>
      <c r="AA25" s="1578">
        <f>D25/F25</f>
        <v>1</v>
      </c>
      <c r="AB25" s="1578">
        <f>D25/H25</f>
        <v>1</v>
      </c>
      <c r="AC25" s="1578">
        <f>D25/J25</f>
        <v>1</v>
      </c>
    </row>
    <row r="26" spans="1:29" ht="15">
      <c r="A26" s="2942" t="s">
        <v>2770</v>
      </c>
      <c r="B26" s="170" t="s">
        <v>809</v>
      </c>
      <c r="C26" s="929">
        <f>B1</f>
        <v>0</v>
      </c>
      <c r="D26" s="558">
        <v>100</v>
      </c>
      <c r="E26" s="579"/>
      <c r="F26" s="560">
        <f>SUMIF(79:79,E26,80:80)-SUMIF(79:79,C26,80:80)+100</f>
        <v>100</v>
      </c>
      <c r="G26" s="579"/>
      <c r="H26" s="558">
        <f>SUMIF(79:79,G26,80:80)-SUMIF(79:79,C26,80:80)+100</f>
        <v>100</v>
      </c>
      <c r="I26" s="579"/>
      <c r="J26" s="558">
        <f>SUMIF(79:79,I26,80:80)-SUMIF(79:79,C26,80:80)+100</f>
        <v>100</v>
      </c>
      <c r="K26" s="587"/>
      <c r="L26" s="2148"/>
      <c r="M26" s="2140"/>
      <c r="N26" s="2140"/>
      <c r="O26" s="2147"/>
      <c r="P26" s="343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35" t="s">
        <v>551</v>
      </c>
      <c r="Z26" s="1577" t="str">
        <f t="shared" ref="Z26:Z36" si="15">Q26</f>
        <v>配套类型</v>
      </c>
      <c r="AA26" s="1578">
        <f t="shared" si="3"/>
        <v>1</v>
      </c>
      <c r="AB26" s="1578">
        <f t="shared" si="4"/>
        <v>1</v>
      </c>
      <c r="AC26" s="1578">
        <f t="shared" si="5"/>
        <v>1</v>
      </c>
    </row>
    <row r="27" spans="1:29" s="1339" customFormat="1" ht="15">
      <c r="A27" s="930"/>
      <c r="B27" s="585" t="s">
        <v>810</v>
      </c>
      <c r="C27" s="931"/>
      <c r="D27" s="255">
        <v>100</v>
      </c>
      <c r="E27" s="931"/>
      <c r="F27" s="578">
        <f>SUMIF(81:81,E27,82:82)-SUMIF(81:81,C27,82:82)+100</f>
        <v>100</v>
      </c>
      <c r="G27" s="931"/>
      <c r="H27" s="543">
        <f>SUMIF(81:81,G27,82:82)-SUMIF(81:81,C27,82:82)+100</f>
        <v>100</v>
      </c>
      <c r="I27" s="931"/>
      <c r="J27" s="543">
        <f>SUMIF(81:81,I27,82:82)-SUMIF(81:81,C27,82:82)+100</f>
        <v>100</v>
      </c>
      <c r="K27" s="584"/>
      <c r="L27" s="2146"/>
      <c r="M27" s="2177"/>
      <c r="N27" s="2177"/>
      <c r="O27" s="2149"/>
      <c r="P27" s="3435"/>
      <c r="Q27" s="1607" t="str">
        <f t="shared" si="11"/>
        <v>项目停车位配比</v>
      </c>
      <c r="R27" s="1579" t="s">
        <v>8</v>
      </c>
      <c r="S27" s="1580">
        <f t="shared" si="12"/>
        <v>100</v>
      </c>
      <c r="T27" s="1579" t="s">
        <v>8</v>
      </c>
      <c r="U27" s="1580">
        <f t="shared" si="13"/>
        <v>100</v>
      </c>
      <c r="V27" s="1579" t="s">
        <v>8</v>
      </c>
      <c r="W27" s="1580">
        <f t="shared" si="14"/>
        <v>100</v>
      </c>
      <c r="X27" s="1581"/>
      <c r="Y27" s="3435"/>
      <c r="Z27" s="1582" t="str">
        <f t="shared" si="15"/>
        <v>项目停车位配比</v>
      </c>
      <c r="AA27" s="1578">
        <f t="shared" si="3"/>
        <v>1</v>
      </c>
      <c r="AB27" s="1578">
        <f t="shared" si="4"/>
        <v>1</v>
      </c>
      <c r="AC27" s="1578">
        <f t="shared" si="5"/>
        <v>1</v>
      </c>
    </row>
    <row r="28" spans="1:29" ht="15">
      <c r="A28" s="932"/>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48"/>
      <c r="M28" s="2140"/>
      <c r="N28" s="2140"/>
      <c r="O28" s="2147"/>
      <c r="P28" s="3435"/>
      <c r="Q28" s="1574" t="str">
        <f t="shared" si="11"/>
        <v>公共部分装修</v>
      </c>
      <c r="R28" s="1575" t="s">
        <v>8</v>
      </c>
      <c r="S28" s="1576">
        <f t="shared" si="12"/>
        <v>100</v>
      </c>
      <c r="T28" s="1575" t="s">
        <v>8</v>
      </c>
      <c r="U28" s="1576">
        <f t="shared" si="13"/>
        <v>100</v>
      </c>
      <c r="V28" s="1575" t="s">
        <v>8</v>
      </c>
      <c r="W28" s="1576">
        <f t="shared" si="14"/>
        <v>100</v>
      </c>
      <c r="X28" s="1569"/>
      <c r="Y28" s="3435"/>
      <c r="Z28" s="1577" t="str">
        <f t="shared" si="15"/>
        <v>公共部分装修</v>
      </c>
      <c r="AA28" s="1578">
        <f t="shared" si="3"/>
        <v>1</v>
      </c>
      <c r="AB28" s="1578">
        <f t="shared" si="4"/>
        <v>1</v>
      </c>
      <c r="AC28" s="1578">
        <f t="shared" si="5"/>
        <v>1</v>
      </c>
    </row>
    <row r="29" spans="1:29" ht="15">
      <c r="A29" s="932"/>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8"/>
      <c r="M29" s="2140"/>
      <c r="N29" s="2140"/>
      <c r="O29" s="2147"/>
      <c r="P29" s="3435"/>
      <c r="Q29" s="1574" t="str">
        <f t="shared" si="11"/>
        <v>成新率</v>
      </c>
      <c r="R29" s="1575" t="s">
        <v>8</v>
      </c>
      <c r="S29" s="1576" t="e">
        <f t="shared" si="12"/>
        <v>#N/A</v>
      </c>
      <c r="T29" s="1575" t="s">
        <v>8</v>
      </c>
      <c r="U29" s="1576" t="e">
        <f t="shared" si="13"/>
        <v>#N/A</v>
      </c>
      <c r="V29" s="1575" t="s">
        <v>8</v>
      </c>
      <c r="W29" s="1576" t="e">
        <f t="shared" si="14"/>
        <v>#N/A</v>
      </c>
      <c r="X29" s="1569"/>
      <c r="Y29" s="3435"/>
      <c r="Z29" s="1577" t="str">
        <f t="shared" si="15"/>
        <v>成新率</v>
      </c>
      <c r="AA29" s="1578" t="e">
        <f t="shared" si="3"/>
        <v>#N/A</v>
      </c>
      <c r="AB29" s="1578" t="e">
        <f t="shared" si="4"/>
        <v>#N/A</v>
      </c>
      <c r="AC29" s="1578" t="e">
        <f t="shared" si="5"/>
        <v>#N/A</v>
      </c>
    </row>
    <row r="30" spans="1:29" ht="15">
      <c r="A30" s="932"/>
      <c r="B30" s="585" t="s">
        <v>813</v>
      </c>
      <c r="C30" s="933"/>
      <c r="D30" s="543">
        <v>100</v>
      </c>
      <c r="E30" s="933"/>
      <c r="F30" s="578">
        <f>SUMIF(88:88,E30,89:89)-SUMIF(88:88,C30,89:89)+100</f>
        <v>100</v>
      </c>
      <c r="G30" s="933"/>
      <c r="H30" s="543">
        <f>SUMIF(88:88,E30,89:89)-SUMIF(88:88,C30,89:89)+100</f>
        <v>100</v>
      </c>
      <c r="I30" s="933"/>
      <c r="J30" s="543">
        <f>SUMIF(88:88,E30,89:89)-SUMIF(88:88,C30,89:89)+100</f>
        <v>100</v>
      </c>
      <c r="K30" s="587"/>
      <c r="L30" s="2148"/>
      <c r="M30" s="2140"/>
      <c r="N30" s="2140"/>
      <c r="O30" s="2147"/>
      <c r="P30" s="3435"/>
      <c r="Q30" s="1574" t="str">
        <f t="shared" si="11"/>
        <v>物业等级</v>
      </c>
      <c r="R30" s="1575" t="s">
        <v>8</v>
      </c>
      <c r="S30" s="1576">
        <f t="shared" si="12"/>
        <v>100</v>
      </c>
      <c r="T30" s="1575" t="s">
        <v>8</v>
      </c>
      <c r="U30" s="1576">
        <f t="shared" si="13"/>
        <v>100</v>
      </c>
      <c r="V30" s="1575" t="s">
        <v>8</v>
      </c>
      <c r="W30" s="1576">
        <f t="shared" si="14"/>
        <v>100</v>
      </c>
      <c r="X30" s="1569"/>
      <c r="Y30" s="3435"/>
      <c r="Z30" s="1577" t="str">
        <f t="shared" si="15"/>
        <v>物业等级</v>
      </c>
      <c r="AA30" s="1578">
        <f t="shared" si="3"/>
        <v>1</v>
      </c>
      <c r="AB30" s="1578">
        <f t="shared" si="4"/>
        <v>1</v>
      </c>
      <c r="AC30" s="1578">
        <f t="shared" si="5"/>
        <v>1</v>
      </c>
    </row>
    <row r="31" spans="1:29" s="1220" customFormat="1" ht="15">
      <c r="A31" s="934"/>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1"/>
      <c r="M31" s="2142"/>
      <c r="N31" s="2142"/>
      <c r="O31" s="2143"/>
      <c r="P31" s="3435"/>
      <c r="Q31" s="1151" t="str">
        <f t="shared" si="11"/>
        <v>停车位面积</v>
      </c>
      <c r="R31" s="1570" t="s">
        <v>8</v>
      </c>
      <c r="S31" s="1571" t="e">
        <f t="shared" si="12"/>
        <v>#N/A</v>
      </c>
      <c r="T31" s="1570" t="s">
        <v>8</v>
      </c>
      <c r="U31" s="1571" t="e">
        <f t="shared" si="13"/>
        <v>#N/A</v>
      </c>
      <c r="V31" s="1570" t="s">
        <v>8</v>
      </c>
      <c r="W31" s="1571" t="e">
        <f t="shared" si="14"/>
        <v>#N/A</v>
      </c>
      <c r="X31" s="1572"/>
      <c r="Y31" s="3435"/>
      <c r="Z31" s="1150" t="str">
        <f t="shared" si="15"/>
        <v>停车位面积</v>
      </c>
      <c r="AA31" s="1573" t="e">
        <f t="shared" si="3"/>
        <v>#N/A</v>
      </c>
      <c r="AB31" s="1573" t="e">
        <f t="shared" si="4"/>
        <v>#N/A</v>
      </c>
      <c r="AC31" s="1573" t="e">
        <f t="shared" si="5"/>
        <v>#N/A</v>
      </c>
    </row>
    <row r="32" spans="1:29" ht="15">
      <c r="A32" s="932"/>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48"/>
      <c r="M32" s="2140"/>
      <c r="N32" s="2140"/>
      <c r="O32" s="2147"/>
      <c r="P32" s="3435" t="s">
        <v>551</v>
      </c>
      <c r="Q32" s="1574" t="str">
        <f t="shared" si="11"/>
        <v>车位类型</v>
      </c>
      <c r="R32" s="1575" t="s">
        <v>8</v>
      </c>
      <c r="S32" s="1576">
        <f t="shared" si="12"/>
        <v>100</v>
      </c>
      <c r="T32" s="1575" t="s">
        <v>8</v>
      </c>
      <c r="U32" s="1576">
        <f t="shared" si="13"/>
        <v>100</v>
      </c>
      <c r="V32" s="1575" t="s">
        <v>8</v>
      </c>
      <c r="W32" s="1576">
        <f t="shared" si="14"/>
        <v>100</v>
      </c>
      <c r="X32" s="1569"/>
      <c r="Y32" s="3435" t="s">
        <v>551</v>
      </c>
      <c r="Z32" s="1577" t="str">
        <f t="shared" si="15"/>
        <v>车位类型</v>
      </c>
      <c r="AA32" s="1578">
        <f t="shared" si="3"/>
        <v>1</v>
      </c>
      <c r="AB32" s="1578">
        <f t="shared" si="4"/>
        <v>1</v>
      </c>
      <c r="AC32" s="1578">
        <f t="shared" si="5"/>
        <v>1</v>
      </c>
    </row>
    <row r="33" spans="1:29" ht="15">
      <c r="A33" s="932"/>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48"/>
      <c r="M33" s="2140"/>
      <c r="N33" s="2140"/>
      <c r="O33" s="2147"/>
      <c r="P33" s="3435"/>
      <c r="Q33" s="1574" t="str">
        <f t="shared" si="11"/>
        <v>是否直接入户</v>
      </c>
      <c r="R33" s="1575" t="s">
        <v>8</v>
      </c>
      <c r="S33" s="1576">
        <f t="shared" si="12"/>
        <v>100</v>
      </c>
      <c r="T33" s="1575" t="s">
        <v>8</v>
      </c>
      <c r="U33" s="1576">
        <f t="shared" si="13"/>
        <v>100</v>
      </c>
      <c r="V33" s="1575" t="s">
        <v>8</v>
      </c>
      <c r="W33" s="1576">
        <f t="shared" si="14"/>
        <v>100</v>
      </c>
      <c r="X33" s="1569"/>
      <c r="Y33" s="3435"/>
      <c r="Z33" s="1577" t="str">
        <f t="shared" si="15"/>
        <v>是否直接入户</v>
      </c>
      <c r="AA33" s="1578">
        <f t="shared" si="3"/>
        <v>1</v>
      </c>
      <c r="AB33" s="1578">
        <f t="shared" si="4"/>
        <v>1</v>
      </c>
      <c r="AC33" s="1578">
        <f t="shared" si="5"/>
        <v>1</v>
      </c>
    </row>
    <row r="34" spans="1:29" ht="15">
      <c r="A34" s="932"/>
      <c r="B34" s="926">
        <v>111</v>
      </c>
      <c r="C34" s="531"/>
      <c r="D34" s="543">
        <v>100</v>
      </c>
      <c r="E34" s="531"/>
      <c r="F34" s="578">
        <f>SUMIF(97:97,E34,98:98)-SUMIF(97:97,C34,98:98)+100</f>
        <v>100</v>
      </c>
      <c r="G34" s="531"/>
      <c r="H34" s="543">
        <f>SUMIF(97:97,G34,98:98)-SUMIF(97:97,C34,98:98)+100</f>
        <v>100</v>
      </c>
      <c r="I34" s="531"/>
      <c r="J34" s="543">
        <f>SUMIF(97:97,I34,98:98)-SUMIF(97:97,C34,98:98)+100</f>
        <v>100</v>
      </c>
      <c r="K34" s="584"/>
      <c r="L34" s="2148"/>
      <c r="M34" s="2140"/>
      <c r="N34" s="2140"/>
      <c r="O34" s="2147"/>
      <c r="P34" s="3435"/>
      <c r="Q34" s="1574">
        <f t="shared" si="11"/>
        <v>111</v>
      </c>
      <c r="R34" s="1575" t="s">
        <v>8</v>
      </c>
      <c r="S34" s="1576">
        <f t="shared" si="12"/>
        <v>100</v>
      </c>
      <c r="T34" s="1575" t="s">
        <v>8</v>
      </c>
      <c r="U34" s="1576">
        <f t="shared" si="13"/>
        <v>100</v>
      </c>
      <c r="V34" s="1575" t="s">
        <v>8</v>
      </c>
      <c r="W34" s="1576">
        <f t="shared" si="14"/>
        <v>100</v>
      </c>
      <c r="X34" s="1569"/>
      <c r="Y34" s="3435"/>
      <c r="Z34" s="1577">
        <f t="shared" si="15"/>
        <v>111</v>
      </c>
      <c r="AA34" s="1578">
        <f t="shared" si="3"/>
        <v>1</v>
      </c>
      <c r="AB34" s="1578">
        <f t="shared" si="4"/>
        <v>1</v>
      </c>
      <c r="AC34" s="1578">
        <f t="shared" si="5"/>
        <v>1</v>
      </c>
    </row>
    <row r="35" spans="1:29" s="1339" customFormat="1" ht="15">
      <c r="A35" s="930"/>
      <c r="B35" s="926">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6"/>
      <c r="M35" s="2177"/>
      <c r="N35" s="2177"/>
      <c r="O35" s="2149"/>
      <c r="P35" s="3435"/>
      <c r="Q35" s="1607">
        <f t="shared" si="11"/>
        <v>111</v>
      </c>
      <c r="R35" s="1579" t="s">
        <v>8</v>
      </c>
      <c r="S35" s="1580">
        <f t="shared" si="12"/>
        <v>100</v>
      </c>
      <c r="T35" s="1579" t="s">
        <v>8</v>
      </c>
      <c r="U35" s="1580">
        <f t="shared" si="13"/>
        <v>100</v>
      </c>
      <c r="V35" s="1579" t="s">
        <v>8</v>
      </c>
      <c r="W35" s="1580">
        <f t="shared" si="14"/>
        <v>100</v>
      </c>
      <c r="X35" s="1581"/>
      <c r="Y35" s="3435"/>
      <c r="Z35" s="1582">
        <f t="shared" si="15"/>
        <v>111</v>
      </c>
      <c r="AA35" s="1578">
        <f t="shared" si="3"/>
        <v>1</v>
      </c>
      <c r="AB35" s="1578">
        <f t="shared" si="4"/>
        <v>1</v>
      </c>
      <c r="AC35" s="1578">
        <f t="shared" si="5"/>
        <v>1</v>
      </c>
    </row>
    <row r="36" spans="1:29" ht="15.75" thickBot="1">
      <c r="A36" s="935"/>
      <c r="B36" s="915">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8"/>
      <c r="M36" s="2140"/>
      <c r="N36" s="2140"/>
      <c r="O36" s="2147"/>
      <c r="P36" s="3435"/>
      <c r="Q36" s="1574">
        <f t="shared" si="11"/>
        <v>111</v>
      </c>
      <c r="R36" s="1575" t="s">
        <v>8</v>
      </c>
      <c r="S36" s="1576">
        <f t="shared" si="12"/>
        <v>100</v>
      </c>
      <c r="T36" s="1575" t="s">
        <v>8</v>
      </c>
      <c r="U36" s="1576">
        <f t="shared" si="13"/>
        <v>100</v>
      </c>
      <c r="V36" s="1575" t="s">
        <v>8</v>
      </c>
      <c r="W36" s="1576">
        <f t="shared" si="14"/>
        <v>100</v>
      </c>
      <c r="X36" s="1569"/>
      <c r="Y36" s="3435"/>
      <c r="Z36" s="1577">
        <f t="shared" si="15"/>
        <v>111</v>
      </c>
      <c r="AA36" s="1578">
        <f t="shared" si="3"/>
        <v>1</v>
      </c>
      <c r="AB36" s="1578">
        <f t="shared" si="4"/>
        <v>1</v>
      </c>
      <c r="AC36" s="1578">
        <f t="shared" si="5"/>
        <v>1</v>
      </c>
    </row>
    <row r="37" spans="1:29" ht="15">
      <c r="A37" s="1849" t="s">
        <v>2087</v>
      </c>
      <c r="B37" s="1850" t="s">
        <v>2088</v>
      </c>
      <c r="C37" s="2658" t="s">
        <v>1</v>
      </c>
      <c r="D37" s="2659"/>
      <c r="E37" s="2660"/>
      <c r="F37" s="2661"/>
      <c r="G37" s="2662"/>
      <c r="H37" s="2663"/>
      <c r="I37" s="2660"/>
      <c r="J37" s="2663"/>
      <c r="K37" s="1613"/>
      <c r="L37" s="2150"/>
      <c r="M37" s="2151"/>
      <c r="N37" s="2140"/>
      <c r="O37" s="2151"/>
      <c r="P37" s="3430" t="str">
        <f>A37</f>
        <v>成交单价</v>
      </c>
      <c r="Q37" s="3430"/>
      <c r="R37" s="3528">
        <f>E37</f>
        <v>0</v>
      </c>
      <c r="S37" s="3528"/>
      <c r="T37" s="3528">
        <f>G37</f>
        <v>0</v>
      </c>
      <c r="U37" s="3528"/>
      <c r="V37" s="3528">
        <f>I37</f>
        <v>0</v>
      </c>
      <c r="W37" s="3528"/>
      <c r="X37" s="1561"/>
      <c r="Y37" s="1583"/>
      <c r="Z37" s="1561"/>
      <c r="AA37" s="1561"/>
      <c r="AB37" s="1561"/>
      <c r="AC37" s="1561"/>
    </row>
    <row r="38" spans="1:29" ht="15.75" thickBot="1">
      <c r="A38" s="618" t="s">
        <v>2775</v>
      </c>
      <c r="B38" s="891"/>
      <c r="C38" s="2664" t="e">
        <f>R39</f>
        <v>#DIV/0!</v>
      </c>
      <c r="D38" s="2665"/>
      <c r="E38" s="2666" t="e">
        <f>R38</f>
        <v>#DIV/0!</v>
      </c>
      <c r="F38" s="2666"/>
      <c r="G38" s="2664" t="e">
        <f>T38</f>
        <v>#DIV/0!</v>
      </c>
      <c r="H38" s="2665"/>
      <c r="I38" s="2666" t="e">
        <f>V38</f>
        <v>#DIV/0!</v>
      </c>
      <c r="J38" s="2665"/>
      <c r="K38" s="1614"/>
      <c r="L38" s="2150"/>
      <c r="M38" s="2151"/>
      <c r="N38" s="2151"/>
      <c r="O38" s="2151"/>
      <c r="P38" s="3430" t="str">
        <f>A38</f>
        <v>比较价格（元/平方米）</v>
      </c>
      <c r="Q38" s="3430"/>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61"/>
      <c r="Y38" s="1561"/>
      <c r="Z38" s="1561"/>
      <c r="AA38" s="1561"/>
      <c r="AB38" s="1561"/>
      <c r="AC38" s="1561"/>
    </row>
    <row r="39" spans="1:29" ht="15.75" thickBot="1">
      <c r="A39" s="624" t="s">
        <v>2941</v>
      </c>
      <c r="B39" s="625"/>
      <c r="C39" s="2667" t="e">
        <f>R39</f>
        <v>#DIV/0!</v>
      </c>
      <c r="D39" s="2667"/>
      <c r="E39" s="2667"/>
      <c r="F39" s="2667"/>
      <c r="G39" s="2667"/>
      <c r="H39" s="2667"/>
      <c r="I39" s="2667"/>
      <c r="J39" s="2667"/>
      <c r="K39" s="1615"/>
      <c r="L39" s="2150"/>
      <c r="M39" s="2151"/>
      <c r="N39" s="2151"/>
      <c r="O39" s="2151"/>
      <c r="P39" s="3452" t="str">
        <f>A39</f>
        <v>估价对象XX用房的比较价格（楼面单价，元/平方米）</v>
      </c>
      <c r="Q39" s="3453"/>
      <c r="R39" s="3527" t="e">
        <f>IF(F1="售价",ROUND(AVERAGE(R38:V38),0),ROUND(AVERAGE(R38:V38),1))</f>
        <v>#DIV/0!</v>
      </c>
      <c r="S39" s="3527"/>
      <c r="T39" s="3527"/>
      <c r="U39" s="3527"/>
      <c r="V39" s="3527"/>
      <c r="W39" s="3527"/>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8" t="s">
        <v>530</v>
      </c>
      <c r="B48" s="649"/>
      <c r="C48" s="2837" t="str">
        <f>YEAR(C7)&amp;"-"&amp;MONTH(C7)</f>
        <v>2017-6</v>
      </c>
      <c r="D48" s="2839">
        <f>EDATE(C48,-1)</f>
        <v>42856</v>
      </c>
      <c r="E48" s="2839">
        <f t="shared" ref="E48:O48" si="16">EDATE(D48,-1)</f>
        <v>42826</v>
      </c>
      <c r="F48" s="2839">
        <f t="shared" si="16"/>
        <v>42795</v>
      </c>
      <c r="G48" s="2839">
        <f t="shared" si="16"/>
        <v>42767</v>
      </c>
      <c r="H48" s="2839">
        <f t="shared" si="16"/>
        <v>42736</v>
      </c>
      <c r="I48" s="2839">
        <f t="shared" si="16"/>
        <v>42705</v>
      </c>
      <c r="J48" s="2839">
        <f t="shared" si="16"/>
        <v>42675</v>
      </c>
      <c r="K48" s="2839">
        <f t="shared" si="16"/>
        <v>42644</v>
      </c>
      <c r="L48" s="2839">
        <f t="shared" si="16"/>
        <v>42614</v>
      </c>
      <c r="M48" s="2839">
        <f t="shared" si="16"/>
        <v>42583</v>
      </c>
      <c r="N48" s="2839">
        <f t="shared" si="16"/>
        <v>42552</v>
      </c>
      <c r="O48" s="2839">
        <f t="shared" si="16"/>
        <v>42522</v>
      </c>
      <c r="P48" s="2166"/>
      <c r="Q48" s="2167"/>
      <c r="R48" s="2167"/>
      <c r="S48" s="2167"/>
      <c r="T48" s="2167"/>
      <c r="U48" s="2167"/>
      <c r="V48" s="2167"/>
      <c r="W48" s="2167"/>
      <c r="X48" s="2167"/>
      <c r="Y48" s="2167"/>
      <c r="Z48" s="2167"/>
      <c r="AA48" s="2167"/>
      <c r="AB48" s="2167"/>
      <c r="AC48" s="2167"/>
    </row>
    <row r="49" spans="1:29" s="1220" customFormat="1" ht="15">
      <c r="A49" s="650"/>
      <c r="B49" s="651"/>
      <c r="C49" s="2838">
        <v>100</v>
      </c>
      <c r="D49" s="653"/>
      <c r="E49" s="653"/>
      <c r="F49" s="653"/>
      <c r="G49" s="653"/>
      <c r="H49" s="653"/>
      <c r="I49" s="653"/>
      <c r="J49" s="653"/>
      <c r="K49" s="653"/>
      <c r="L49" s="653"/>
      <c r="M49" s="654"/>
      <c r="N49" s="653"/>
      <c r="O49" s="655"/>
      <c r="P49" s="2164"/>
      <c r="Q49" s="1995"/>
      <c r="R49" s="1995"/>
      <c r="S49" s="1995"/>
      <c r="T49" s="1995"/>
      <c r="U49" s="1995"/>
      <c r="V49" s="1995"/>
      <c r="W49" s="1995"/>
      <c r="X49" s="1995"/>
      <c r="Y49" s="1995"/>
      <c r="Z49" s="1995"/>
      <c r="AA49" s="1995"/>
      <c r="AB49" s="1995"/>
      <c r="AC49" s="1995"/>
    </row>
    <row r="50" spans="1:29" s="1220" customFormat="1" ht="15.75" thickBot="1">
      <c r="A50" s="656" t="s">
        <v>576</v>
      </c>
      <c r="B50" s="657"/>
      <c r="C50" s="658"/>
      <c r="D50" s="659"/>
      <c r="E50" s="659"/>
      <c r="F50" s="659"/>
      <c r="G50" s="659"/>
      <c r="H50" s="659"/>
      <c r="I50" s="659"/>
      <c r="J50" s="659"/>
      <c r="K50" s="659"/>
      <c r="L50" s="659"/>
      <c r="M50" s="660"/>
      <c r="N50" s="659"/>
      <c r="O50" s="661"/>
      <c r="P50" s="2164"/>
      <c r="Q50" s="2164"/>
      <c r="R50" s="1995"/>
      <c r="S50" s="1995"/>
      <c r="T50" s="1995"/>
      <c r="U50" s="1995"/>
      <c r="V50" s="1995"/>
      <c r="W50" s="1995"/>
      <c r="X50" s="1995"/>
      <c r="Y50" s="1995"/>
      <c r="Z50" s="1995"/>
      <c r="AA50" s="1995"/>
      <c r="AB50" s="1995"/>
      <c r="AC50" s="1995"/>
    </row>
    <row r="51" spans="1:29" s="1220" customFormat="1" ht="15">
      <c r="A51" s="662" t="s">
        <v>532</v>
      </c>
      <c r="B51" s="651"/>
      <c r="C51" s="663" t="s">
        <v>577</v>
      </c>
      <c r="D51" s="664"/>
      <c r="E51" s="664"/>
      <c r="F51" s="664"/>
      <c r="G51" s="664"/>
      <c r="H51" s="664"/>
      <c r="I51" s="664"/>
      <c r="J51" s="664"/>
      <c r="K51" s="664"/>
      <c r="L51" s="665"/>
      <c r="M51" s="666"/>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2"/>
      <c r="B52" s="651"/>
      <c r="C52" s="652">
        <v>100</v>
      </c>
      <c r="D52" s="653"/>
      <c r="E52" s="653"/>
      <c r="F52" s="653"/>
      <c r="G52" s="653"/>
      <c r="H52" s="653"/>
      <c r="I52" s="653"/>
      <c r="J52" s="653"/>
      <c r="K52" s="653"/>
      <c r="L52" s="653"/>
      <c r="M52" s="655"/>
      <c r="N52" s="2168"/>
      <c r="O52" s="2168"/>
      <c r="P52" s="2164"/>
      <c r="Q52" s="2164"/>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70"/>
      <c r="O53" s="2170"/>
      <c r="P53" s="2171"/>
      <c r="Q53" s="2164"/>
      <c r="R53" s="2151"/>
      <c r="S53" s="2151"/>
      <c r="T53" s="2151"/>
      <c r="U53" s="2151"/>
      <c r="V53" s="2151"/>
      <c r="W53" s="2151"/>
      <c r="X53" s="2151"/>
      <c r="Y53" s="2151"/>
      <c r="Z53" s="2151"/>
      <c r="AA53" s="2151"/>
      <c r="AB53" s="2151"/>
      <c r="AC53" s="2151"/>
    </row>
    <row r="54" spans="1:29" ht="15.75" thickBot="1">
      <c r="A54" s="672"/>
      <c r="B54" s="673"/>
      <c r="C54" s="674"/>
      <c r="D54" s="674"/>
      <c r="E54" s="674"/>
      <c r="F54" s="674"/>
      <c r="G54" s="674"/>
      <c r="H54" s="674"/>
      <c r="I54" s="674"/>
      <c r="J54" s="674"/>
      <c r="K54" s="674"/>
      <c r="L54" s="674"/>
      <c r="M54" s="675"/>
      <c r="N54" s="2172"/>
      <c r="O54" s="2172"/>
      <c r="P54" s="2171"/>
      <c r="Q54" s="2164"/>
      <c r="R54" s="2151"/>
      <c r="S54" s="2151"/>
      <c r="T54" s="2151"/>
      <c r="U54" s="2151"/>
      <c r="V54" s="2151"/>
      <c r="W54" s="2151"/>
      <c r="X54" s="2151"/>
      <c r="Y54" s="2151"/>
      <c r="Z54" s="2151"/>
      <c r="AA54" s="2151"/>
      <c r="AB54" s="2151"/>
      <c r="AC54" s="2151"/>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0"/>
      <c r="O55" s="2170"/>
      <c r="P55" s="2171"/>
      <c r="Q55" s="2164"/>
      <c r="R55" s="2151"/>
      <c r="S55" s="2151"/>
      <c r="T55" s="2151"/>
      <c r="U55" s="2151"/>
      <c r="V55" s="2151"/>
      <c r="W55" s="2151"/>
      <c r="X55" s="2151"/>
      <c r="Y55" s="2151"/>
      <c r="Z55" s="2151"/>
      <c r="AA55" s="2151"/>
      <c r="AB55" s="2151"/>
      <c r="AC55" s="2151"/>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2"/>
      <c r="O56" s="2172"/>
      <c r="P56" s="2171"/>
      <c r="Q56" s="2164"/>
      <c r="R56" s="2151"/>
      <c r="S56" s="2151"/>
      <c r="T56" s="2151"/>
      <c r="U56" s="2151"/>
      <c r="V56" s="2151"/>
      <c r="W56" s="2151"/>
      <c r="X56" s="2151"/>
      <c r="Y56" s="2151"/>
      <c r="Z56" s="2151"/>
      <c r="AA56" s="2151"/>
      <c r="AB56" s="2151"/>
      <c r="AC56" s="2151"/>
    </row>
    <row r="57" spans="1:29" ht="15.75" thickTop="1">
      <c r="A57" s="672"/>
      <c r="B57" s="936">
        <f>B11</f>
        <v>111</v>
      </c>
      <c r="C57" s="544"/>
      <c r="D57" s="544"/>
      <c r="E57" s="544"/>
      <c r="F57" s="544"/>
      <c r="G57" s="544"/>
      <c r="H57" s="544"/>
      <c r="I57" s="544"/>
      <c r="J57" s="544"/>
      <c r="K57" s="687"/>
      <c r="L57" s="688"/>
      <c r="M57" s="689"/>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95"/>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s="1339" customFormat="1" ht="15.75" thickTop="1">
      <c r="A59" s="690"/>
      <c r="B59" s="676">
        <f>B12</f>
        <v>111</v>
      </c>
      <c r="C59" s="544"/>
      <c r="D59" s="544"/>
      <c r="E59" s="544"/>
      <c r="F59" s="544"/>
      <c r="G59" s="691"/>
      <c r="H59" s="692"/>
      <c r="I59" s="692"/>
      <c r="J59" s="692"/>
      <c r="K59" s="692"/>
      <c r="L59" s="693"/>
      <c r="M59" s="694"/>
      <c r="N59" s="2173"/>
      <c r="O59" s="2173"/>
      <c r="P59" s="2174"/>
      <c r="Q59" s="2175"/>
      <c r="R59" s="2176"/>
      <c r="S59" s="2176"/>
      <c r="T59" s="2176"/>
      <c r="U59" s="2176"/>
      <c r="V59" s="2176"/>
      <c r="W59" s="2176"/>
      <c r="X59" s="2176"/>
      <c r="Y59" s="2176"/>
      <c r="Z59" s="2176"/>
      <c r="AA59" s="2176"/>
      <c r="AB59" s="2176"/>
      <c r="AC59" s="2176"/>
    </row>
    <row r="60" spans="1:29" s="1339" customFormat="1" ht="15.75" thickBot="1">
      <c r="A60" s="690"/>
      <c r="B60" s="681"/>
      <c r="C60" s="695"/>
      <c r="D60" s="674"/>
      <c r="E60" s="674"/>
      <c r="F60" s="674"/>
      <c r="G60" s="674"/>
      <c r="H60" s="674"/>
      <c r="I60" s="674"/>
      <c r="J60" s="674"/>
      <c r="K60" s="674"/>
      <c r="L60" s="674"/>
      <c r="M60" s="675"/>
      <c r="N60" s="2172"/>
      <c r="O60" s="2172"/>
      <c r="P60" s="2174"/>
      <c r="Q60" s="2175"/>
      <c r="R60" s="2176"/>
      <c r="S60" s="2176"/>
      <c r="T60" s="2176"/>
      <c r="U60" s="2176"/>
      <c r="V60" s="2176"/>
      <c r="W60" s="2176"/>
      <c r="X60" s="2176"/>
      <c r="Y60" s="2176"/>
      <c r="Z60" s="2176"/>
      <c r="AA60" s="2176"/>
      <c r="AB60" s="2176"/>
      <c r="AC60" s="2176"/>
    </row>
    <row r="61" spans="1:29" s="1339" customFormat="1" ht="15.75" thickTop="1">
      <c r="A61" s="690"/>
      <c r="B61" s="676">
        <f>B13</f>
        <v>111</v>
      </c>
      <c r="C61" s="691"/>
      <c r="D61" s="691"/>
      <c r="E61" s="691"/>
      <c r="F61" s="691"/>
      <c r="G61" s="691"/>
      <c r="H61" s="692"/>
      <c r="I61" s="692"/>
      <c r="J61" s="692"/>
      <c r="K61" s="692"/>
      <c r="L61" s="693"/>
      <c r="M61" s="694"/>
      <c r="N61" s="2173"/>
      <c r="O61" s="2173"/>
      <c r="P61" s="2177"/>
      <c r="Q61" s="2178"/>
      <c r="R61" s="2176"/>
      <c r="S61" s="2176"/>
      <c r="T61" s="2176"/>
      <c r="U61" s="2176"/>
      <c r="V61" s="2176"/>
      <c r="W61" s="2176"/>
      <c r="X61" s="2176"/>
      <c r="Y61" s="2176"/>
      <c r="Z61" s="2176"/>
      <c r="AA61" s="2176"/>
      <c r="AB61" s="2176"/>
      <c r="AC61" s="2176"/>
    </row>
    <row r="62" spans="1:29" s="1339" customFormat="1" ht="15.75" thickBot="1">
      <c r="A62" s="690"/>
      <c r="B62" s="681"/>
      <c r="C62" s="695"/>
      <c r="D62" s="695"/>
      <c r="E62" s="695"/>
      <c r="F62" s="695"/>
      <c r="G62" s="695"/>
      <c r="H62" s="696"/>
      <c r="I62" s="696"/>
      <c r="J62" s="696"/>
      <c r="K62" s="696"/>
      <c r="L62" s="696"/>
      <c r="M62" s="697"/>
      <c r="N62" s="2173"/>
      <c r="O62" s="2173"/>
      <c r="P62" s="2174"/>
      <c r="Q62" s="2175"/>
      <c r="R62" s="2176"/>
      <c r="S62" s="2176"/>
      <c r="T62" s="2176"/>
      <c r="U62" s="2176"/>
      <c r="V62" s="2176"/>
      <c r="W62" s="2176"/>
      <c r="X62" s="2176"/>
      <c r="Y62" s="2176"/>
      <c r="Z62" s="2176"/>
      <c r="AA62" s="2176"/>
      <c r="AB62" s="2176"/>
      <c r="AC62" s="2176"/>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0"/>
      <c r="O63" s="2170"/>
      <c r="P63" s="2180"/>
      <c r="Q63" s="2164"/>
      <c r="R63" s="2151"/>
      <c r="S63" s="2151"/>
      <c r="T63" s="2151"/>
      <c r="U63" s="2151"/>
      <c r="V63" s="2151"/>
      <c r="W63" s="2151"/>
      <c r="X63" s="2151"/>
      <c r="Y63" s="2151"/>
      <c r="Z63" s="2151"/>
      <c r="AA63" s="2151"/>
      <c r="AB63" s="2151"/>
      <c r="AC63" s="2151"/>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1899" t="s">
        <v>2569</v>
      </c>
      <c r="C65" s="711" t="s">
        <v>580</v>
      </c>
      <c r="D65" s="711" t="s">
        <v>581</v>
      </c>
      <c r="E65" s="711" t="s">
        <v>582</v>
      </c>
      <c r="F65" s="711" t="s">
        <v>583</v>
      </c>
      <c r="G65" s="711" t="s">
        <v>584</v>
      </c>
      <c r="H65" s="677"/>
      <c r="I65" s="677"/>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2628" t="s">
        <v>2570</v>
      </c>
      <c r="C67" s="2629" t="s">
        <v>2571</v>
      </c>
      <c r="D67" s="2629" t="s">
        <v>2572</v>
      </c>
      <c r="E67" s="2629" t="s">
        <v>2573</v>
      </c>
      <c r="F67" s="2629" t="s">
        <v>2574</v>
      </c>
      <c r="G67" s="2629" t="s">
        <v>2575</v>
      </c>
      <c r="H67" s="677"/>
      <c r="I67" s="677"/>
      <c r="J67" s="677"/>
      <c r="K67" s="677"/>
      <c r="L67" s="677"/>
      <c r="M67" s="2632"/>
      <c r="N67" s="2172"/>
      <c r="O67" s="2172"/>
      <c r="P67" s="2171"/>
      <c r="Q67" s="2164"/>
      <c r="R67" s="2151"/>
      <c r="S67" s="2151"/>
      <c r="T67" s="2151"/>
      <c r="U67" s="2151"/>
      <c r="V67" s="2151"/>
      <c r="W67" s="2151"/>
      <c r="X67" s="2151"/>
      <c r="Y67" s="2151"/>
      <c r="Z67" s="2151"/>
      <c r="AA67" s="2151"/>
      <c r="AB67" s="2151"/>
      <c r="AC67" s="2151"/>
    </row>
    <row r="68" spans="1:29" ht="15.75" thickBot="1">
      <c r="A68" s="672"/>
      <c r="B68" s="684"/>
      <c r="C68" s="682">
        <v>100</v>
      </c>
      <c r="D68" s="682">
        <f>C68-$K18</f>
        <v>100</v>
      </c>
      <c r="E68" s="682">
        <f>D68-$K18</f>
        <v>100</v>
      </c>
      <c r="F68" s="682">
        <f>E68-$K18</f>
        <v>100</v>
      </c>
      <c r="G68" s="682">
        <f>F68-$K18</f>
        <v>100</v>
      </c>
      <c r="H68" s="936"/>
      <c r="I68" s="936"/>
      <c r="J68" s="936"/>
      <c r="K68" s="936"/>
      <c r="L68" s="936"/>
      <c r="M68" s="562"/>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747</v>
      </c>
      <c r="C69" s="711" t="s">
        <v>580</v>
      </c>
      <c r="D69" s="711" t="s">
        <v>581</v>
      </c>
      <c r="E69" s="711" t="s">
        <v>582</v>
      </c>
      <c r="F69" s="711" t="s">
        <v>583</v>
      </c>
      <c r="G69" s="711" t="s">
        <v>584</v>
      </c>
      <c r="H69" s="677"/>
      <c r="I69" s="677"/>
      <c r="J69" s="677"/>
      <c r="K69" s="678"/>
      <c r="L69" s="679"/>
      <c r="M69" s="680"/>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ht="15.75" thickTop="1">
      <c r="A71" s="672"/>
      <c r="B71" s="676" t="s">
        <v>748</v>
      </c>
      <c r="C71" s="691"/>
      <c r="D71" s="691"/>
      <c r="E71" s="691"/>
      <c r="F71" s="691"/>
      <c r="G71" s="691"/>
      <c r="H71" s="721"/>
      <c r="I71" s="721"/>
      <c r="J71" s="721"/>
      <c r="K71" s="722"/>
      <c r="L71" s="723"/>
      <c r="M71" s="724"/>
      <c r="N71" s="2170"/>
      <c r="O71" s="2170"/>
      <c r="P71" s="2171"/>
      <c r="Q71" s="2164"/>
      <c r="R71" s="2151"/>
      <c r="S71" s="2151"/>
      <c r="T71" s="2151"/>
      <c r="U71" s="2151"/>
      <c r="V71" s="2151"/>
      <c r="W71" s="2151"/>
      <c r="X71" s="2151"/>
      <c r="Y71" s="2151"/>
      <c r="Z71" s="2151"/>
      <c r="AA71" s="2151"/>
      <c r="AB71" s="2151"/>
      <c r="AC71" s="2151"/>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2"/>
      <c r="B73" s="676">
        <f>B23</f>
        <v>111</v>
      </c>
      <c r="C73" s="544"/>
      <c r="D73" s="544"/>
      <c r="E73" s="544"/>
      <c r="F73" s="544"/>
      <c r="G73" s="691"/>
      <c r="H73" s="691"/>
      <c r="I73" s="691"/>
      <c r="J73" s="691"/>
      <c r="K73" s="691"/>
      <c r="L73" s="893"/>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2"/>
      <c r="B75" s="676">
        <f>B24</f>
        <v>111</v>
      </c>
      <c r="C75" s="544"/>
      <c r="D75" s="544"/>
      <c r="E75" s="544"/>
      <c r="F75" s="544"/>
      <c r="G75" s="691"/>
      <c r="H75" s="691"/>
      <c r="I75" s="691"/>
      <c r="J75" s="691"/>
      <c r="K75" s="691"/>
      <c r="L75" s="691"/>
      <c r="M75" s="894"/>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2"/>
      <c r="B76" s="681"/>
      <c r="C76" s="695"/>
      <c r="D76" s="674"/>
      <c r="E76" s="674"/>
      <c r="F76" s="674"/>
      <c r="G76" s="674"/>
      <c r="H76" s="674"/>
      <c r="I76" s="674"/>
      <c r="J76" s="674"/>
      <c r="K76" s="674"/>
      <c r="L76" s="674"/>
      <c r="M76" s="675"/>
      <c r="N76" s="2172"/>
      <c r="O76" s="2172"/>
      <c r="P76" s="2171"/>
      <c r="Q76" s="2164"/>
      <c r="R76" s="1995"/>
      <c r="S76" s="1995"/>
      <c r="T76" s="1995"/>
      <c r="U76" s="1995"/>
      <c r="V76" s="1995"/>
      <c r="W76" s="1995"/>
      <c r="X76" s="1995"/>
      <c r="Y76" s="1995"/>
      <c r="Z76" s="1995"/>
      <c r="AA76" s="1995"/>
      <c r="AB76" s="1995"/>
      <c r="AC76" s="1995"/>
    </row>
    <row r="77" spans="1:29" s="1339" customFormat="1" ht="15.75" thickTop="1">
      <c r="A77" s="690"/>
      <c r="B77" s="676">
        <f>B25</f>
        <v>111</v>
      </c>
      <c r="C77" s="691"/>
      <c r="D77" s="691"/>
      <c r="E77" s="691"/>
      <c r="F77" s="691"/>
      <c r="G77" s="691"/>
      <c r="H77" s="692"/>
      <c r="I77" s="692"/>
      <c r="J77" s="692"/>
      <c r="K77" s="692"/>
      <c r="L77" s="693"/>
      <c r="M77" s="694"/>
      <c r="N77" s="2173"/>
      <c r="O77" s="2173"/>
      <c r="P77" s="2174"/>
      <c r="Q77" s="2175"/>
      <c r="R77" s="2176"/>
      <c r="S77" s="2176"/>
      <c r="T77" s="2176"/>
      <c r="U77" s="2176"/>
      <c r="V77" s="2176"/>
      <c r="W77" s="2176"/>
      <c r="X77" s="2176"/>
      <c r="Y77" s="2176"/>
      <c r="Z77" s="2176"/>
      <c r="AA77" s="2176"/>
      <c r="AB77" s="2176"/>
      <c r="AC77" s="2176"/>
    </row>
    <row r="78" spans="1:29" s="1339" customFormat="1" ht="15.75" thickBot="1">
      <c r="A78" s="690"/>
      <c r="B78" s="681"/>
      <c r="C78" s="695"/>
      <c r="D78" s="695"/>
      <c r="E78" s="695"/>
      <c r="F78" s="695"/>
      <c r="G78" s="674"/>
      <c r="H78" s="674"/>
      <c r="I78" s="674"/>
      <c r="J78" s="674"/>
      <c r="K78" s="674"/>
      <c r="L78" s="674"/>
      <c r="M78" s="675"/>
      <c r="N78" s="2173"/>
      <c r="O78" s="2173"/>
      <c r="P78" s="2174"/>
      <c r="Q78" s="2175"/>
      <c r="R78" s="2176"/>
      <c r="S78" s="2176"/>
      <c r="T78" s="2176"/>
      <c r="U78" s="2176"/>
      <c r="V78" s="2176"/>
      <c r="W78" s="2176"/>
      <c r="X78" s="2176"/>
      <c r="Y78" s="2176"/>
      <c r="Z78" s="2176"/>
      <c r="AA78" s="2176"/>
      <c r="AB78" s="2176"/>
      <c r="AC78" s="2176"/>
    </row>
    <row r="79" spans="1:29" ht="27.75" thickTop="1">
      <c r="A79" s="667" t="s">
        <v>552</v>
      </c>
      <c r="B79" s="668" t="s">
        <v>817</v>
      </c>
      <c r="C79" s="707">
        <f>C26</f>
        <v>0</v>
      </c>
      <c r="D79" s="601"/>
      <c r="E79" s="601"/>
      <c r="F79" s="601"/>
      <c r="G79" s="601"/>
      <c r="H79" s="601"/>
      <c r="I79" s="601"/>
      <c r="J79" s="601"/>
      <c r="K79" s="669"/>
      <c r="L79" s="670"/>
      <c r="M79" s="671"/>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2"/>
      <c r="B81" s="676"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90"/>
      <c r="B82" s="681"/>
      <c r="C82" s="695"/>
      <c r="D82" s="674"/>
      <c r="E82" s="674"/>
      <c r="F82" s="674"/>
      <c r="G82" s="674"/>
      <c r="H82" s="674"/>
      <c r="I82" s="674"/>
      <c r="J82" s="674"/>
      <c r="K82" s="674"/>
      <c r="L82" s="674"/>
      <c r="M82" s="675"/>
      <c r="N82" s="2172"/>
      <c r="O82" s="2172"/>
      <c r="P82" s="2174"/>
      <c r="Q82" s="2175"/>
      <c r="R82" s="2176"/>
      <c r="S82" s="2176"/>
      <c r="T82" s="2176"/>
      <c r="U82" s="2176"/>
      <c r="V82" s="2176"/>
      <c r="W82" s="2176"/>
      <c r="X82" s="2176"/>
      <c r="Y82" s="2176"/>
      <c r="Z82" s="2176"/>
      <c r="AA82" s="2176"/>
      <c r="AB82" s="2176"/>
      <c r="AC82" s="2176"/>
    </row>
    <row r="83" spans="1:29" ht="15" thickTop="1">
      <c r="A83" s="738"/>
      <c r="B83" s="676" t="s">
        <v>754</v>
      </c>
      <c r="C83" s="691"/>
      <c r="D83" s="691"/>
      <c r="E83" s="721"/>
      <c r="F83" s="721"/>
      <c r="G83" s="721"/>
      <c r="H83" s="721"/>
      <c r="I83" s="721"/>
      <c r="J83" s="721"/>
      <c r="K83" s="722"/>
      <c r="L83" s="723"/>
      <c r="M83" s="724"/>
      <c r="N83" s="2170"/>
      <c r="O83" s="2170"/>
      <c r="P83" s="2171"/>
      <c r="Q83" s="2164"/>
      <c r="R83" s="2151"/>
      <c r="S83" s="2151"/>
      <c r="T83" s="2151"/>
      <c r="U83" s="2151"/>
      <c r="V83" s="2151"/>
      <c r="W83" s="2151"/>
      <c r="X83" s="2151"/>
      <c r="Y83" s="2151"/>
      <c r="Z83" s="2151"/>
      <c r="AA83" s="2151"/>
      <c r="AB83" s="2151"/>
      <c r="AC83" s="2151"/>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0"/>
      <c r="O85" s="2170"/>
      <c r="P85" s="2171"/>
      <c r="Q85" s="2164"/>
      <c r="R85" s="2151"/>
      <c r="S85" s="2151"/>
      <c r="T85" s="2151"/>
      <c r="U85" s="2151"/>
      <c r="V85" s="2151"/>
      <c r="W85" s="2151"/>
      <c r="X85" s="2151"/>
      <c r="Y85" s="2151"/>
      <c r="Z85" s="2151"/>
      <c r="AA85" s="2151"/>
      <c r="AB85" s="2151"/>
      <c r="AC85" s="2151"/>
    </row>
    <row r="86" spans="1:29">
      <c r="A86" s="738"/>
      <c r="B86" s="684"/>
      <c r="C86" s="897">
        <v>0.5</v>
      </c>
      <c r="D86" s="897">
        <v>0.6</v>
      </c>
      <c r="E86" s="897">
        <v>0.7</v>
      </c>
      <c r="F86" s="897">
        <v>0.8</v>
      </c>
      <c r="G86" s="897">
        <v>0.9</v>
      </c>
      <c r="H86" s="897">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8"/>
      <c r="B88" s="684" t="s">
        <v>820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1"/>
      <c r="B91" s="684"/>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3"/>
      <c r="O92" s="2173"/>
      <c r="P92" s="2174"/>
      <c r="Q92" s="2175"/>
      <c r="R92" s="2176"/>
      <c r="S92" s="2176"/>
      <c r="T92" s="2176"/>
      <c r="U92" s="2176"/>
      <c r="V92" s="2176"/>
      <c r="W92" s="2176"/>
      <c r="X92" s="2176"/>
      <c r="Y92" s="2176"/>
      <c r="Z92" s="2176"/>
      <c r="AA92" s="2176"/>
      <c r="AB92" s="2176"/>
      <c r="AC92" s="2176"/>
    </row>
    <row r="93" spans="1:29" ht="15" thickTop="1">
      <c r="A93" s="738"/>
      <c r="B93" s="676" t="s">
        <v>822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823</v>
      </c>
      <c r="C95" s="601"/>
      <c r="D95" s="601"/>
      <c r="E95" s="601"/>
      <c r="F95" s="601"/>
      <c r="G95" s="601"/>
      <c r="H95" s="601"/>
      <c r="I95" s="601"/>
      <c r="J95" s="601"/>
      <c r="K95" s="669"/>
      <c r="L95" s="670"/>
      <c r="M95" s="671"/>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2"/>
      <c r="O96" s="2172"/>
      <c r="P96" s="2171"/>
      <c r="Q96" s="2164"/>
      <c r="R96" s="2151"/>
      <c r="S96" s="2151"/>
      <c r="T96" s="2151"/>
      <c r="U96" s="2151"/>
      <c r="V96" s="2151"/>
      <c r="W96" s="2151"/>
      <c r="X96" s="2151"/>
      <c r="Y96" s="2151"/>
      <c r="Z96" s="2151"/>
      <c r="AA96" s="2151"/>
      <c r="AB96" s="2151"/>
      <c r="AC96" s="2151"/>
    </row>
    <row r="97" spans="1:29" ht="15" thickTop="1">
      <c r="A97" s="738"/>
      <c r="B97" s="918">
        <f>B34</f>
        <v>111</v>
      </c>
      <c r="C97" s="544"/>
      <c r="D97" s="544"/>
      <c r="E97" s="544"/>
      <c r="F97" s="544"/>
      <c r="G97" s="691"/>
      <c r="H97" s="692"/>
      <c r="I97" s="692"/>
      <c r="J97" s="692"/>
      <c r="K97" s="692"/>
      <c r="L97" s="693"/>
      <c r="M97" s="694"/>
      <c r="N97" s="2172"/>
      <c r="O97" s="2172"/>
      <c r="P97" s="2211"/>
      <c r="Q97" s="2212"/>
      <c r="R97" s="2151"/>
      <c r="S97" s="2151"/>
      <c r="T97" s="2151"/>
      <c r="U97" s="2151"/>
      <c r="V97" s="2151"/>
      <c r="W97" s="2151"/>
      <c r="X97" s="2151"/>
      <c r="Y97" s="2151"/>
      <c r="Z97" s="2151"/>
      <c r="AA97" s="2151"/>
      <c r="AB97" s="2151"/>
      <c r="AC97" s="2151"/>
    </row>
    <row r="98" spans="1:29" ht="15.75" thickBot="1">
      <c r="A98" s="672"/>
      <c r="B98" s="681"/>
      <c r="C98" s="695"/>
      <c r="D98" s="674"/>
      <c r="E98" s="674"/>
      <c r="F98" s="674"/>
      <c r="G98" s="695"/>
      <c r="H98" s="696"/>
      <c r="I98" s="696"/>
      <c r="J98" s="696"/>
      <c r="K98" s="696"/>
      <c r="L98" s="696"/>
      <c r="M98" s="697"/>
      <c r="N98" s="2172"/>
      <c r="O98" s="2172"/>
      <c r="P98" s="2171"/>
      <c r="Q98" s="2164"/>
      <c r="R98" s="2151"/>
      <c r="S98" s="2151"/>
      <c r="T98" s="2151"/>
      <c r="U98" s="2151"/>
      <c r="V98" s="2151"/>
      <c r="W98" s="2151"/>
      <c r="X98" s="2151"/>
      <c r="Y98" s="2151"/>
      <c r="Z98" s="2151"/>
      <c r="AA98" s="2151"/>
      <c r="AB98" s="2151"/>
      <c r="AC98" s="2151"/>
    </row>
    <row r="99" spans="1:29" s="1339" customFormat="1" ht="15" thickTop="1">
      <c r="A99" s="731"/>
      <c r="B99" s="676">
        <f>B35</f>
        <v>111</v>
      </c>
      <c r="C99" s="544"/>
      <c r="D99" s="544"/>
      <c r="E99" s="544"/>
      <c r="F99" s="544"/>
      <c r="G99" s="691"/>
      <c r="H99" s="692"/>
      <c r="I99" s="692"/>
      <c r="J99" s="692"/>
      <c r="K99" s="692"/>
      <c r="L99" s="693"/>
      <c r="M99" s="694"/>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90"/>
      <c r="B100" s="673"/>
      <c r="C100" s="695"/>
      <c r="D100" s="674"/>
      <c r="E100" s="674"/>
      <c r="F100" s="674"/>
      <c r="G100" s="695"/>
      <c r="H100" s="696"/>
      <c r="I100" s="696"/>
      <c r="J100" s="696"/>
      <c r="K100" s="696"/>
      <c r="L100" s="696"/>
      <c r="M100" s="697"/>
      <c r="N100" s="2173"/>
      <c r="O100" s="2173"/>
      <c r="P100" s="2174"/>
      <c r="Q100" s="2175"/>
      <c r="R100" s="2176"/>
      <c r="S100" s="2176"/>
      <c r="T100" s="2176"/>
      <c r="U100" s="2176"/>
      <c r="V100" s="2176"/>
      <c r="W100" s="2176"/>
      <c r="X100" s="2176"/>
      <c r="Y100" s="2176"/>
      <c r="Z100" s="2176"/>
      <c r="AA100" s="2176"/>
      <c r="AB100" s="2176"/>
      <c r="AC100" s="2176"/>
    </row>
    <row r="101" spans="1:29" ht="15" thickTop="1">
      <c r="A101" s="738"/>
      <c r="B101" s="676">
        <f>B36</f>
        <v>111</v>
      </c>
      <c r="C101" s="691"/>
      <c r="D101" s="691"/>
      <c r="E101" s="691"/>
      <c r="F101" s="691"/>
      <c r="G101" s="691"/>
      <c r="H101" s="692"/>
      <c r="I101" s="692"/>
      <c r="J101" s="692"/>
      <c r="K101" s="692"/>
      <c r="L101" s="693"/>
      <c r="M101" s="69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95"/>
      <c r="D102" s="695"/>
      <c r="E102" s="695"/>
      <c r="F102" s="695"/>
      <c r="G102" s="695"/>
      <c r="H102" s="696"/>
      <c r="I102" s="696"/>
      <c r="J102" s="696"/>
      <c r="K102" s="696"/>
      <c r="L102" s="696"/>
      <c r="M102" s="697"/>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C37</f>
        <v>#DIV/0!</v>
      </c>
      <c r="C3" s="855" t="s">
        <v>799</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36" t="s">
        <v>801</v>
      </c>
      <c r="D4" s="3437"/>
      <c r="E4" s="3461" t="s">
        <v>802</v>
      </c>
      <c r="F4" s="3462"/>
      <c r="G4" s="3436" t="s">
        <v>803</v>
      </c>
      <c r="H4" s="3437"/>
      <c r="I4" s="3436" t="s">
        <v>804</v>
      </c>
      <c r="J4" s="3437"/>
      <c r="K4" s="517" t="s">
        <v>805</v>
      </c>
      <c r="L4" s="2139"/>
      <c r="M4" s="2140"/>
      <c r="N4" s="2140"/>
      <c r="O4" s="2140"/>
      <c r="P4" s="3438" t="s">
        <v>806</v>
      </c>
      <c r="Q4" s="3439"/>
      <c r="R4" s="3424" t="s">
        <v>802</v>
      </c>
      <c r="S4" s="3425"/>
      <c r="T4" s="3424" t="s">
        <v>803</v>
      </c>
      <c r="U4" s="3425"/>
      <c r="V4" s="3444" t="s">
        <v>804</v>
      </c>
      <c r="W4" s="3444"/>
      <c r="X4" s="1569"/>
      <c r="Y4" s="3424" t="s">
        <v>806</v>
      </c>
      <c r="Z4" s="3425"/>
      <c r="AA4" s="3419" t="s">
        <v>802</v>
      </c>
      <c r="AB4" s="3420" t="s">
        <v>803</v>
      </c>
      <c r="AC4" s="3419" t="s">
        <v>804</v>
      </c>
    </row>
    <row r="5" spans="1:29" ht="15">
      <c r="A5" s="518"/>
      <c r="B5" s="519"/>
      <c r="C5" s="3447" t="s">
        <v>2935</v>
      </c>
      <c r="D5" s="3448"/>
      <c r="E5" s="3463" t="s">
        <v>2936</v>
      </c>
      <c r="F5" s="3464"/>
      <c r="G5" s="3447" t="s">
        <v>2937</v>
      </c>
      <c r="H5" s="3448"/>
      <c r="I5" s="3447" t="s">
        <v>2938</v>
      </c>
      <c r="J5" s="3448"/>
      <c r="K5" s="517"/>
      <c r="L5" s="2139"/>
      <c r="M5" s="2140"/>
      <c r="N5" s="2140"/>
      <c r="O5" s="2140"/>
      <c r="P5" s="3440"/>
      <c r="Q5" s="3441"/>
      <c r="R5" s="3426"/>
      <c r="S5" s="3427"/>
      <c r="T5" s="3426"/>
      <c r="U5" s="3427"/>
      <c r="V5" s="3444"/>
      <c r="W5" s="3444"/>
      <c r="X5" s="1569"/>
      <c r="Y5" s="3426"/>
      <c r="Z5" s="3427"/>
      <c r="AA5" s="3420"/>
      <c r="AB5" s="3420"/>
      <c r="AC5" s="3420"/>
    </row>
    <row r="6" spans="1:29" ht="15.75" thickBot="1">
      <c r="A6" s="520"/>
      <c r="B6" s="521"/>
      <c r="C6" s="3465" t="s">
        <v>2939</v>
      </c>
      <c r="D6" s="3446"/>
      <c r="E6" s="3466" t="s">
        <v>2939</v>
      </c>
      <c r="F6" s="3467"/>
      <c r="G6" s="3465" t="s">
        <v>2939</v>
      </c>
      <c r="H6" s="3446"/>
      <c r="I6" s="3465" t="s">
        <v>2939</v>
      </c>
      <c r="J6" s="3446"/>
      <c r="K6" s="517" t="s">
        <v>529</v>
      </c>
      <c r="L6" s="2139"/>
      <c r="M6" s="2140"/>
      <c r="N6" s="2140"/>
      <c r="O6" s="2140"/>
      <c r="P6" s="3442"/>
      <c r="Q6" s="3443"/>
      <c r="R6" s="3426"/>
      <c r="S6" s="3427"/>
      <c r="T6" s="3428"/>
      <c r="U6" s="3429"/>
      <c r="V6" s="3444"/>
      <c r="W6" s="3444"/>
      <c r="X6" s="1569"/>
      <c r="Y6" s="3428"/>
      <c r="Z6" s="3429"/>
      <c r="AA6" s="3421"/>
      <c r="AB6" s="3421"/>
      <c r="AC6" s="3421"/>
    </row>
    <row r="7" spans="1:29" s="1220" customFormat="1" ht="15.75" thickBot="1">
      <c r="A7" s="2947"/>
      <c r="B7" s="2954"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22" t="s">
        <v>531</v>
      </c>
      <c r="Q7" s="3431"/>
      <c r="R7" s="1570" t="s">
        <v>8</v>
      </c>
      <c r="S7" s="1571">
        <f t="shared" ref="S7:S14" si="0">F7</f>
        <v>0</v>
      </c>
      <c r="T7" s="1570" t="s">
        <v>8</v>
      </c>
      <c r="U7" s="1571">
        <f t="shared" ref="U7:U14" si="1">H7</f>
        <v>0</v>
      </c>
      <c r="V7" s="1570" t="s">
        <v>8</v>
      </c>
      <c r="W7" s="1571">
        <f t="shared" ref="W7:W14" si="2">J7</f>
        <v>0</v>
      </c>
      <c r="X7" s="1572"/>
      <c r="Y7" s="3422" t="s">
        <v>531</v>
      </c>
      <c r="Z7" s="3423"/>
      <c r="AA7" s="1573" t="e">
        <f>D7/F7</f>
        <v>#DIV/0!</v>
      </c>
      <c r="AB7" s="1573" t="e">
        <f>D7/H7</f>
        <v>#DIV/0!</v>
      </c>
      <c r="AC7" s="1573" t="e">
        <f>D7/J7</f>
        <v>#DIV/0!</v>
      </c>
    </row>
    <row r="8" spans="1:29" s="1220"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22" t="s">
        <v>534</v>
      </c>
      <c r="Q8" s="3423"/>
      <c r="R8" s="1570" t="s">
        <v>8</v>
      </c>
      <c r="S8" s="1571">
        <f t="shared" si="0"/>
        <v>0</v>
      </c>
      <c r="T8" s="1570" t="s">
        <v>8</v>
      </c>
      <c r="U8" s="1571">
        <f t="shared" si="1"/>
        <v>0</v>
      </c>
      <c r="V8" s="1570" t="s">
        <v>8</v>
      </c>
      <c r="W8" s="1571">
        <f t="shared" si="2"/>
        <v>0</v>
      </c>
      <c r="X8" s="1572"/>
      <c r="Y8" s="3422" t="s">
        <v>534</v>
      </c>
      <c r="Z8" s="3423"/>
      <c r="AA8" s="1573" t="e">
        <f t="shared" ref="AA8:AA34" si="3">D8/F8</f>
        <v>#DIV/0!</v>
      </c>
      <c r="AB8" s="1573" t="e">
        <f t="shared" ref="AB8:AB34" si="4">D8/H8</f>
        <v>#DIV/0!</v>
      </c>
      <c r="AC8" s="1573" t="e">
        <f t="shared" ref="AC8:AC34" si="5">D8/J8</f>
        <v>#DIV/0!</v>
      </c>
    </row>
    <row r="9" spans="1:29" s="1220" customFormat="1" ht="15">
      <c r="A9" s="2949"/>
      <c r="B9" s="2956" t="s">
        <v>2771</v>
      </c>
      <c r="C9" s="860"/>
      <c r="D9" s="254">
        <v>100</v>
      </c>
      <c r="E9" s="863"/>
      <c r="F9" s="254">
        <f>SUMIF(51:51,E9,52:52)-SUMIF(51:51,C9,52:52)+100</f>
        <v>100</v>
      </c>
      <c r="G9" s="863"/>
      <c r="H9" s="254">
        <f>SUMIF(51:51,G9,52:52)-SUMIF(51:51,C9,52:52)+100</f>
        <v>100</v>
      </c>
      <c r="I9" s="863"/>
      <c r="J9" s="254">
        <f>SUMIF(51:51,I9,52:52)-SUMIF(51:51,C9,52:52)+100</f>
        <v>100</v>
      </c>
      <c r="K9" s="527"/>
      <c r="L9" s="2141"/>
      <c r="M9" s="2142"/>
      <c r="N9" s="2142"/>
      <c r="O9" s="2143"/>
      <c r="P9" s="3430" t="s">
        <v>536</v>
      </c>
      <c r="Q9" s="1151" t="str">
        <f t="shared" ref="Q9:Q14" si="6">B9</f>
        <v>用途</v>
      </c>
      <c r="R9" s="1570" t="s">
        <v>8</v>
      </c>
      <c r="S9" s="1571">
        <f t="shared" si="0"/>
        <v>100</v>
      </c>
      <c r="T9" s="1570" t="s">
        <v>8</v>
      </c>
      <c r="U9" s="1571">
        <f t="shared" si="1"/>
        <v>100</v>
      </c>
      <c r="V9" s="1570" t="s">
        <v>8</v>
      </c>
      <c r="W9" s="1571">
        <f t="shared" si="2"/>
        <v>100</v>
      </c>
      <c r="X9" s="1572"/>
      <c r="Y9" s="3388"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SUMIF(53:53,E10,54:54)-SUMIF(53:53,C10,54:54)+100</f>
        <v>100</v>
      </c>
      <c r="G10" s="865"/>
      <c r="H10" s="255">
        <f>SUMIF(53:53,G10,54:54)-SUMIF(53:53,C10,54:54)+100</f>
        <v>100</v>
      </c>
      <c r="I10" s="864"/>
      <c r="J10" s="255">
        <f>SUMIF(53:53,I10,54:54)-SUMIF(53:53,C10,54:54)+100</f>
        <v>100</v>
      </c>
      <c r="K10" s="587"/>
      <c r="L10" s="2144"/>
      <c r="M10" s="2184"/>
      <c r="N10" s="2184"/>
      <c r="O10" s="2145"/>
      <c r="P10" s="3430"/>
      <c r="Q10" s="1151" t="str">
        <f t="shared" si="6"/>
        <v>土地使用年限（年）</v>
      </c>
      <c r="R10" s="1570" t="s">
        <v>8</v>
      </c>
      <c r="S10" s="1571">
        <f t="shared" si="0"/>
        <v>100</v>
      </c>
      <c r="T10" s="1570" t="s">
        <v>8</v>
      </c>
      <c r="U10" s="1571">
        <f t="shared" si="1"/>
        <v>100</v>
      </c>
      <c r="V10" s="1570" t="s">
        <v>8</v>
      </c>
      <c r="W10" s="1571">
        <f t="shared" si="2"/>
        <v>100</v>
      </c>
      <c r="X10" s="1572"/>
      <c r="Y10" s="3388"/>
      <c r="Z10" s="1150" t="str">
        <f t="shared" si="7"/>
        <v>土地使用年限（年）</v>
      </c>
      <c r="AA10" s="1573">
        <f t="shared" si="3"/>
        <v>1</v>
      </c>
      <c r="AB10" s="1573">
        <f t="shared" si="4"/>
        <v>1</v>
      </c>
      <c r="AC10" s="1573">
        <f t="shared" si="5"/>
        <v>1</v>
      </c>
    </row>
    <row r="11" spans="1:29" ht="15">
      <c r="A11" s="2952"/>
      <c r="B11" s="2958">
        <v>111</v>
      </c>
      <c r="C11" s="531"/>
      <c r="D11" s="255">
        <v>100</v>
      </c>
      <c r="E11" s="883"/>
      <c r="F11" s="255">
        <f>SUMIF(55:55,E11,56:56)-SUMIF(55:55,C11,56:56)+100</f>
        <v>100</v>
      </c>
      <c r="G11" s="883"/>
      <c r="H11" s="255">
        <f>SUMIF(55:55,G11,56:56)-SUMIF(55:55,C11,56:56)+100</f>
        <v>100</v>
      </c>
      <c r="I11" s="883"/>
      <c r="J11" s="255">
        <f>SUMIF(55:55,I11,56:56)-SUMIF(55:55,C11,56:56)+100</f>
        <v>100</v>
      </c>
      <c r="K11" s="584"/>
      <c r="L11" s="2146"/>
      <c r="M11" s="2140"/>
      <c r="N11" s="2140"/>
      <c r="O11" s="2147"/>
      <c r="P11" s="3430"/>
      <c r="Q11" s="1151">
        <f t="shared" si="6"/>
        <v>111</v>
      </c>
      <c r="R11" s="1570" t="s">
        <v>8</v>
      </c>
      <c r="S11" s="1571">
        <f t="shared" si="0"/>
        <v>100</v>
      </c>
      <c r="T11" s="1570" t="s">
        <v>8</v>
      </c>
      <c r="U11" s="1571">
        <f t="shared" si="1"/>
        <v>100</v>
      </c>
      <c r="V11" s="1570" t="s">
        <v>8</v>
      </c>
      <c r="W11" s="1571">
        <f t="shared" si="2"/>
        <v>100</v>
      </c>
      <c r="X11" s="1572"/>
      <c r="Y11" s="3388"/>
      <c r="Z11" s="1150">
        <f t="shared" si="7"/>
        <v>111</v>
      </c>
      <c r="AA11" s="1573">
        <f t="shared" si="3"/>
        <v>1</v>
      </c>
      <c r="AB11" s="1573">
        <f t="shared" si="4"/>
        <v>1</v>
      </c>
      <c r="AC11" s="1573">
        <f t="shared" si="5"/>
        <v>1</v>
      </c>
    </row>
    <row r="12" spans="1:29" s="1220" customFormat="1" ht="15">
      <c r="A12" s="2952"/>
      <c r="B12" s="2958">
        <v>111</v>
      </c>
      <c r="C12" s="531"/>
      <c r="D12" s="541">
        <v>100</v>
      </c>
      <c r="E12" s="883"/>
      <c r="F12" s="255">
        <f>SUMIF(57:57,E12,58:58)-SUMIF(57:57,C12,58:58)+100</f>
        <v>100</v>
      </c>
      <c r="G12" s="883"/>
      <c r="H12" s="255">
        <f>SUMIF(57:57,G12,58:58)-SUMIF(57:57,C12,58:58)+100</f>
        <v>100</v>
      </c>
      <c r="I12" s="883"/>
      <c r="J12" s="255">
        <f>SUMIF(57:57,I12,58:58)-SUMIF(57:57,C12,58:58)+100</f>
        <v>100</v>
      </c>
      <c r="K12" s="584"/>
      <c r="L12" s="2141"/>
      <c r="M12" s="2142"/>
      <c r="N12" s="2142"/>
      <c r="O12" s="2143"/>
      <c r="P12" s="3430"/>
      <c r="Q12" s="1151">
        <f t="shared" si="6"/>
        <v>111</v>
      </c>
      <c r="R12" s="1570" t="s">
        <v>8</v>
      </c>
      <c r="S12" s="1571">
        <f t="shared" si="0"/>
        <v>100</v>
      </c>
      <c r="T12" s="1570" t="s">
        <v>8</v>
      </c>
      <c r="U12" s="1571">
        <f t="shared" si="1"/>
        <v>100</v>
      </c>
      <c r="V12" s="1570" t="s">
        <v>8</v>
      </c>
      <c r="W12" s="1571">
        <f t="shared" si="2"/>
        <v>100</v>
      </c>
      <c r="X12" s="1572"/>
      <c r="Y12" s="3388"/>
      <c r="Z12" s="1150">
        <f t="shared" si="7"/>
        <v>111</v>
      </c>
      <c r="AA12" s="1573">
        <f>D12/F12</f>
        <v>1</v>
      </c>
      <c r="AB12" s="1573">
        <f>D12/H12</f>
        <v>1</v>
      </c>
      <c r="AC12" s="1573">
        <f>D12/J12</f>
        <v>1</v>
      </c>
    </row>
    <row r="13" spans="1:29" ht="15.75" thickBot="1">
      <c r="A13" s="2953"/>
      <c r="B13" s="2959">
        <v>111</v>
      </c>
      <c r="C13" s="542"/>
      <c r="D13" s="543">
        <v>100</v>
      </c>
      <c r="E13" s="883"/>
      <c r="F13" s="255">
        <f>SUMIF(59:59,E13,60:60)-SUMIF(59:59,C13,60:60)+100</f>
        <v>100</v>
      </c>
      <c r="G13" s="883"/>
      <c r="H13" s="543">
        <f>SUMIF(59:59,G13,60:60)-SUMIF(59:59,C13,60:60)+100</f>
        <v>100</v>
      </c>
      <c r="I13" s="883"/>
      <c r="J13" s="543">
        <f>SUMIF(59:59,I13,60:60)-SUMIF(59:59,C13,60:60)+100</f>
        <v>100</v>
      </c>
      <c r="K13" s="584"/>
      <c r="L13" s="2148"/>
      <c r="M13" s="2140"/>
      <c r="N13" s="2140"/>
      <c r="O13" s="2147"/>
      <c r="P13" s="3430"/>
      <c r="Q13" s="1151">
        <f t="shared" si="6"/>
        <v>111</v>
      </c>
      <c r="R13" s="1570" t="s">
        <v>8</v>
      </c>
      <c r="S13" s="1571">
        <f t="shared" si="0"/>
        <v>100</v>
      </c>
      <c r="T13" s="1570" t="s">
        <v>8</v>
      </c>
      <c r="U13" s="1571">
        <f t="shared" si="1"/>
        <v>100</v>
      </c>
      <c r="V13" s="1570" t="s">
        <v>8</v>
      </c>
      <c r="W13" s="1571">
        <f t="shared" si="2"/>
        <v>100</v>
      </c>
      <c r="X13" s="1572"/>
      <c r="Y13" s="3388"/>
      <c r="Z13" s="1150">
        <f t="shared" si="7"/>
        <v>111</v>
      </c>
      <c r="AA13" s="1573">
        <f t="shared" si="3"/>
        <v>1</v>
      </c>
      <c r="AB13" s="1573">
        <f t="shared" si="4"/>
        <v>1</v>
      </c>
      <c r="AC13" s="1573">
        <f t="shared" si="5"/>
        <v>1</v>
      </c>
    </row>
    <row r="14" spans="1:29" ht="142.5">
      <c r="A14" s="2945" t="s">
        <v>2769</v>
      </c>
      <c r="B14" s="166"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8"/>
      <c r="M14" s="2140"/>
      <c r="N14" s="2140"/>
      <c r="O14" s="2147"/>
      <c r="P14" s="3432" t="s">
        <v>541</v>
      </c>
      <c r="Q14" s="1574" t="str">
        <f t="shared" si="6"/>
        <v>交通便捷度</v>
      </c>
      <c r="R14" s="1575" t="s">
        <v>8</v>
      </c>
      <c r="S14" s="1576">
        <f t="shared" si="0"/>
        <v>100</v>
      </c>
      <c r="T14" s="1575" t="s">
        <v>8</v>
      </c>
      <c r="U14" s="1576">
        <f t="shared" si="1"/>
        <v>100</v>
      </c>
      <c r="V14" s="1575" t="s">
        <v>8</v>
      </c>
      <c r="W14" s="1576">
        <f t="shared" si="2"/>
        <v>100</v>
      </c>
      <c r="X14" s="1569"/>
      <c r="Y14" s="3432"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8"/>
      <c r="M15" s="2140"/>
      <c r="N15" s="2140"/>
      <c r="O15" s="2147"/>
      <c r="P15" s="3433"/>
      <c r="Q15" s="1574"/>
      <c r="R15" s="1575"/>
      <c r="S15" s="1576"/>
      <c r="T15" s="1575"/>
      <c r="U15" s="1576"/>
      <c r="V15" s="1575"/>
      <c r="W15" s="1576"/>
      <c r="X15" s="1569"/>
      <c r="Y15" s="3433"/>
      <c r="Z15" s="1577"/>
      <c r="AA15" s="1578">
        <v>1</v>
      </c>
      <c r="AB15" s="1578">
        <v>1</v>
      </c>
      <c r="AC15" s="1578">
        <v>1</v>
      </c>
    </row>
    <row r="16" spans="1:29" ht="185.25">
      <c r="A16" s="535"/>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8"/>
      <c r="M16" s="2140"/>
      <c r="N16" s="2140"/>
      <c r="O16" s="2147"/>
      <c r="P16" s="3433"/>
      <c r="Q16" s="1574" t="str">
        <f>B16</f>
        <v>公共配套设施</v>
      </c>
      <c r="R16" s="1575" t="s">
        <v>8</v>
      </c>
      <c r="S16" s="1576">
        <f>F16</f>
        <v>100</v>
      </c>
      <c r="T16" s="1575" t="s">
        <v>8</v>
      </c>
      <c r="U16" s="1576">
        <f>H16</f>
        <v>100</v>
      </c>
      <c r="V16" s="1575" t="s">
        <v>8</v>
      </c>
      <c r="W16" s="1576">
        <f>J16</f>
        <v>100</v>
      </c>
      <c r="X16" s="1569"/>
      <c r="Y16" s="3433"/>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8"/>
      <c r="M17" s="2140"/>
      <c r="N17" s="2140"/>
      <c r="O17" s="2147"/>
      <c r="P17" s="3433"/>
      <c r="Q17" s="1574"/>
      <c r="R17" s="1575"/>
      <c r="S17" s="1576"/>
      <c r="T17" s="1575"/>
      <c r="U17" s="1576"/>
      <c r="V17" s="1575"/>
      <c r="W17" s="1576"/>
      <c r="X17" s="1569"/>
      <c r="Y17" s="3433"/>
      <c r="Z17" s="1577"/>
      <c r="AA17" s="1578">
        <v>1</v>
      </c>
      <c r="AB17" s="1578">
        <v>1</v>
      </c>
      <c r="AC17" s="1578">
        <v>1</v>
      </c>
    </row>
    <row r="18" spans="1:29" ht="42.75">
      <c r="A18" s="535"/>
      <c r="B18" s="2622" t="s">
        <v>2570</v>
      </c>
      <c r="C18" s="875" t="str">
        <f>IF(B1="工业",估价对象房地状况!G6,估价对象房地状况!C8)</f>
        <v>估价对象所在区域基础设施水平达“六通”。</v>
      </c>
      <c r="D18" s="562">
        <v>100</v>
      </c>
      <c r="E18" s="565"/>
      <c r="F18" s="566">
        <f>SUMIF(65:65,E19,66:66)-SUMIF(65:65,C19,66:66)+100</f>
        <v>100</v>
      </c>
      <c r="G18" s="567"/>
      <c r="H18" s="568">
        <f>SUMIF(65:65,G19,66:66)-SUMIF(65:65,C19,66:66)+100</f>
        <v>100</v>
      </c>
      <c r="I18" s="573"/>
      <c r="J18" s="568">
        <f>SUMIF(65:65,I19,66:66)-SUMIF(65:65,C19,66:66)+100</f>
        <v>100</v>
      </c>
      <c r="K18" s="901"/>
      <c r="L18" s="2148"/>
      <c r="M18" s="2140"/>
      <c r="N18" s="2140"/>
      <c r="O18" s="2147"/>
      <c r="P18" s="3433"/>
      <c r="Q18" s="2610" t="str">
        <f>B18</f>
        <v>基础设施水平</v>
      </c>
      <c r="R18" s="1575" t="s">
        <v>8</v>
      </c>
      <c r="S18" s="1576">
        <f>F18</f>
        <v>100</v>
      </c>
      <c r="T18" s="1575" t="s">
        <v>8</v>
      </c>
      <c r="U18" s="1576">
        <f>H18</f>
        <v>100</v>
      </c>
      <c r="V18" s="1575" t="s">
        <v>8</v>
      </c>
      <c r="W18" s="1576">
        <f>J18</f>
        <v>100</v>
      </c>
      <c r="X18" s="2612"/>
      <c r="Y18" s="3433"/>
      <c r="Z18" s="2611"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33"/>
      <c r="L19" s="2148"/>
      <c r="M19" s="2140"/>
      <c r="N19" s="2140"/>
      <c r="O19" s="2147"/>
      <c r="P19" s="3433"/>
      <c r="Q19" s="2610"/>
      <c r="R19" s="1575"/>
      <c r="S19" s="1576"/>
      <c r="T19" s="1575"/>
      <c r="U19" s="1576"/>
      <c r="V19" s="1575"/>
      <c r="W19" s="1576"/>
      <c r="X19" s="2612"/>
      <c r="Y19" s="3433"/>
      <c r="Z19" s="2611"/>
      <c r="AA19" s="1578">
        <v>1</v>
      </c>
      <c r="AB19" s="1578">
        <v>1</v>
      </c>
      <c r="AC19" s="1578">
        <v>1</v>
      </c>
    </row>
    <row r="20" spans="1:29" ht="142.5">
      <c r="A20" s="535"/>
      <c r="B20" s="874"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73"/>
      <c r="F20" s="574">
        <f>SUMIF(67:67,E21,68:68)-SUMIF(67:67,C21,68:68)+100</f>
        <v>100</v>
      </c>
      <c r="G20" s="575"/>
      <c r="H20" s="562">
        <f>SUMIF(67:67,G21,68:68)-SUMIF(67:67,C21,68:68)+100</f>
        <v>100</v>
      </c>
      <c r="I20" s="565"/>
      <c r="J20" s="562">
        <f>SUMIF(67:67,I21,68:68)-SUMIF(67:67,C21,68:68)+100</f>
        <v>100</v>
      </c>
      <c r="K20" s="901"/>
      <c r="L20" s="2148"/>
      <c r="M20" s="2140"/>
      <c r="N20" s="2140"/>
      <c r="O20" s="2147"/>
      <c r="P20" s="3433"/>
      <c r="Q20" s="1574" t="str">
        <f>B20</f>
        <v>自然及人文环境</v>
      </c>
      <c r="R20" s="1575" t="s">
        <v>8</v>
      </c>
      <c r="S20" s="1576">
        <f>F20</f>
        <v>100</v>
      </c>
      <c r="T20" s="1575" t="s">
        <v>8</v>
      </c>
      <c r="U20" s="1576">
        <f>H20</f>
        <v>100</v>
      </c>
      <c r="V20" s="1575" t="s">
        <v>8</v>
      </c>
      <c r="W20" s="1576">
        <f>J20</f>
        <v>100</v>
      </c>
      <c r="X20" s="1569"/>
      <c r="Y20" s="3433"/>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8"/>
      <c r="M21" s="2140"/>
      <c r="N21" s="2140"/>
      <c r="O21" s="2147"/>
      <c r="P21" s="3433"/>
      <c r="Q21" s="1574"/>
      <c r="R21" s="1575"/>
      <c r="S21" s="1576"/>
      <c r="T21" s="1575"/>
      <c r="U21" s="1576"/>
      <c r="V21" s="1575"/>
      <c r="W21" s="1576"/>
      <c r="X21" s="1569"/>
      <c r="Y21" s="3433"/>
      <c r="Z21" s="1577"/>
      <c r="AA21" s="1578">
        <v>1</v>
      </c>
      <c r="AB21" s="1578">
        <v>1</v>
      </c>
      <c r="AC21" s="1578">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48"/>
      <c r="M22" s="2140"/>
      <c r="N22" s="2140"/>
      <c r="O22" s="2147"/>
      <c r="P22" s="3433"/>
      <c r="Q22" s="1574" t="str">
        <f>B22</f>
        <v>楼层</v>
      </c>
      <c r="R22" s="1575" t="s">
        <v>8</v>
      </c>
      <c r="S22" s="1576">
        <f>F22</f>
        <v>100</v>
      </c>
      <c r="T22" s="1575" t="s">
        <v>8</v>
      </c>
      <c r="U22" s="1576">
        <f>H22</f>
        <v>100</v>
      </c>
      <c r="V22" s="1575" t="s">
        <v>8</v>
      </c>
      <c r="W22" s="1576">
        <f>J22</f>
        <v>100</v>
      </c>
      <c r="X22" s="1569"/>
      <c r="Y22" s="3433"/>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8"/>
      <c r="M23" s="2140"/>
      <c r="N23" s="2140"/>
      <c r="O23" s="2147"/>
      <c r="P23" s="3433"/>
      <c r="Q23" s="1574">
        <f>B23</f>
        <v>111</v>
      </c>
      <c r="R23" s="1575" t="s">
        <v>8</v>
      </c>
      <c r="S23" s="1576">
        <f>F23</f>
        <v>100</v>
      </c>
      <c r="T23" s="1575" t="s">
        <v>8</v>
      </c>
      <c r="U23" s="1576">
        <f>H23</f>
        <v>100</v>
      </c>
      <c r="V23" s="1575" t="s">
        <v>8</v>
      </c>
      <c r="W23" s="1576">
        <f>J23</f>
        <v>100</v>
      </c>
      <c r="X23" s="1569"/>
      <c r="Y23" s="3433"/>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8"/>
      <c r="M24" s="2140"/>
      <c r="N24" s="2140"/>
      <c r="O24" s="2147"/>
      <c r="P24" s="3433"/>
      <c r="Q24" s="1574">
        <f t="shared" ref="Q24:Q34" si="11">B24</f>
        <v>111</v>
      </c>
      <c r="R24" s="1575" t="s">
        <v>8</v>
      </c>
      <c r="S24" s="1576">
        <f>F24</f>
        <v>100</v>
      </c>
      <c r="T24" s="1575" t="s">
        <v>8</v>
      </c>
      <c r="U24" s="1576">
        <f>H24</f>
        <v>100</v>
      </c>
      <c r="V24" s="1575" t="s">
        <v>8</v>
      </c>
      <c r="W24" s="1576">
        <f>J24</f>
        <v>100</v>
      </c>
      <c r="X24" s="1569"/>
      <c r="Y24" s="3433"/>
      <c r="Z24" s="1577">
        <f>Q24</f>
        <v>111</v>
      </c>
      <c r="AA24" s="1578">
        <f t="shared" si="3"/>
        <v>1</v>
      </c>
      <c r="AB24" s="1578">
        <f t="shared" si="4"/>
        <v>1</v>
      </c>
      <c r="AC24" s="1578">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4"/>
      <c r="L25" s="2141"/>
      <c r="M25" s="2142"/>
      <c r="N25" s="2142"/>
      <c r="O25" s="2143"/>
      <c r="P25" s="3433"/>
      <c r="Q25" s="1151">
        <f t="shared" si="11"/>
        <v>111</v>
      </c>
      <c r="R25" s="1570" t="s">
        <v>8</v>
      </c>
      <c r="S25" s="1571">
        <f>F25</f>
        <v>100</v>
      </c>
      <c r="T25" s="1570" t="s">
        <v>8</v>
      </c>
      <c r="U25" s="1571">
        <f>H25</f>
        <v>100</v>
      </c>
      <c r="V25" s="1570" t="s">
        <v>8</v>
      </c>
      <c r="W25" s="1571">
        <f>J25</f>
        <v>100</v>
      </c>
      <c r="X25" s="1572"/>
      <c r="Y25" s="3433"/>
      <c r="Z25" s="1150">
        <f>Q25</f>
        <v>111</v>
      </c>
      <c r="AA25" s="1578">
        <f>D25/F25</f>
        <v>1</v>
      </c>
      <c r="AB25" s="1578">
        <f>D25/H25</f>
        <v>1</v>
      </c>
      <c r="AC25" s="1578">
        <f>D25/J25</f>
        <v>1</v>
      </c>
    </row>
    <row r="26" spans="1:29" ht="15">
      <c r="A26" s="2942" t="s">
        <v>2770</v>
      </c>
      <c r="B26" s="172" t="s">
        <v>811</v>
      </c>
      <c r="C26" s="917"/>
      <c r="D26" s="600">
        <v>100</v>
      </c>
      <c r="E26" s="917"/>
      <c r="F26" s="944">
        <f>SUMIF(77:77,E26,78:78)-SUMIF(77:77,C26,78:78)+100</f>
        <v>100</v>
      </c>
      <c r="G26" s="917"/>
      <c r="H26" s="600">
        <f>SUMIF(77:77,G26,78:78)-SUMIF(77:77,C26,78:78)+100</f>
        <v>100</v>
      </c>
      <c r="I26" s="917"/>
      <c r="J26" s="600">
        <f>SUMIF(77:77,I26,78:78)-SUMIF(77:77,C26,78:78)+100</f>
        <v>100</v>
      </c>
      <c r="K26" s="587"/>
      <c r="L26" s="2148"/>
      <c r="M26" s="2140"/>
      <c r="N26" s="2140"/>
      <c r="O26" s="2147"/>
      <c r="P26" s="3434"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35" t="s">
        <v>824</v>
      </c>
      <c r="Z26" s="1577" t="str">
        <f t="shared" ref="Z26:Z34" si="15">Q26</f>
        <v>公共部分装修</v>
      </c>
      <c r="AA26" s="1578">
        <f t="shared" si="3"/>
        <v>1</v>
      </c>
      <c r="AB26" s="1578">
        <f t="shared" si="4"/>
        <v>1</v>
      </c>
      <c r="AC26" s="1578">
        <f t="shared" si="5"/>
        <v>1</v>
      </c>
    </row>
    <row r="27" spans="1:29" s="1339"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6"/>
      <c r="M27" s="2177"/>
      <c r="N27" s="2177"/>
      <c r="O27" s="2149"/>
      <c r="P27" s="3435"/>
      <c r="Q27" s="1607" t="str">
        <f t="shared" si="11"/>
        <v>成新率</v>
      </c>
      <c r="R27" s="1579" t="s">
        <v>8</v>
      </c>
      <c r="S27" s="1580" t="e">
        <f t="shared" si="12"/>
        <v>#N/A</v>
      </c>
      <c r="T27" s="1579" t="s">
        <v>8</v>
      </c>
      <c r="U27" s="1580" t="e">
        <f t="shared" si="13"/>
        <v>#N/A</v>
      </c>
      <c r="V27" s="1579" t="s">
        <v>8</v>
      </c>
      <c r="W27" s="1580" t="e">
        <f t="shared" si="14"/>
        <v>#N/A</v>
      </c>
      <c r="X27" s="1581"/>
      <c r="Y27" s="3435"/>
      <c r="Z27" s="1582" t="str">
        <f t="shared" si="15"/>
        <v>成新率</v>
      </c>
      <c r="AA27" s="1578" t="e">
        <f t="shared" si="3"/>
        <v>#N/A</v>
      </c>
      <c r="AB27" s="1578" t="e">
        <f t="shared" si="4"/>
        <v>#N/A</v>
      </c>
      <c r="AC27" s="1578"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48"/>
      <c r="M28" s="2140"/>
      <c r="N28" s="2140"/>
      <c r="O28" s="2147"/>
      <c r="P28" s="3435"/>
      <c r="Q28" s="1574" t="str">
        <f t="shared" si="11"/>
        <v>物业等级</v>
      </c>
      <c r="R28" s="1575" t="s">
        <v>8</v>
      </c>
      <c r="S28" s="1576">
        <f t="shared" si="12"/>
        <v>100</v>
      </c>
      <c r="T28" s="1575" t="s">
        <v>8</v>
      </c>
      <c r="U28" s="1576">
        <f t="shared" si="13"/>
        <v>100</v>
      </c>
      <c r="V28" s="1575" t="s">
        <v>8</v>
      </c>
      <c r="W28" s="1576">
        <f t="shared" si="14"/>
        <v>100</v>
      </c>
      <c r="X28" s="1569"/>
      <c r="Y28" s="3435"/>
      <c r="Z28" s="1577" t="str">
        <f t="shared" si="15"/>
        <v>物业等级</v>
      </c>
      <c r="AA28" s="1578">
        <f t="shared" si="3"/>
        <v>1</v>
      </c>
      <c r="AB28" s="1578">
        <f t="shared" si="4"/>
        <v>1</v>
      </c>
      <c r="AC28" s="1578">
        <f t="shared" si="5"/>
        <v>1</v>
      </c>
    </row>
    <row r="29" spans="1:29" ht="15">
      <c r="A29" s="597"/>
      <c r="B29" s="530" t="s">
        <v>825</v>
      </c>
      <c r="C29" s="933"/>
      <c r="D29" s="543">
        <v>100</v>
      </c>
      <c r="E29" s="933"/>
      <c r="F29" s="578">
        <f>SUMIF(84:84,E29,85:85)-SUMIF(84:84,C29,85:85)+100</f>
        <v>100</v>
      </c>
      <c r="G29" s="933"/>
      <c r="H29" s="543">
        <f>SUMIF(84:84,G29,85:85)-SUMIF(84:84,C29,85:85)+100</f>
        <v>100</v>
      </c>
      <c r="I29" s="933"/>
      <c r="J29" s="543">
        <f>SUMIF(84:84,I29,85:85)-SUMIF(84:84,C29,85:85)+100</f>
        <v>100</v>
      </c>
      <c r="K29" s="587"/>
      <c r="L29" s="2148"/>
      <c r="M29" s="2140"/>
      <c r="N29" s="2140"/>
      <c r="O29" s="2147"/>
      <c r="P29" s="3435"/>
      <c r="Q29" s="1574" t="str">
        <f t="shared" si="11"/>
        <v>有无电梯</v>
      </c>
      <c r="R29" s="1575" t="s">
        <v>8</v>
      </c>
      <c r="S29" s="1576">
        <f t="shared" si="12"/>
        <v>100</v>
      </c>
      <c r="T29" s="1575" t="s">
        <v>8</v>
      </c>
      <c r="U29" s="1576">
        <f t="shared" si="13"/>
        <v>100</v>
      </c>
      <c r="V29" s="1575" t="s">
        <v>8</v>
      </c>
      <c r="W29" s="1576">
        <f t="shared" si="14"/>
        <v>100</v>
      </c>
      <c r="X29" s="1569"/>
      <c r="Y29" s="3435"/>
      <c r="Z29" s="1577" t="str">
        <f t="shared" si="15"/>
        <v>有无电梯</v>
      </c>
      <c r="AA29" s="1578">
        <f t="shared" si="3"/>
        <v>1</v>
      </c>
      <c r="AB29" s="1578">
        <f t="shared" si="4"/>
        <v>1</v>
      </c>
      <c r="AC29" s="1578">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8"/>
      <c r="M30" s="2140"/>
      <c r="N30" s="2140"/>
      <c r="O30" s="2147"/>
      <c r="P30" s="3435"/>
      <c r="Q30" s="1574" t="str">
        <f t="shared" si="11"/>
        <v>建筑面积</v>
      </c>
      <c r="R30" s="1575" t="s">
        <v>8</v>
      </c>
      <c r="S30" s="1576" t="e">
        <f t="shared" si="12"/>
        <v>#N/A</v>
      </c>
      <c r="T30" s="1575" t="s">
        <v>8</v>
      </c>
      <c r="U30" s="1576" t="e">
        <f t="shared" si="13"/>
        <v>#N/A</v>
      </c>
      <c r="V30" s="1575" t="s">
        <v>8</v>
      </c>
      <c r="W30" s="1576" t="e">
        <f t="shared" si="14"/>
        <v>#N/A</v>
      </c>
      <c r="X30" s="1569"/>
      <c r="Y30" s="3435"/>
      <c r="Z30" s="1577" t="str">
        <f t="shared" si="15"/>
        <v>建筑面积</v>
      </c>
      <c r="AA30" s="1578" t="e">
        <f t="shared" si="3"/>
        <v>#N/A</v>
      </c>
      <c r="AB30" s="1578" t="e">
        <f t="shared" si="4"/>
        <v>#N/A</v>
      </c>
      <c r="AC30" s="1578" t="e">
        <f t="shared" si="5"/>
        <v>#N/A</v>
      </c>
    </row>
    <row r="31" spans="1:29" s="1220" customFormat="1" ht="15">
      <c r="A31" s="603"/>
      <c r="B31" s="530" t="s">
        <v>827</v>
      </c>
      <c r="C31" s="933"/>
      <c r="D31" s="255">
        <v>100</v>
      </c>
      <c r="E31" s="933"/>
      <c r="F31" s="578">
        <f>SUMIF(89:89,E31,90:90)-SUMIF(89:89,C31,90:90)+100</f>
        <v>100</v>
      </c>
      <c r="G31" s="933"/>
      <c r="H31" s="543">
        <f>SUMIF(89:89,G31,90:90)-SUMIF(89:89,C31,90:90)+100</f>
        <v>100</v>
      </c>
      <c r="I31" s="933"/>
      <c r="J31" s="543">
        <f>SUMIF(89:89,I31,90:90)-SUMIF(89:89,C31,90:90)+100</f>
        <v>100</v>
      </c>
      <c r="K31" s="587"/>
      <c r="L31" s="2141"/>
      <c r="M31" s="2142"/>
      <c r="N31" s="2142"/>
      <c r="O31" s="2143"/>
      <c r="P31" s="3435"/>
      <c r="Q31" s="1151" t="str">
        <f t="shared" si="11"/>
        <v>是否封闭</v>
      </c>
      <c r="R31" s="1570" t="s">
        <v>8</v>
      </c>
      <c r="S31" s="1571">
        <f t="shared" si="12"/>
        <v>100</v>
      </c>
      <c r="T31" s="1570" t="s">
        <v>8</v>
      </c>
      <c r="U31" s="1571">
        <f t="shared" si="13"/>
        <v>100</v>
      </c>
      <c r="V31" s="1570" t="s">
        <v>8</v>
      </c>
      <c r="W31" s="1571">
        <f t="shared" si="14"/>
        <v>100</v>
      </c>
      <c r="X31" s="1572"/>
      <c r="Y31" s="3435"/>
      <c r="Z31" s="1150"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8"/>
      <c r="M32" s="2140"/>
      <c r="N32" s="2140"/>
      <c r="O32" s="2147"/>
      <c r="P32" s="3435" t="s">
        <v>551</v>
      </c>
      <c r="Q32" s="1574">
        <f t="shared" si="11"/>
        <v>111</v>
      </c>
      <c r="R32" s="1575" t="s">
        <v>8</v>
      </c>
      <c r="S32" s="1576">
        <f t="shared" si="12"/>
        <v>100</v>
      </c>
      <c r="T32" s="1575" t="s">
        <v>8</v>
      </c>
      <c r="U32" s="1576">
        <f t="shared" si="13"/>
        <v>100</v>
      </c>
      <c r="V32" s="1575" t="s">
        <v>8</v>
      </c>
      <c r="W32" s="1576">
        <f t="shared" si="14"/>
        <v>100</v>
      </c>
      <c r="X32" s="1569"/>
      <c r="Y32" s="3435" t="s">
        <v>551</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8"/>
      <c r="M33" s="2140"/>
      <c r="N33" s="2140"/>
      <c r="O33" s="2147"/>
      <c r="P33" s="3435"/>
      <c r="Q33" s="1574">
        <f t="shared" si="11"/>
        <v>111</v>
      </c>
      <c r="R33" s="1575" t="s">
        <v>8</v>
      </c>
      <c r="S33" s="1576">
        <f t="shared" si="12"/>
        <v>100</v>
      </c>
      <c r="T33" s="1575" t="s">
        <v>8</v>
      </c>
      <c r="U33" s="1576">
        <f t="shared" si="13"/>
        <v>100</v>
      </c>
      <c r="V33" s="1575" t="s">
        <v>8</v>
      </c>
      <c r="W33" s="1576">
        <f t="shared" si="14"/>
        <v>100</v>
      </c>
      <c r="X33" s="1569"/>
      <c r="Y33" s="3435"/>
      <c r="Z33" s="1577">
        <f t="shared" si="15"/>
        <v>111</v>
      </c>
      <c r="AA33" s="1578">
        <f t="shared" si="3"/>
        <v>1</v>
      </c>
      <c r="AB33" s="1578">
        <f t="shared" si="4"/>
        <v>1</v>
      </c>
      <c r="AC33" s="1578">
        <f t="shared" si="5"/>
        <v>1</v>
      </c>
    </row>
    <row r="34" spans="1:29" ht="15.75" thickBot="1">
      <c r="A34" s="889"/>
      <c r="B34" s="547">
        <v>111</v>
      </c>
      <c r="C34" s="548"/>
      <c r="D34" s="549">
        <v>100</v>
      </c>
      <c r="E34" s="945"/>
      <c r="F34" s="869">
        <f>SUMIF(95:95,E34,96:96)-SUMIF(95:95,C34,96:96)+100</f>
        <v>100</v>
      </c>
      <c r="G34" s="945"/>
      <c r="H34" s="549">
        <f>SUMIF(95:95,G34,96:96)-SUMIF(95:95,C34,96:96)+100</f>
        <v>100</v>
      </c>
      <c r="I34" s="945"/>
      <c r="J34" s="549">
        <f>SUMIF(95:95,I34,96:96)-SUMIF(95:95,C34,96:96)+100</f>
        <v>100</v>
      </c>
      <c r="K34" s="584"/>
      <c r="L34" s="2148"/>
      <c r="M34" s="2140"/>
      <c r="N34" s="2140"/>
      <c r="O34" s="2147"/>
      <c r="P34" s="3435"/>
      <c r="Q34" s="1574">
        <f t="shared" si="11"/>
        <v>111</v>
      </c>
      <c r="R34" s="1575" t="s">
        <v>8</v>
      </c>
      <c r="S34" s="1576">
        <f t="shared" si="12"/>
        <v>100</v>
      </c>
      <c r="T34" s="1575" t="s">
        <v>8</v>
      </c>
      <c r="U34" s="1576">
        <f t="shared" si="13"/>
        <v>100</v>
      </c>
      <c r="V34" s="1575" t="s">
        <v>8</v>
      </c>
      <c r="W34" s="1576">
        <f t="shared" si="14"/>
        <v>100</v>
      </c>
      <c r="X34" s="1569"/>
      <c r="Y34" s="3435"/>
      <c r="Z34" s="1577">
        <f t="shared" si="15"/>
        <v>111</v>
      </c>
      <c r="AA34" s="1578">
        <f t="shared" si="3"/>
        <v>1</v>
      </c>
      <c r="AB34" s="1578">
        <f t="shared" si="4"/>
        <v>1</v>
      </c>
      <c r="AC34" s="1578">
        <f t="shared" si="5"/>
        <v>1</v>
      </c>
    </row>
    <row r="35" spans="1:29" ht="15">
      <c r="A35" s="610" t="s">
        <v>739</v>
      </c>
      <c r="B35" s="890"/>
      <c r="C35" s="2658" t="s">
        <v>1</v>
      </c>
      <c r="D35" s="2659"/>
      <c r="E35" s="2660"/>
      <c r="F35" s="2661"/>
      <c r="G35" s="2662"/>
      <c r="H35" s="2663"/>
      <c r="I35" s="2660"/>
      <c r="J35" s="2663"/>
      <c r="K35" s="1613"/>
      <c r="L35" s="2150"/>
      <c r="M35" s="2151"/>
      <c r="N35" s="2140"/>
      <c r="O35" s="2151"/>
      <c r="P35" s="3430" t="str">
        <f>A35</f>
        <v>成交单价（元/平方米）</v>
      </c>
      <c r="Q35" s="3430"/>
      <c r="R35" s="3528">
        <f>E35</f>
        <v>0</v>
      </c>
      <c r="S35" s="3528"/>
      <c r="T35" s="3528">
        <f>G35</f>
        <v>0</v>
      </c>
      <c r="U35" s="3528"/>
      <c r="V35" s="3528">
        <f>I35</f>
        <v>0</v>
      </c>
      <c r="W35" s="3528"/>
      <c r="X35" s="1561"/>
      <c r="Y35" s="1583"/>
      <c r="Z35" s="1561"/>
      <c r="AA35" s="1561"/>
      <c r="AB35" s="1561"/>
      <c r="AC35" s="1561"/>
    </row>
    <row r="36" spans="1:29" ht="15.75" thickBot="1">
      <c r="A36" s="618" t="s">
        <v>2775</v>
      </c>
      <c r="B36" s="891"/>
      <c r="C36" s="2664" t="e">
        <f>R37</f>
        <v>#DIV/0!</v>
      </c>
      <c r="D36" s="2665"/>
      <c r="E36" s="2666" t="e">
        <f>R36</f>
        <v>#DIV/0!</v>
      </c>
      <c r="F36" s="2666"/>
      <c r="G36" s="2664" t="e">
        <f>T36</f>
        <v>#DIV/0!</v>
      </c>
      <c r="H36" s="2665"/>
      <c r="I36" s="2666" t="e">
        <f>V36</f>
        <v>#DIV/0!</v>
      </c>
      <c r="J36" s="2665"/>
      <c r="K36" s="1614"/>
      <c r="L36" s="2150"/>
      <c r="M36" s="2151"/>
      <c r="N36" s="2140"/>
      <c r="O36" s="2151"/>
      <c r="P36" s="3430" t="str">
        <f>A36</f>
        <v>比较价格（元/平方米）</v>
      </c>
      <c r="Q36" s="3430"/>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61"/>
      <c r="Y36" s="1561"/>
      <c r="Z36" s="1561"/>
      <c r="AA36" s="1561"/>
      <c r="AB36" s="1561"/>
      <c r="AC36" s="1561"/>
    </row>
    <row r="37" spans="1:29" ht="15.75" thickBot="1">
      <c r="A37" s="624" t="s">
        <v>2941</v>
      </c>
      <c r="B37" s="625"/>
      <c r="C37" s="2667" t="e">
        <f>R37</f>
        <v>#DIV/0!</v>
      </c>
      <c r="D37" s="2667"/>
      <c r="E37" s="2667"/>
      <c r="F37" s="2667"/>
      <c r="G37" s="2667"/>
      <c r="H37" s="2667"/>
      <c r="I37" s="2667"/>
      <c r="J37" s="2667"/>
      <c r="K37" s="1615"/>
      <c r="L37" s="2150"/>
      <c r="M37" s="2151"/>
      <c r="N37" s="2151"/>
      <c r="O37" s="2151"/>
      <c r="P37" s="3452" t="str">
        <f>A37</f>
        <v>估价对象XX用房的比较价格（楼面单价，元/平方米）</v>
      </c>
      <c r="Q37" s="3453"/>
      <c r="R37" s="3527" t="e">
        <f>IF(F1="售价",ROUND(AVERAGE(R36:V36),0),ROUND(AVERAGE(R36:V36),1))</f>
        <v>#DIV/0!</v>
      </c>
      <c r="S37" s="3527"/>
      <c r="T37" s="3527"/>
      <c r="U37" s="3527"/>
      <c r="V37" s="3527"/>
      <c r="W37" s="3527"/>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8" t="s">
        <v>530</v>
      </c>
      <c r="B46" s="649"/>
      <c r="C46" s="2837" t="str">
        <f>YEAR(C7)&amp;"-"&amp;MONTH(C7)</f>
        <v>2017-6</v>
      </c>
      <c r="D46" s="2839">
        <f>EDATE(C46,-1)</f>
        <v>42856</v>
      </c>
      <c r="E46" s="2839">
        <f t="shared" ref="E46:O46" si="16">EDATE(D46,-1)</f>
        <v>42826</v>
      </c>
      <c r="F46" s="2839">
        <f t="shared" si="16"/>
        <v>42795</v>
      </c>
      <c r="G46" s="2839">
        <f t="shared" si="16"/>
        <v>42767</v>
      </c>
      <c r="H46" s="2839">
        <f t="shared" si="16"/>
        <v>42736</v>
      </c>
      <c r="I46" s="2839">
        <f t="shared" si="16"/>
        <v>42705</v>
      </c>
      <c r="J46" s="2839">
        <f t="shared" si="16"/>
        <v>42675</v>
      </c>
      <c r="K46" s="2839">
        <f t="shared" si="16"/>
        <v>42644</v>
      </c>
      <c r="L46" s="2839">
        <f t="shared" si="16"/>
        <v>42614</v>
      </c>
      <c r="M46" s="2839">
        <f t="shared" si="16"/>
        <v>42583</v>
      </c>
      <c r="N46" s="2839">
        <f t="shared" si="16"/>
        <v>42552</v>
      </c>
      <c r="O46" s="2839">
        <f t="shared" si="16"/>
        <v>42522</v>
      </c>
      <c r="P46" s="2166"/>
      <c r="Q46" s="2167"/>
      <c r="R46" s="2167"/>
      <c r="S46" s="2167"/>
      <c r="T46" s="2167"/>
      <c r="U46" s="2167"/>
      <c r="V46" s="2167"/>
      <c r="W46" s="2167"/>
      <c r="X46" s="2167"/>
      <c r="Y46" s="2167"/>
      <c r="Z46" s="2167"/>
      <c r="AA46" s="2167"/>
      <c r="AB46" s="2167"/>
      <c r="AC46" s="2167"/>
    </row>
    <row r="47" spans="1:29" s="1220" customFormat="1" ht="15">
      <c r="A47" s="650"/>
      <c r="B47" s="651"/>
      <c r="C47" s="652">
        <v>100</v>
      </c>
      <c r="D47" s="653"/>
      <c r="E47" s="653"/>
      <c r="F47" s="653"/>
      <c r="G47" s="653"/>
      <c r="H47" s="653"/>
      <c r="I47" s="653"/>
      <c r="J47" s="653"/>
      <c r="K47" s="653"/>
      <c r="L47" s="653"/>
      <c r="M47" s="654"/>
      <c r="N47" s="653"/>
      <c r="O47" s="655"/>
      <c r="P47" s="2164"/>
      <c r="Q47" s="1995"/>
      <c r="R47" s="1995"/>
      <c r="S47" s="1995"/>
      <c r="T47" s="1995"/>
      <c r="U47" s="1995"/>
      <c r="V47" s="1995"/>
      <c r="W47" s="1995"/>
      <c r="X47" s="1995"/>
      <c r="Y47" s="1995"/>
      <c r="Z47" s="1995"/>
      <c r="AA47" s="1995"/>
      <c r="AB47" s="1995"/>
      <c r="AC47" s="1995"/>
    </row>
    <row r="48" spans="1:29" s="1220" customFormat="1" ht="15.75" thickBot="1">
      <c r="A48" s="656" t="s">
        <v>576</v>
      </c>
      <c r="B48" s="657"/>
      <c r="C48" s="658"/>
      <c r="D48" s="659"/>
      <c r="E48" s="659"/>
      <c r="F48" s="659"/>
      <c r="G48" s="659"/>
      <c r="H48" s="659"/>
      <c r="I48" s="659"/>
      <c r="J48" s="659"/>
      <c r="K48" s="659"/>
      <c r="L48" s="659"/>
      <c r="M48" s="660"/>
      <c r="N48" s="659"/>
      <c r="O48" s="661"/>
      <c r="P48" s="2164"/>
      <c r="Q48" s="2164"/>
      <c r="R48" s="1995"/>
      <c r="S48" s="1995"/>
      <c r="T48" s="1995"/>
      <c r="U48" s="1995"/>
      <c r="V48" s="1995"/>
      <c r="W48" s="1995"/>
      <c r="X48" s="1995"/>
      <c r="Y48" s="1995"/>
      <c r="Z48" s="1995"/>
      <c r="AA48" s="1995"/>
      <c r="AB48" s="1995"/>
      <c r="AC48" s="1995"/>
    </row>
    <row r="49" spans="1:29" s="1220" customFormat="1" ht="15">
      <c r="A49" s="662" t="s">
        <v>532</v>
      </c>
      <c r="B49" s="651"/>
      <c r="C49" s="663" t="s">
        <v>577</v>
      </c>
      <c r="D49" s="664"/>
      <c r="E49" s="664"/>
      <c r="F49" s="664"/>
      <c r="G49" s="664"/>
      <c r="H49" s="664"/>
      <c r="I49" s="664"/>
      <c r="J49" s="664"/>
      <c r="K49" s="664"/>
      <c r="L49" s="665"/>
      <c r="M49" s="666"/>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2"/>
      <c r="B50" s="651"/>
      <c r="C50" s="652">
        <v>100</v>
      </c>
      <c r="D50" s="653"/>
      <c r="E50" s="653"/>
      <c r="F50" s="653"/>
      <c r="G50" s="653"/>
      <c r="H50" s="653"/>
      <c r="I50" s="653"/>
      <c r="J50" s="653"/>
      <c r="K50" s="653"/>
      <c r="L50" s="653"/>
      <c r="M50" s="655"/>
      <c r="N50" s="2168"/>
      <c r="O50" s="2168"/>
      <c r="P50" s="2164"/>
      <c r="Q50" s="2164"/>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70"/>
      <c r="O51" s="2170"/>
      <c r="P51" s="2171"/>
      <c r="Q51" s="2164"/>
      <c r="R51" s="2151"/>
      <c r="S51" s="2151"/>
      <c r="T51" s="2151"/>
      <c r="U51" s="2151"/>
      <c r="V51" s="2151"/>
      <c r="W51" s="2151"/>
      <c r="X51" s="2151"/>
      <c r="Y51" s="2151"/>
      <c r="Z51" s="2151"/>
      <c r="AA51" s="2151"/>
      <c r="AB51" s="2151"/>
      <c r="AC51" s="2151"/>
    </row>
    <row r="52" spans="1:29" ht="15.75" thickBot="1">
      <c r="A52" s="672"/>
      <c r="B52" s="673"/>
      <c r="C52" s="674">
        <v>100</v>
      </c>
      <c r="D52" s="674"/>
      <c r="E52" s="674"/>
      <c r="F52" s="674"/>
      <c r="G52" s="674"/>
      <c r="H52" s="674"/>
      <c r="I52" s="674"/>
      <c r="J52" s="674"/>
      <c r="K52" s="674"/>
      <c r="L52" s="674"/>
      <c r="M52" s="675"/>
      <c r="N52" s="2172"/>
      <c r="O52" s="2172"/>
      <c r="P52" s="2171"/>
      <c r="Q52" s="2164"/>
      <c r="R52" s="2151"/>
      <c r="S52" s="2151"/>
      <c r="T52" s="2151"/>
      <c r="U52" s="2151"/>
      <c r="V52" s="2151"/>
      <c r="W52" s="2151"/>
      <c r="X52" s="2151"/>
      <c r="Y52" s="2151"/>
      <c r="Z52" s="2151"/>
      <c r="AA52" s="2151"/>
      <c r="AB52" s="2151"/>
      <c r="AC52" s="2151"/>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0"/>
      <c r="O53" s="2170"/>
      <c r="P53" s="2171"/>
      <c r="Q53" s="2164"/>
      <c r="R53" s="2151"/>
      <c r="S53" s="2151"/>
      <c r="T53" s="2151"/>
      <c r="U53" s="2151"/>
      <c r="V53" s="2151"/>
      <c r="W53" s="2151"/>
      <c r="X53" s="2151"/>
      <c r="Y53" s="2151"/>
      <c r="Z53" s="2151"/>
      <c r="AA53" s="2151"/>
      <c r="AB53" s="2151"/>
      <c r="AC53" s="2151"/>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2"/>
      <c r="O54" s="2172"/>
      <c r="P54" s="2171"/>
      <c r="Q54" s="2164"/>
      <c r="R54" s="2151"/>
      <c r="S54" s="2151"/>
      <c r="T54" s="2151"/>
      <c r="U54" s="2151"/>
      <c r="V54" s="2151"/>
      <c r="W54" s="2151"/>
      <c r="X54" s="2151"/>
      <c r="Y54" s="2151"/>
      <c r="Z54" s="2151"/>
      <c r="AA54" s="2151"/>
      <c r="AB54" s="2151"/>
      <c r="AC54" s="2151"/>
    </row>
    <row r="55" spans="1:29" ht="15.75" thickTop="1">
      <c r="A55" s="672"/>
      <c r="B55" s="936">
        <f>B11</f>
        <v>111</v>
      </c>
      <c r="C55" s="544"/>
      <c r="D55" s="544"/>
      <c r="E55" s="544"/>
      <c r="F55" s="544"/>
      <c r="G55" s="544"/>
      <c r="H55" s="544"/>
      <c r="I55" s="544"/>
      <c r="J55" s="544"/>
      <c r="K55" s="687"/>
      <c r="L55" s="688"/>
      <c r="M55" s="689"/>
      <c r="N55" s="2170"/>
      <c r="O55" s="2170"/>
      <c r="P55" s="2171"/>
      <c r="Q55" s="2164"/>
      <c r="R55" s="2151"/>
      <c r="S55" s="2151"/>
      <c r="T55" s="2151"/>
      <c r="U55" s="2151"/>
      <c r="V55" s="2151"/>
      <c r="W55" s="2151"/>
      <c r="X55" s="2151"/>
      <c r="Y55" s="2151"/>
      <c r="Z55" s="2151"/>
      <c r="AA55" s="2151"/>
      <c r="AB55" s="2151"/>
      <c r="AC55" s="2151"/>
    </row>
    <row r="56" spans="1:29" ht="15.75" thickBot="1">
      <c r="A56" s="672"/>
      <c r="B56" s="673"/>
      <c r="C56" s="695"/>
      <c r="D56" s="674"/>
      <c r="E56" s="674"/>
      <c r="F56" s="674"/>
      <c r="G56" s="674"/>
      <c r="H56" s="674"/>
      <c r="I56" s="674"/>
      <c r="J56" s="674"/>
      <c r="K56" s="674"/>
      <c r="L56" s="674"/>
      <c r="M56" s="675"/>
      <c r="N56" s="2172"/>
      <c r="O56" s="2172"/>
      <c r="P56" s="2171"/>
      <c r="Q56" s="2164"/>
      <c r="R56" s="2151"/>
      <c r="S56" s="2151"/>
      <c r="T56" s="2151"/>
      <c r="U56" s="2151"/>
      <c r="V56" s="2151"/>
      <c r="W56" s="2151"/>
      <c r="X56" s="2151"/>
      <c r="Y56" s="2151"/>
      <c r="Z56" s="2151"/>
      <c r="AA56" s="2151"/>
      <c r="AB56" s="2151"/>
      <c r="AC56" s="2151"/>
    </row>
    <row r="57" spans="1:29" s="1339" customFormat="1" ht="15.75" thickTop="1">
      <c r="A57" s="690"/>
      <c r="B57" s="676">
        <f>B12</f>
        <v>111</v>
      </c>
      <c r="C57" s="544"/>
      <c r="D57" s="544"/>
      <c r="E57" s="544"/>
      <c r="F57" s="544"/>
      <c r="G57" s="691"/>
      <c r="H57" s="692"/>
      <c r="I57" s="692"/>
      <c r="J57" s="692"/>
      <c r="K57" s="692"/>
      <c r="L57" s="693"/>
      <c r="M57" s="694"/>
      <c r="N57" s="2173"/>
      <c r="O57" s="2173"/>
      <c r="P57" s="2174"/>
      <c r="Q57" s="2175"/>
      <c r="R57" s="2176"/>
      <c r="S57" s="2176"/>
      <c r="T57" s="2176"/>
      <c r="U57" s="2176"/>
      <c r="V57" s="2176"/>
      <c r="W57" s="2176"/>
      <c r="X57" s="2176"/>
      <c r="Y57" s="2176"/>
      <c r="Z57" s="2176"/>
      <c r="AA57" s="2176"/>
      <c r="AB57" s="2176"/>
      <c r="AC57" s="2176"/>
    </row>
    <row r="58" spans="1:29" s="1339" customFormat="1" ht="15.75" thickBot="1">
      <c r="A58" s="690"/>
      <c r="B58" s="681"/>
      <c r="C58" s="695"/>
      <c r="D58" s="674"/>
      <c r="E58" s="674"/>
      <c r="F58" s="674"/>
      <c r="G58" s="674"/>
      <c r="H58" s="674"/>
      <c r="I58" s="674"/>
      <c r="J58" s="674"/>
      <c r="K58" s="674"/>
      <c r="L58" s="674"/>
      <c r="M58" s="675"/>
      <c r="N58" s="2172"/>
      <c r="O58" s="2172"/>
      <c r="P58" s="2174"/>
      <c r="Q58" s="2175"/>
      <c r="R58" s="2176"/>
      <c r="S58" s="2176"/>
      <c r="T58" s="2176"/>
      <c r="U58" s="2176"/>
      <c r="V58" s="2176"/>
      <c r="W58" s="2176"/>
      <c r="X58" s="2176"/>
      <c r="Y58" s="2176"/>
      <c r="Z58" s="2176"/>
      <c r="AA58" s="2176"/>
      <c r="AB58" s="2176"/>
      <c r="AC58" s="2176"/>
    </row>
    <row r="59" spans="1:29" s="1339" customFormat="1" ht="15.75" thickTop="1">
      <c r="A59" s="690"/>
      <c r="B59" s="676">
        <f>B13</f>
        <v>111</v>
      </c>
      <c r="C59" s="544"/>
      <c r="D59" s="544"/>
      <c r="E59" s="544"/>
      <c r="F59" s="544"/>
      <c r="G59" s="691"/>
      <c r="H59" s="692"/>
      <c r="I59" s="692"/>
      <c r="J59" s="692"/>
      <c r="K59" s="692"/>
      <c r="L59" s="693"/>
      <c r="M59" s="694"/>
      <c r="N59" s="2173"/>
      <c r="O59" s="2173"/>
      <c r="P59" s="2177"/>
      <c r="Q59" s="2178"/>
      <c r="R59" s="2176"/>
      <c r="S59" s="2176"/>
      <c r="T59" s="2176"/>
      <c r="U59" s="2176"/>
      <c r="V59" s="2176"/>
      <c r="W59" s="2176"/>
      <c r="X59" s="2176"/>
      <c r="Y59" s="2176"/>
      <c r="Z59" s="2176"/>
      <c r="AA59" s="2176"/>
      <c r="AB59" s="2176"/>
      <c r="AC59" s="2176"/>
    </row>
    <row r="60" spans="1:29" s="1339" customFormat="1" ht="15.75" thickBot="1">
      <c r="A60" s="690"/>
      <c r="B60" s="681"/>
      <c r="C60" s="695"/>
      <c r="D60" s="695"/>
      <c r="E60" s="695"/>
      <c r="F60" s="695"/>
      <c r="G60" s="695"/>
      <c r="H60" s="696"/>
      <c r="I60" s="696"/>
      <c r="J60" s="696"/>
      <c r="K60" s="696"/>
      <c r="L60" s="696"/>
      <c r="M60" s="697"/>
      <c r="N60" s="2173"/>
      <c r="O60" s="2173"/>
      <c r="P60" s="2174"/>
      <c r="Q60" s="2175"/>
      <c r="R60" s="2176"/>
      <c r="S60" s="2176"/>
      <c r="T60" s="2176"/>
      <c r="U60" s="2176"/>
      <c r="V60" s="2176"/>
      <c r="W60" s="2176"/>
      <c r="X60" s="2176"/>
      <c r="Y60" s="2176"/>
      <c r="Z60" s="2176"/>
      <c r="AA60" s="2176"/>
      <c r="AB60" s="2176"/>
      <c r="AC60" s="2176"/>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0"/>
      <c r="O61" s="2170"/>
      <c r="P61" s="2180"/>
      <c r="Q61" s="2164"/>
      <c r="R61" s="2151"/>
      <c r="S61" s="2151"/>
      <c r="T61" s="2151"/>
      <c r="U61" s="2151"/>
      <c r="V61" s="2151"/>
      <c r="W61" s="2151"/>
      <c r="X61" s="2151"/>
      <c r="Y61" s="2151"/>
      <c r="Z61" s="2151"/>
      <c r="AA61" s="2151"/>
      <c r="AB61" s="2151"/>
      <c r="AC61" s="2151"/>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2"/>
      <c r="O62" s="2172"/>
      <c r="P62" s="2171"/>
      <c r="Q62" s="2164"/>
      <c r="R62" s="2151"/>
      <c r="S62" s="2151"/>
      <c r="T62" s="2151"/>
      <c r="U62" s="2151"/>
      <c r="V62" s="2151"/>
      <c r="W62" s="2151"/>
      <c r="X62" s="2151"/>
      <c r="Y62" s="2151"/>
      <c r="Z62" s="2151"/>
      <c r="AA62" s="2151"/>
      <c r="AB62" s="2151"/>
      <c r="AC62" s="2151"/>
    </row>
    <row r="63" spans="1:29" ht="15.75" thickTop="1">
      <c r="A63" s="672"/>
      <c r="B63" s="1899" t="s">
        <v>2569</v>
      </c>
      <c r="C63" s="711" t="s">
        <v>580</v>
      </c>
      <c r="D63" s="711" t="s">
        <v>581</v>
      </c>
      <c r="E63" s="711" t="s">
        <v>582</v>
      </c>
      <c r="F63" s="711" t="s">
        <v>583</v>
      </c>
      <c r="G63" s="711" t="s">
        <v>584</v>
      </c>
      <c r="H63" s="677"/>
      <c r="I63" s="677"/>
      <c r="J63" s="677"/>
      <c r="K63" s="678"/>
      <c r="L63" s="679"/>
      <c r="M63" s="680"/>
      <c r="N63" s="2170"/>
      <c r="O63" s="2170"/>
      <c r="P63" s="2171"/>
      <c r="Q63" s="2164"/>
      <c r="R63" s="2151"/>
      <c r="S63" s="2151"/>
      <c r="T63" s="2151"/>
      <c r="U63" s="2151"/>
      <c r="V63" s="2151"/>
      <c r="W63" s="2151"/>
      <c r="X63" s="2151"/>
      <c r="Y63" s="2151"/>
      <c r="Z63" s="2151"/>
      <c r="AA63" s="2151"/>
      <c r="AB63" s="2151"/>
      <c r="AC63" s="2151"/>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2628" t="s">
        <v>2570</v>
      </c>
      <c r="C65" s="2629" t="s">
        <v>2571</v>
      </c>
      <c r="D65" s="2629" t="s">
        <v>2572</v>
      </c>
      <c r="E65" s="2629" t="s">
        <v>2573</v>
      </c>
      <c r="F65" s="2629" t="s">
        <v>2574</v>
      </c>
      <c r="G65" s="2629" t="s">
        <v>2575</v>
      </c>
      <c r="H65" s="677"/>
      <c r="I65" s="677"/>
      <c r="J65" s="677"/>
      <c r="K65" s="677"/>
      <c r="L65" s="677"/>
      <c r="M65" s="2632"/>
      <c r="N65" s="2172"/>
      <c r="O65" s="2172"/>
      <c r="P65" s="2171"/>
      <c r="Q65" s="2164"/>
      <c r="R65" s="2151"/>
      <c r="S65" s="2151"/>
      <c r="T65" s="2151"/>
      <c r="U65" s="2151"/>
      <c r="V65" s="2151"/>
      <c r="W65" s="2151"/>
      <c r="X65" s="2151"/>
      <c r="Y65" s="2151"/>
      <c r="Z65" s="2151"/>
      <c r="AA65" s="2151"/>
      <c r="AB65" s="2151"/>
      <c r="AC65" s="2151"/>
    </row>
    <row r="66" spans="1:29" ht="15.75" thickBot="1">
      <c r="A66" s="672"/>
      <c r="B66" s="684"/>
      <c r="C66" s="682">
        <v>100</v>
      </c>
      <c r="D66" s="682">
        <f>C66-$K18</f>
        <v>100</v>
      </c>
      <c r="E66" s="682">
        <f>D66-$K18</f>
        <v>100</v>
      </c>
      <c r="F66" s="682">
        <f>E66-$K18</f>
        <v>100</v>
      </c>
      <c r="G66" s="682">
        <f>F66-$K18</f>
        <v>100</v>
      </c>
      <c r="H66" s="936"/>
      <c r="I66" s="936"/>
      <c r="J66" s="936"/>
      <c r="K66" s="936"/>
      <c r="L66" s="936"/>
      <c r="M66" s="562"/>
      <c r="N66" s="2172"/>
      <c r="O66" s="2172"/>
      <c r="P66" s="2171"/>
      <c r="Q66" s="2164"/>
      <c r="R66" s="2151"/>
      <c r="S66" s="2151"/>
      <c r="T66" s="2151"/>
      <c r="U66" s="2151"/>
      <c r="V66" s="2151"/>
      <c r="W66" s="2151"/>
      <c r="X66" s="2151"/>
      <c r="Y66" s="2151"/>
      <c r="Z66" s="2151"/>
      <c r="AA66" s="2151"/>
      <c r="AB66" s="2151"/>
      <c r="AC66" s="2151"/>
    </row>
    <row r="67" spans="1:29" ht="15.75" thickTop="1">
      <c r="A67" s="672"/>
      <c r="B67" s="676" t="s">
        <v>747</v>
      </c>
      <c r="C67" s="711" t="s">
        <v>580</v>
      </c>
      <c r="D67" s="711" t="s">
        <v>581</v>
      </c>
      <c r="E67" s="711" t="s">
        <v>582</v>
      </c>
      <c r="F67" s="711" t="s">
        <v>583</v>
      </c>
      <c r="G67" s="711" t="s">
        <v>584</v>
      </c>
      <c r="H67" s="677"/>
      <c r="I67" s="677"/>
      <c r="J67" s="677"/>
      <c r="K67" s="678"/>
      <c r="L67" s="679"/>
      <c r="M67" s="680"/>
      <c r="N67" s="2170"/>
      <c r="O67" s="2170"/>
      <c r="P67" s="2171"/>
      <c r="Q67" s="2164"/>
      <c r="R67" s="2151"/>
      <c r="S67" s="2151"/>
      <c r="T67" s="2151"/>
      <c r="U67" s="2151"/>
      <c r="V67" s="2151"/>
      <c r="W67" s="2151"/>
      <c r="X67" s="2151"/>
      <c r="Y67" s="2151"/>
      <c r="Z67" s="2151"/>
      <c r="AA67" s="2151"/>
      <c r="AB67" s="2151"/>
      <c r="AC67" s="2151"/>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748</v>
      </c>
      <c r="C69" s="691"/>
      <c r="D69" s="691"/>
      <c r="E69" s="691"/>
      <c r="F69" s="691"/>
      <c r="G69" s="691"/>
      <c r="H69" s="721"/>
      <c r="I69" s="721"/>
      <c r="J69" s="721"/>
      <c r="K69" s="722"/>
      <c r="L69" s="723"/>
      <c r="M69" s="724"/>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C70-$K22</f>
        <v>100</v>
      </c>
      <c r="E70" s="682"/>
      <c r="F70" s="682"/>
      <c r="G70" s="682"/>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2"/>
      <c r="B71" s="676">
        <f>B23</f>
        <v>111</v>
      </c>
      <c r="C71" s="544"/>
      <c r="D71" s="544"/>
      <c r="E71" s="544"/>
      <c r="F71" s="544"/>
      <c r="G71" s="691"/>
      <c r="H71" s="691"/>
      <c r="I71" s="691"/>
      <c r="J71" s="691"/>
      <c r="K71" s="691"/>
      <c r="L71" s="893"/>
      <c r="M71" s="894"/>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2"/>
      <c r="B72" s="681"/>
      <c r="C72" s="695"/>
      <c r="D72" s="674"/>
      <c r="E72" s="674"/>
      <c r="F72" s="674"/>
      <c r="G72" s="674"/>
      <c r="H72" s="674"/>
      <c r="I72" s="674"/>
      <c r="J72" s="674"/>
      <c r="K72" s="674"/>
      <c r="L72" s="674"/>
      <c r="M72" s="675"/>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2"/>
      <c r="B73" s="676">
        <f>B24</f>
        <v>111</v>
      </c>
      <c r="C73" s="544"/>
      <c r="D73" s="544"/>
      <c r="E73" s="544"/>
      <c r="F73" s="544"/>
      <c r="G73" s="691"/>
      <c r="H73" s="691"/>
      <c r="I73" s="691"/>
      <c r="J73" s="691"/>
      <c r="K73" s="691"/>
      <c r="L73" s="691"/>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339" customFormat="1" ht="15.75" thickTop="1">
      <c r="A75" s="690"/>
      <c r="B75" s="676">
        <f>B25</f>
        <v>111</v>
      </c>
      <c r="C75" s="544"/>
      <c r="D75" s="544"/>
      <c r="E75" s="544"/>
      <c r="F75" s="544"/>
      <c r="G75" s="691"/>
      <c r="H75" s="692"/>
      <c r="I75" s="692"/>
      <c r="J75" s="692"/>
      <c r="K75" s="692"/>
      <c r="L75" s="693"/>
      <c r="M75" s="694"/>
      <c r="N75" s="2173"/>
      <c r="O75" s="2173"/>
      <c r="P75" s="2174"/>
      <c r="Q75" s="2175"/>
      <c r="R75" s="2176"/>
      <c r="S75" s="2176"/>
      <c r="T75" s="2176"/>
      <c r="U75" s="2176"/>
      <c r="V75" s="2176"/>
      <c r="W75" s="2176"/>
      <c r="X75" s="2176"/>
      <c r="Y75" s="2176"/>
      <c r="Z75" s="2176"/>
      <c r="AA75" s="2176"/>
      <c r="AB75" s="2176"/>
      <c r="AC75" s="2176"/>
    </row>
    <row r="76" spans="1:29" s="1339" customFormat="1" ht="15.75" thickBot="1">
      <c r="A76" s="690"/>
      <c r="B76" s="681"/>
      <c r="C76" s="695"/>
      <c r="D76" s="695"/>
      <c r="E76" s="695"/>
      <c r="F76" s="695"/>
      <c r="G76" s="674"/>
      <c r="H76" s="674"/>
      <c r="I76" s="674"/>
      <c r="J76" s="674"/>
      <c r="K76" s="674"/>
      <c r="L76" s="674"/>
      <c r="M76" s="675"/>
      <c r="N76" s="2173"/>
      <c r="O76" s="2173"/>
      <c r="P76" s="2174"/>
      <c r="Q76" s="2175"/>
      <c r="R76" s="2176"/>
      <c r="S76" s="2176"/>
      <c r="T76" s="2176"/>
      <c r="U76" s="2176"/>
      <c r="V76" s="2176"/>
      <c r="W76" s="2176"/>
      <c r="X76" s="2176"/>
      <c r="Y76" s="2176"/>
      <c r="Z76" s="2176"/>
      <c r="AA76" s="2176"/>
      <c r="AB76" s="2176"/>
      <c r="AC76" s="2176"/>
    </row>
    <row r="77" spans="1:29" ht="15" thickTop="1">
      <c r="A77" s="667" t="s">
        <v>552</v>
      </c>
      <c r="B77" s="668" t="s">
        <v>754</v>
      </c>
      <c r="C77" s="691"/>
      <c r="D77" s="691"/>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8"/>
      <c r="O79" s="2168"/>
      <c r="P79" s="2171"/>
      <c r="Q79" s="2164"/>
      <c r="R79" s="2151"/>
      <c r="S79" s="2151"/>
      <c r="T79" s="2151"/>
      <c r="U79" s="2151"/>
      <c r="V79" s="2151"/>
      <c r="W79" s="2151"/>
      <c r="X79" s="2151"/>
      <c r="Y79" s="2151"/>
      <c r="Z79" s="2151"/>
      <c r="AA79" s="2151"/>
      <c r="AB79" s="2151"/>
      <c r="AC79" s="2151"/>
    </row>
    <row r="80" spans="1:29" ht="15">
      <c r="A80" s="672"/>
      <c r="B80" s="684"/>
      <c r="C80" s="897">
        <v>0.5</v>
      </c>
      <c r="D80" s="897">
        <v>0.6</v>
      </c>
      <c r="E80" s="897">
        <v>0.7</v>
      </c>
      <c r="F80" s="897">
        <v>0.8</v>
      </c>
      <c r="G80" s="897">
        <v>0.9</v>
      </c>
      <c r="H80" s="897">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8"/>
      <c r="B82" s="684" t="s">
        <v>820</v>
      </c>
      <c r="C82" s="691"/>
      <c r="D82" s="691"/>
      <c r="E82" s="721"/>
      <c r="F82" s="721"/>
      <c r="G82" s="721"/>
      <c r="H82" s="721"/>
      <c r="I82" s="721"/>
      <c r="J82" s="721"/>
      <c r="K82" s="722"/>
      <c r="L82" s="723"/>
      <c r="M82" s="724"/>
      <c r="N82" s="2170"/>
      <c r="O82" s="2170"/>
      <c r="P82" s="2171"/>
      <c r="Q82" s="2164"/>
      <c r="R82" s="2151"/>
      <c r="S82" s="2151"/>
      <c r="T82" s="2151"/>
      <c r="U82" s="2151"/>
      <c r="V82" s="2151"/>
      <c r="W82" s="2151"/>
      <c r="X82" s="2151"/>
      <c r="Y82" s="2151"/>
      <c r="Z82" s="2151"/>
      <c r="AA82" s="2151"/>
      <c r="AB82" s="2151"/>
      <c r="AC82" s="2151"/>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8"/>
      <c r="B84" s="676" t="s">
        <v>828</v>
      </c>
      <c r="C84" s="691"/>
      <c r="D84" s="691"/>
      <c r="E84" s="691"/>
      <c r="F84" s="691"/>
      <c r="G84" s="691"/>
      <c r="H84" s="691"/>
      <c r="I84" s="721"/>
      <c r="J84" s="721"/>
      <c r="K84" s="722"/>
      <c r="L84" s="723"/>
      <c r="M84" s="724"/>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0"/>
      <c r="O86" s="2170"/>
      <c r="P86" s="2171"/>
      <c r="Q86" s="2164"/>
      <c r="R86" s="2151"/>
      <c r="S86" s="2151"/>
      <c r="T86" s="2151"/>
      <c r="U86" s="2151"/>
      <c r="V86" s="2151"/>
      <c r="W86" s="2151"/>
      <c r="X86" s="2151"/>
      <c r="Y86" s="2151"/>
      <c r="Z86" s="2151"/>
      <c r="AA86" s="2151"/>
      <c r="AB86" s="2151"/>
      <c r="AC86" s="2151"/>
    </row>
    <row r="87" spans="1:29">
      <c r="A87" s="738"/>
      <c r="B87" s="684"/>
      <c r="C87" s="733"/>
      <c r="D87" s="733"/>
      <c r="E87" s="733"/>
      <c r="F87" s="733"/>
      <c r="G87" s="733"/>
      <c r="H87" s="733"/>
      <c r="I87" s="733"/>
      <c r="J87" s="734"/>
      <c r="K87" s="734"/>
      <c r="L87" s="735"/>
      <c r="M87" s="736"/>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95"/>
      <c r="D88" s="674"/>
      <c r="E88" s="674"/>
      <c r="F88" s="674"/>
      <c r="G88" s="674"/>
      <c r="H88" s="674"/>
      <c r="I88" s="674"/>
      <c r="J88" s="674"/>
      <c r="K88" s="674"/>
      <c r="L88" s="674"/>
      <c r="M88" s="674"/>
      <c r="N88" s="2172"/>
      <c r="O88" s="2172"/>
      <c r="P88" s="2171"/>
      <c r="Q88" s="2164"/>
      <c r="R88" s="2151"/>
      <c r="S88" s="2151"/>
      <c r="T88" s="2151"/>
      <c r="U88" s="2151"/>
      <c r="V88" s="2151"/>
      <c r="W88" s="2151"/>
      <c r="X88" s="2151"/>
      <c r="Y88" s="2151"/>
      <c r="Z88" s="2151"/>
      <c r="AA88" s="2151"/>
      <c r="AB88" s="2151"/>
      <c r="AC88" s="2151"/>
    </row>
    <row r="89" spans="1:29" s="1339" customFormat="1" ht="15" thickTop="1">
      <c r="A89" s="731"/>
      <c r="B89" s="676" t="s">
        <v>830</v>
      </c>
      <c r="C89" s="691"/>
      <c r="D89" s="691"/>
      <c r="E89" s="691"/>
      <c r="F89" s="691"/>
      <c r="G89" s="691"/>
      <c r="H89" s="691"/>
      <c r="I89" s="691"/>
      <c r="J89" s="691"/>
      <c r="K89" s="691"/>
      <c r="L89" s="691"/>
      <c r="M89" s="894"/>
      <c r="N89" s="2173"/>
      <c r="O89" s="2173"/>
      <c r="P89" s="2174"/>
      <c r="Q89" s="2175"/>
      <c r="R89" s="2176"/>
      <c r="S89" s="2176"/>
      <c r="T89" s="2176"/>
      <c r="U89" s="2176"/>
      <c r="V89" s="2176"/>
      <c r="W89" s="2176"/>
      <c r="X89" s="2176"/>
      <c r="Y89" s="2176"/>
      <c r="Z89" s="2176"/>
      <c r="AA89" s="2176"/>
      <c r="AB89" s="2176"/>
      <c r="AC89" s="2176"/>
    </row>
    <row r="90" spans="1:29" s="1339" customFormat="1" ht="15.75" thickBot="1">
      <c r="A90" s="690"/>
      <c r="B90" s="681"/>
      <c r="C90" s="695"/>
      <c r="D90" s="674"/>
      <c r="E90" s="674"/>
      <c r="F90" s="674"/>
      <c r="G90" s="674"/>
      <c r="H90" s="674"/>
      <c r="I90" s="674"/>
      <c r="J90" s="674"/>
      <c r="K90" s="674"/>
      <c r="L90" s="674"/>
      <c r="M90" s="675"/>
      <c r="N90" s="2173"/>
      <c r="O90" s="2173"/>
      <c r="P90" s="2174"/>
      <c r="Q90" s="2175"/>
      <c r="R90" s="2176"/>
      <c r="S90" s="2176"/>
      <c r="T90" s="2176"/>
      <c r="U90" s="2176"/>
      <c r="V90" s="2176"/>
      <c r="W90" s="2176"/>
      <c r="X90" s="2176"/>
      <c r="Y90" s="2176"/>
      <c r="Z90" s="2176"/>
      <c r="AA90" s="2176"/>
      <c r="AB90" s="2176"/>
      <c r="AC90" s="2176"/>
    </row>
    <row r="91" spans="1:29" ht="15" thickTop="1">
      <c r="A91" s="738"/>
      <c r="B91" s="676">
        <f>B32</f>
        <v>111</v>
      </c>
      <c r="C91" s="544"/>
      <c r="D91" s="544"/>
      <c r="E91" s="544"/>
      <c r="F91" s="544"/>
      <c r="G91" s="691"/>
      <c r="H91" s="692"/>
      <c r="I91" s="692"/>
      <c r="J91" s="692"/>
      <c r="K91" s="692"/>
      <c r="L91" s="693"/>
      <c r="M91" s="694"/>
      <c r="N91" s="2170"/>
      <c r="O91" s="2170"/>
      <c r="P91" s="2171"/>
      <c r="Q91" s="2164"/>
      <c r="R91" s="2151"/>
      <c r="S91" s="2151"/>
      <c r="T91" s="2151"/>
      <c r="U91" s="2151"/>
      <c r="V91" s="2151"/>
      <c r="W91" s="2151"/>
      <c r="X91" s="2151"/>
      <c r="Y91" s="2151"/>
      <c r="Z91" s="2151"/>
      <c r="AA91" s="2151"/>
      <c r="AB91" s="2151"/>
      <c r="AC91" s="2151"/>
    </row>
    <row r="92" spans="1:29" ht="15.75" thickBot="1">
      <c r="A92" s="672"/>
      <c r="B92" s="681"/>
      <c r="C92" s="695"/>
      <c r="D92" s="674"/>
      <c r="E92" s="674"/>
      <c r="F92" s="674"/>
      <c r="G92" s="695"/>
      <c r="H92" s="696"/>
      <c r="I92" s="696"/>
      <c r="J92" s="696"/>
      <c r="K92" s="696"/>
      <c r="L92" s="696"/>
      <c r="M92" s="697"/>
      <c r="N92" s="2172"/>
      <c r="O92" s="2172"/>
      <c r="P92" s="2171"/>
      <c r="Q92" s="2164"/>
      <c r="R92" s="2151"/>
      <c r="S92" s="2151"/>
      <c r="T92" s="2151"/>
      <c r="U92" s="2151"/>
      <c r="V92" s="2151"/>
      <c r="W92" s="2151"/>
      <c r="X92" s="2151"/>
      <c r="Y92" s="2151"/>
      <c r="Z92" s="2151"/>
      <c r="AA92" s="2151"/>
      <c r="AB92" s="2151"/>
      <c r="AC92" s="2151"/>
    </row>
    <row r="93" spans="1:29" ht="15" thickTop="1">
      <c r="A93" s="738"/>
      <c r="B93" s="676">
        <f>B33</f>
        <v>111</v>
      </c>
      <c r="C93" s="544"/>
      <c r="D93" s="544"/>
      <c r="E93" s="544"/>
      <c r="F93" s="544"/>
      <c r="G93" s="691"/>
      <c r="H93" s="692"/>
      <c r="I93" s="692"/>
      <c r="J93" s="692"/>
      <c r="K93" s="692"/>
      <c r="L93" s="693"/>
      <c r="M93" s="69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95"/>
      <c r="H94" s="696"/>
      <c r="I94" s="696"/>
      <c r="J94" s="696"/>
      <c r="K94" s="696"/>
      <c r="L94" s="696"/>
      <c r="M94" s="697"/>
      <c r="N94" s="2172"/>
      <c r="O94" s="2172"/>
      <c r="P94" s="2171"/>
      <c r="Q94" s="2164"/>
      <c r="R94" s="2151"/>
      <c r="S94" s="2151"/>
      <c r="T94" s="2151"/>
      <c r="U94" s="2151"/>
      <c r="V94" s="2151"/>
      <c r="W94" s="2151"/>
      <c r="X94" s="2151"/>
      <c r="Y94" s="2151"/>
      <c r="Z94" s="2151"/>
      <c r="AA94" s="2151"/>
      <c r="AB94" s="2151"/>
      <c r="AC94" s="2151"/>
    </row>
    <row r="95" spans="1:29" ht="15" thickTop="1">
      <c r="A95" s="738"/>
      <c r="B95" s="918">
        <f>B34</f>
        <v>111</v>
      </c>
      <c r="C95" s="544"/>
      <c r="D95" s="544"/>
      <c r="E95" s="544"/>
      <c r="F95" s="544"/>
      <c r="G95" s="691"/>
      <c r="H95" s="692"/>
      <c r="I95" s="692"/>
      <c r="J95" s="692"/>
      <c r="K95" s="692"/>
      <c r="L95" s="693"/>
      <c r="M95" s="694"/>
      <c r="N95" s="2172"/>
      <c r="O95" s="2172"/>
      <c r="P95" s="2211"/>
      <c r="Q95" s="2212"/>
      <c r="R95" s="2151"/>
      <c r="S95" s="2151"/>
      <c r="T95" s="2151"/>
      <c r="U95" s="2151"/>
      <c r="V95" s="2151"/>
      <c r="W95" s="2151"/>
      <c r="X95" s="2151"/>
      <c r="Y95" s="2151"/>
      <c r="Z95" s="2151"/>
      <c r="AA95" s="2151"/>
      <c r="AB95" s="2151"/>
      <c r="AC95" s="2151"/>
    </row>
    <row r="96" spans="1:29" ht="15.75" thickBot="1">
      <c r="A96" s="672"/>
      <c r="B96" s="681"/>
      <c r="C96" s="695"/>
      <c r="D96" s="695"/>
      <c r="E96" s="695"/>
      <c r="F96" s="695"/>
      <c r="G96" s="695"/>
      <c r="H96" s="696"/>
      <c r="I96" s="696"/>
      <c r="J96" s="696"/>
      <c r="K96" s="696"/>
      <c r="L96" s="696"/>
      <c r="M96" s="697"/>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2081</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2084</v>
      </c>
    </row>
    <row r="23" spans="1:1" ht="18.75">
      <c r="A23" s="2910" t="s">
        <v>2764</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B24" sqref="B24:B28"/>
    </sheetView>
  </sheetViews>
  <sheetFormatPr defaultRowHeight="12.75"/>
  <cols>
    <col min="1" max="1" width="19.125" style="1250" customWidth="1"/>
    <col min="2" max="2" width="9.25" style="1218" customWidth="1"/>
    <col min="3" max="3" width="7.5" style="1218" customWidth="1"/>
    <col min="4" max="4" width="8.5" style="1218" customWidth="1"/>
    <col min="5" max="5" width="7.7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7"/>
    <col min="36" max="16384" width="9" style="1250"/>
  </cols>
  <sheetData>
    <row r="1" spans="1:45" s="257" customFormat="1" ht="14.25" customHeight="1" thickBot="1">
      <c r="A1" s="368"/>
      <c r="B1" s="2240" t="s">
        <v>2314</v>
      </c>
      <c r="C1" s="3538" t="s">
        <v>2315</v>
      </c>
      <c r="D1" s="3539"/>
      <c r="E1" s="3539"/>
      <c r="F1" s="3539"/>
      <c r="G1" s="3539"/>
      <c r="H1" s="3539"/>
      <c r="I1" s="3539"/>
      <c r="J1" s="3539"/>
      <c r="K1" s="3539"/>
      <c r="L1" s="3539"/>
      <c r="M1" s="3539"/>
      <c r="N1" s="3539"/>
      <c r="O1" s="3539"/>
      <c r="P1" s="3539"/>
      <c r="Q1" s="3539"/>
      <c r="R1" s="3539"/>
      <c r="S1" s="3540"/>
      <c r="T1" s="2240" t="s">
        <v>2316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41"/>
      <c r="B2" s="950" t="s">
        <v>2317</v>
      </c>
      <c r="C2" s="951" t="str">
        <f t="shared" ref="C2:L2" si="0">C3&amp;"(含)"&amp;"-"&amp;D3</f>
        <v>0(含)-2000</v>
      </c>
      <c r="D2" s="952" t="str">
        <f t="shared" si="0"/>
        <v>2000(含)-4000</v>
      </c>
      <c r="E2" s="952" t="str">
        <f t="shared" si="0"/>
        <v>4000(含)-6000</v>
      </c>
      <c r="F2" s="952" t="str">
        <f t="shared" si="0"/>
        <v>6000(含)-8000</v>
      </c>
      <c r="G2" s="952" t="str">
        <f t="shared" si="0"/>
        <v>8000(含)-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3239">
        <v>0</v>
      </c>
      <c r="D3" s="3240">
        <v>2000</v>
      </c>
      <c r="E3" s="3240">
        <v>4000</v>
      </c>
      <c r="F3" s="3240">
        <v>6000</v>
      </c>
      <c r="G3" s="955">
        <v>8000</v>
      </c>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3241">
        <v>100</v>
      </c>
      <c r="D4" s="3242">
        <v>98</v>
      </c>
      <c r="E4" s="3241">
        <v>96</v>
      </c>
      <c r="F4" s="3242">
        <v>94</v>
      </c>
      <c r="G4" s="3241">
        <v>92</v>
      </c>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ht="24">
      <c r="A5" s="2257"/>
      <c r="B5" s="3220" t="s">
        <v>3232</v>
      </c>
      <c r="C5" s="3222" t="s">
        <v>3233</v>
      </c>
      <c r="D5" s="3223" t="s">
        <v>3234</v>
      </c>
      <c r="E5" s="3223" t="s">
        <v>3236</v>
      </c>
      <c r="F5" s="3223"/>
      <c r="G5" s="3223"/>
      <c r="H5" s="2259"/>
      <c r="I5" s="2259"/>
      <c r="J5" s="2259"/>
      <c r="K5" s="2259"/>
      <c r="L5" s="2260"/>
      <c r="M5" s="2261"/>
      <c r="N5" s="2261"/>
      <c r="O5" s="2259"/>
      <c r="P5" s="2259"/>
      <c r="Q5" s="2259"/>
      <c r="R5" s="2259"/>
      <c r="S5" s="2262"/>
      <c r="T5" s="2263">
        <v>3</v>
      </c>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97</v>
      </c>
      <c r="E6" s="1971">
        <f t="shared" ref="E6:S6" si="7">D6-$T5</f>
        <v>94</v>
      </c>
      <c r="F6" s="1971">
        <f t="shared" si="7"/>
        <v>91</v>
      </c>
      <c r="G6" s="1971">
        <f t="shared" si="7"/>
        <v>88</v>
      </c>
      <c r="H6" s="1971">
        <f t="shared" si="7"/>
        <v>85</v>
      </c>
      <c r="I6" s="1971">
        <f t="shared" si="7"/>
        <v>82</v>
      </c>
      <c r="J6" s="1971">
        <f t="shared" si="7"/>
        <v>79</v>
      </c>
      <c r="K6" s="1971">
        <f t="shared" si="7"/>
        <v>76</v>
      </c>
      <c r="L6" s="1971">
        <f t="shared" si="7"/>
        <v>73</v>
      </c>
      <c r="M6" s="1971">
        <f t="shared" si="7"/>
        <v>70</v>
      </c>
      <c r="N6" s="1971">
        <f t="shared" si="7"/>
        <v>67</v>
      </c>
      <c r="O6" s="1971">
        <f t="shared" si="7"/>
        <v>64</v>
      </c>
      <c r="P6" s="1971">
        <f t="shared" si="7"/>
        <v>61</v>
      </c>
      <c r="Q6" s="1971">
        <f t="shared" si="7"/>
        <v>58</v>
      </c>
      <c r="R6" s="1971">
        <f t="shared" si="7"/>
        <v>55</v>
      </c>
      <c r="S6" s="1971">
        <f t="shared" si="7"/>
        <v>52</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221"/>
      <c r="C7" s="3224"/>
      <c r="D7" s="3225"/>
      <c r="E7" s="3225"/>
      <c r="F7" s="3225"/>
      <c r="G7" s="3225"/>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221"/>
      <c r="C9" s="3224"/>
      <c r="D9" s="3225"/>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2"/>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1" t="s">
        <v>2947</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1"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1"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ht="24.75">
      <c r="A17" s="2283" t="s">
        <v>2318</v>
      </c>
      <c r="B17" s="2284" t="s">
        <v>2319</v>
      </c>
      <c r="C17" s="2285" t="s">
        <v>3193</v>
      </c>
      <c r="D17" s="2286" t="s">
        <v>3194</v>
      </c>
      <c r="E17" s="2286" t="s">
        <v>3195</v>
      </c>
      <c r="F17" s="2286" t="s">
        <v>3196</v>
      </c>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v>100</v>
      </c>
      <c r="D18" s="2298">
        <v>70</v>
      </c>
      <c r="E18" s="2298">
        <v>60</v>
      </c>
      <c r="F18" s="2298">
        <v>65</v>
      </c>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0" t="s">
        <v>831</v>
      </c>
      <c r="B20" s="778">
        <f>S22</f>
        <v>95677</v>
      </c>
      <c r="C20" s="1992"/>
      <c r="D20" s="1992"/>
      <c r="E20" s="1992"/>
      <c r="F20" s="1992"/>
      <c r="G20" s="1992"/>
      <c r="H20" s="1992"/>
      <c r="I20" s="1992"/>
      <c r="J20" s="1992"/>
      <c r="K20" s="1992"/>
      <c r="L20" s="1992"/>
      <c r="M20" s="1992"/>
      <c r="N20" s="1992"/>
      <c r="O20" s="1992"/>
      <c r="P20" s="1992"/>
      <c r="Q20" s="1992"/>
      <c r="R20" s="2231"/>
      <c r="S20" s="2030"/>
    </row>
    <row r="21" spans="1:45" ht="15.75">
      <c r="A21" s="960" t="s">
        <v>832</v>
      </c>
      <c r="B21" s="778">
        <f>R22</f>
        <v>32433</v>
      </c>
      <c r="C21" s="1992"/>
      <c r="D21" s="1992"/>
      <c r="E21" s="1992"/>
      <c r="F21" s="1992"/>
      <c r="G21" s="1992"/>
      <c r="H21" s="1992"/>
      <c r="I21" s="1992"/>
      <c r="J21" s="1992"/>
      <c r="K21" s="1992"/>
      <c r="L21" s="1992"/>
      <c r="M21" s="1992"/>
      <c r="N21" s="1992"/>
      <c r="O21" s="1992"/>
      <c r="P21" s="1992"/>
      <c r="Q21" s="1992"/>
      <c r="R21" s="2231"/>
      <c r="S21" s="2030"/>
    </row>
    <row r="22" spans="1:45">
      <c r="A22" s="802" t="s">
        <v>833</v>
      </c>
      <c r="B22" s="53">
        <f>SUM(B24:B10000)</f>
        <v>29500</v>
      </c>
      <c r="C22" s="3535" t="s">
        <v>20</v>
      </c>
      <c r="D22" s="3536"/>
      <c r="E22" s="3536"/>
      <c r="F22" s="3536"/>
      <c r="G22" s="3536"/>
      <c r="H22" s="3536"/>
      <c r="I22" s="3536"/>
      <c r="J22" s="3536"/>
      <c r="K22" s="3536"/>
      <c r="L22" s="3536"/>
      <c r="M22" s="3536"/>
      <c r="N22" s="3536"/>
      <c r="O22" s="3536"/>
      <c r="P22" s="3536"/>
      <c r="Q22" s="3537"/>
      <c r="R22" s="493">
        <f>ROUND(S22*10000/B22,0)</f>
        <v>32433</v>
      </c>
      <c r="S22" s="53">
        <f>SUM(S24:S10000)</f>
        <v>95677</v>
      </c>
    </row>
    <row r="23" spans="1:45" s="1616" customFormat="1" ht="24">
      <c r="A23" s="17" t="s">
        <v>834</v>
      </c>
      <c r="B23" s="17" t="s">
        <v>835</v>
      </c>
      <c r="C23" s="17" t="s">
        <v>836</v>
      </c>
      <c r="D23" s="17" t="str">
        <f>B5</f>
        <v>商业类型</v>
      </c>
      <c r="E23" s="17" t="s">
        <v>836</v>
      </c>
      <c r="F23" s="17">
        <f>B7</f>
        <v>0</v>
      </c>
      <c r="G23" s="17" t="s">
        <v>836</v>
      </c>
      <c r="H23" s="17">
        <f>B9</f>
        <v>0</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7" customFormat="1">
      <c r="A24" s="961" t="s">
        <v>839</v>
      </c>
      <c r="B24" s="3243">
        <v>800</v>
      </c>
      <c r="C24" s="962">
        <v>1</v>
      </c>
      <c r="D24" s="963" t="s">
        <v>2987</v>
      </c>
      <c r="E24" s="962">
        <v>1</v>
      </c>
      <c r="F24" s="963"/>
      <c r="G24" s="962">
        <v>1</v>
      </c>
      <c r="H24" s="963"/>
      <c r="I24" s="962">
        <v>1</v>
      </c>
      <c r="J24" s="963"/>
      <c r="K24" s="962">
        <v>1</v>
      </c>
      <c r="L24" s="963"/>
      <c r="M24" s="962">
        <v>1</v>
      </c>
      <c r="N24" s="963"/>
      <c r="O24" s="962">
        <v>1</v>
      </c>
      <c r="P24" s="963" t="s">
        <v>3126</v>
      </c>
      <c r="Q24" s="962">
        <v>1</v>
      </c>
      <c r="R24" s="964">
        <f>'不动产比较法-商业'!C49</f>
        <v>39010</v>
      </c>
      <c r="S24" s="962">
        <f t="shared" ref="S24:S54" si="11">ROUND(R24*B24/10000,0)</f>
        <v>3121</v>
      </c>
      <c r="T24" s="1975"/>
      <c r="U24" s="1975"/>
      <c r="V24" s="1975"/>
      <c r="W24" s="1975"/>
      <c r="X24" s="1975"/>
      <c r="Y24" s="1975"/>
      <c r="Z24" s="1975"/>
      <c r="AA24" s="1975"/>
      <c r="AB24" s="1975"/>
      <c r="AC24" s="1975"/>
      <c r="AD24" s="1975"/>
      <c r="AE24" s="1975"/>
      <c r="AF24" s="1975"/>
      <c r="AG24" s="1975"/>
      <c r="AH24" s="1975"/>
      <c r="AI24" s="1975"/>
    </row>
    <row r="25" spans="1:45">
      <c r="A25" s="3170" t="s">
        <v>3131</v>
      </c>
      <c r="B25" s="137">
        <f>面积!D9</f>
        <v>13000</v>
      </c>
      <c r="C25" s="53">
        <f>IF(B25="",1,(LOOKUP(B25,$3:$3,$4:$4)-LOOKUP($B$24,$3:$3,$4:$4)+100)/100)</f>
        <v>0.92</v>
      </c>
      <c r="D25" s="963" t="s">
        <v>2986</v>
      </c>
      <c r="E25" s="53">
        <f>(SUMIF($5:$5,D25,$6:$6)-SUMIF($5:$5,$D$24,$6:$6)+100)/100</f>
        <v>1.03</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3126</v>
      </c>
      <c r="Q25" s="53">
        <f>(SUMIF($17:$17,P25,$18:$18)-SUMIF($17:$17,$P$24,$18:$18)+100)/100</f>
        <v>1</v>
      </c>
      <c r="R25" s="493">
        <f>IF(B25="",0,ROUND($R$24*C25*E25*G25*I25*K25*M25*O25*Q25,0))</f>
        <v>36966</v>
      </c>
      <c r="S25" s="802">
        <f t="shared" si="11"/>
        <v>48056</v>
      </c>
    </row>
    <row r="26" spans="1:45">
      <c r="A26" s="965" t="s">
        <v>3132</v>
      </c>
      <c r="B26" s="137">
        <f>面积!D10</f>
        <v>6700</v>
      </c>
      <c r="C26" s="53">
        <f t="shared" ref="C26:C89" si="12">IF(B26="",1,(LOOKUP(B26,$3:$3,$4:$4)-LOOKUP($B$24,$3:$3,$4:$4)+100)/100)</f>
        <v>0.94</v>
      </c>
      <c r="D26" s="963" t="s">
        <v>2986</v>
      </c>
      <c r="E26" s="53">
        <f t="shared" ref="E26:E89" si="13">(SUMIF($5:$5,D26,$6:$6)-SUMIF($5:$5,$D$24,$6:$6)+100)/100</f>
        <v>1.03</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3197</v>
      </c>
      <c r="Q26" s="53">
        <f t="shared" ref="Q26:Q89" si="19">(SUMIF($17:$17,P26,$18:$18)-SUMIF($17:$17,$P$24,$18:$18)+100)/100</f>
        <v>0.7</v>
      </c>
      <c r="R26" s="493">
        <f t="shared" ref="R26:R89" si="20">IF(B26="",0,ROUND($R$24*C26*E26*G26*I26*K26*M26*O26*Q26,0))</f>
        <v>26439</v>
      </c>
      <c r="S26" s="802">
        <f t="shared" si="11"/>
        <v>17714</v>
      </c>
    </row>
    <row r="27" spans="1:45">
      <c r="A27" s="3170" t="s">
        <v>3133</v>
      </c>
      <c r="B27" s="137">
        <f>'数据-汇总表'!G23</f>
        <v>5000</v>
      </c>
      <c r="C27" s="53">
        <f t="shared" si="12"/>
        <v>0.96</v>
      </c>
      <c r="D27" s="963" t="s">
        <v>3235</v>
      </c>
      <c r="E27" s="53">
        <f t="shared" si="13"/>
        <v>0.97</v>
      </c>
      <c r="F27" s="963"/>
      <c r="G27" s="53">
        <f t="shared" si="14"/>
        <v>1</v>
      </c>
      <c r="H27" s="963"/>
      <c r="I27" s="53">
        <f t="shared" si="15"/>
        <v>1</v>
      </c>
      <c r="J27" s="963"/>
      <c r="K27" s="53">
        <f t="shared" si="16"/>
        <v>1</v>
      </c>
      <c r="L27" s="963"/>
      <c r="M27" s="53">
        <f t="shared" si="17"/>
        <v>1</v>
      </c>
      <c r="N27" s="963"/>
      <c r="O27" s="53">
        <f t="shared" si="18"/>
        <v>1</v>
      </c>
      <c r="P27" s="963" t="s">
        <v>3198</v>
      </c>
      <c r="Q27" s="53">
        <f t="shared" si="19"/>
        <v>0.65</v>
      </c>
      <c r="R27" s="493">
        <f t="shared" si="20"/>
        <v>23612</v>
      </c>
      <c r="S27" s="802">
        <f t="shared" si="11"/>
        <v>11806</v>
      </c>
    </row>
    <row r="28" spans="1:45">
      <c r="A28" s="3170" t="s">
        <v>3226</v>
      </c>
      <c r="B28" s="137">
        <v>4000</v>
      </c>
      <c r="C28" s="53">
        <f t="shared" si="12"/>
        <v>0.96</v>
      </c>
      <c r="D28" s="963" t="s">
        <v>2987</v>
      </c>
      <c r="E28" s="53">
        <f t="shared" si="13"/>
        <v>1</v>
      </c>
      <c r="F28" s="963"/>
      <c r="G28" s="53">
        <f t="shared" si="14"/>
        <v>1</v>
      </c>
      <c r="H28" s="963"/>
      <c r="I28" s="53">
        <f t="shared" si="15"/>
        <v>1</v>
      </c>
      <c r="J28" s="963"/>
      <c r="K28" s="53">
        <f t="shared" si="16"/>
        <v>1</v>
      </c>
      <c r="L28" s="963"/>
      <c r="M28" s="53">
        <f t="shared" si="17"/>
        <v>1</v>
      </c>
      <c r="N28" s="963"/>
      <c r="O28" s="53">
        <f t="shared" si="18"/>
        <v>1</v>
      </c>
      <c r="P28" s="963" t="s">
        <v>3126</v>
      </c>
      <c r="Q28" s="53">
        <f t="shared" si="19"/>
        <v>1</v>
      </c>
      <c r="R28" s="493">
        <f t="shared" si="20"/>
        <v>37450</v>
      </c>
      <c r="S28" s="802">
        <f t="shared" si="11"/>
        <v>14980</v>
      </c>
    </row>
    <row r="29" spans="1:45">
      <c r="A29" s="965"/>
      <c r="B29" s="137"/>
      <c r="C29" s="53">
        <f t="shared" si="12"/>
        <v>1</v>
      </c>
      <c r="D29" s="963"/>
      <c r="E29" s="53">
        <f t="shared" si="13"/>
        <v>0.03</v>
      </c>
      <c r="F29" s="963"/>
      <c r="G29" s="53">
        <f t="shared" si="14"/>
        <v>1</v>
      </c>
      <c r="H29" s="963"/>
      <c r="I29" s="53">
        <f t="shared" si="15"/>
        <v>1</v>
      </c>
      <c r="J29" s="963"/>
      <c r="K29" s="53">
        <f t="shared" si="16"/>
        <v>1</v>
      </c>
      <c r="L29" s="963"/>
      <c r="M29" s="53">
        <f t="shared" si="17"/>
        <v>1</v>
      </c>
      <c r="N29" s="963"/>
      <c r="O29" s="53">
        <f t="shared" si="18"/>
        <v>1</v>
      </c>
      <c r="P29" s="963"/>
      <c r="Q29" s="53">
        <f t="shared" si="19"/>
        <v>0</v>
      </c>
      <c r="R29" s="493">
        <f t="shared" si="20"/>
        <v>0</v>
      </c>
      <c r="S29" s="802">
        <f t="shared" si="11"/>
        <v>0</v>
      </c>
    </row>
    <row r="30" spans="1:45">
      <c r="A30" s="965"/>
      <c r="B30" s="137"/>
      <c r="C30" s="53">
        <f t="shared" si="12"/>
        <v>1</v>
      </c>
      <c r="D30" s="963"/>
      <c r="E30" s="53">
        <f t="shared" si="13"/>
        <v>0.03</v>
      </c>
      <c r="F30" s="963"/>
      <c r="G30" s="53">
        <f t="shared" si="14"/>
        <v>1</v>
      </c>
      <c r="H30" s="963"/>
      <c r="I30" s="53">
        <f t="shared" si="15"/>
        <v>1</v>
      </c>
      <c r="J30" s="963"/>
      <c r="K30" s="53">
        <f t="shared" si="16"/>
        <v>1</v>
      </c>
      <c r="L30" s="963"/>
      <c r="M30" s="53">
        <f t="shared" si="17"/>
        <v>1</v>
      </c>
      <c r="N30" s="963"/>
      <c r="O30" s="53">
        <f t="shared" si="18"/>
        <v>1</v>
      </c>
      <c r="P30" s="963"/>
      <c r="Q30" s="53">
        <f t="shared" si="19"/>
        <v>0</v>
      </c>
      <c r="R30" s="493">
        <f t="shared" si="20"/>
        <v>0</v>
      </c>
      <c r="S30" s="802">
        <f t="shared" si="11"/>
        <v>0</v>
      </c>
    </row>
    <row r="31" spans="1:45">
      <c r="A31" s="965"/>
      <c r="B31" s="137"/>
      <c r="C31" s="53">
        <f t="shared" si="12"/>
        <v>1</v>
      </c>
      <c r="D31" s="963"/>
      <c r="E31" s="53">
        <f t="shared" si="13"/>
        <v>0.03</v>
      </c>
      <c r="F31" s="963"/>
      <c r="G31" s="53">
        <f t="shared" si="14"/>
        <v>1</v>
      </c>
      <c r="H31" s="963"/>
      <c r="I31" s="53">
        <f t="shared" si="15"/>
        <v>1</v>
      </c>
      <c r="J31" s="963"/>
      <c r="K31" s="53">
        <f t="shared" si="16"/>
        <v>1</v>
      </c>
      <c r="L31" s="963"/>
      <c r="M31" s="53">
        <f t="shared" si="17"/>
        <v>1</v>
      </c>
      <c r="N31" s="963"/>
      <c r="O31" s="53">
        <f t="shared" si="18"/>
        <v>1</v>
      </c>
      <c r="P31" s="963"/>
      <c r="Q31" s="53">
        <f t="shared" si="19"/>
        <v>0</v>
      </c>
      <c r="R31" s="493">
        <f t="shared" si="20"/>
        <v>0</v>
      </c>
      <c r="S31" s="802">
        <f t="shared" si="11"/>
        <v>0</v>
      </c>
    </row>
    <row r="32" spans="1:45">
      <c r="A32" s="965"/>
      <c r="B32" s="137"/>
      <c r="C32" s="53">
        <f t="shared" si="12"/>
        <v>1</v>
      </c>
      <c r="D32" s="963"/>
      <c r="E32" s="53">
        <f t="shared" si="13"/>
        <v>0.03</v>
      </c>
      <c r="F32" s="963"/>
      <c r="G32" s="53">
        <f t="shared" si="14"/>
        <v>1</v>
      </c>
      <c r="H32" s="963"/>
      <c r="I32" s="53">
        <f t="shared" si="15"/>
        <v>1</v>
      </c>
      <c r="J32" s="963"/>
      <c r="K32" s="53">
        <f t="shared" si="16"/>
        <v>1</v>
      </c>
      <c r="L32" s="963"/>
      <c r="M32" s="53">
        <f t="shared" si="17"/>
        <v>1</v>
      </c>
      <c r="N32" s="963"/>
      <c r="O32" s="53">
        <f t="shared" si="18"/>
        <v>1</v>
      </c>
      <c r="P32" s="963"/>
      <c r="Q32" s="53">
        <f t="shared" si="19"/>
        <v>0</v>
      </c>
      <c r="R32" s="493">
        <f t="shared" si="20"/>
        <v>0</v>
      </c>
      <c r="S32" s="802">
        <f t="shared" si="11"/>
        <v>0</v>
      </c>
    </row>
    <row r="33" spans="1:19">
      <c r="A33" s="965"/>
      <c r="B33" s="137"/>
      <c r="C33" s="53">
        <f t="shared" si="12"/>
        <v>1</v>
      </c>
      <c r="D33" s="963"/>
      <c r="E33" s="53">
        <f t="shared" si="13"/>
        <v>0.03</v>
      </c>
      <c r="F33" s="963"/>
      <c r="G33" s="53">
        <f t="shared" si="14"/>
        <v>1</v>
      </c>
      <c r="H33" s="963"/>
      <c r="I33" s="53">
        <f t="shared" si="15"/>
        <v>1</v>
      </c>
      <c r="J33" s="963"/>
      <c r="K33" s="53">
        <f t="shared" si="16"/>
        <v>1</v>
      </c>
      <c r="L33" s="963"/>
      <c r="M33" s="53">
        <f t="shared" si="17"/>
        <v>1</v>
      </c>
      <c r="N33" s="963"/>
      <c r="O33" s="53">
        <f t="shared" si="18"/>
        <v>1</v>
      </c>
      <c r="P33" s="963"/>
      <c r="Q33" s="53">
        <f t="shared" si="19"/>
        <v>0</v>
      </c>
      <c r="R33" s="493">
        <f t="shared" si="20"/>
        <v>0</v>
      </c>
      <c r="S33" s="802">
        <f t="shared" si="11"/>
        <v>0</v>
      </c>
    </row>
    <row r="34" spans="1:19">
      <c r="A34" s="965"/>
      <c r="B34" s="137"/>
      <c r="C34" s="53">
        <f t="shared" si="12"/>
        <v>1</v>
      </c>
      <c r="D34" s="963"/>
      <c r="E34" s="53">
        <f t="shared" si="13"/>
        <v>0.03</v>
      </c>
      <c r="F34" s="963"/>
      <c r="G34" s="53">
        <f t="shared" si="14"/>
        <v>1</v>
      </c>
      <c r="H34" s="963"/>
      <c r="I34" s="53">
        <f t="shared" si="15"/>
        <v>1</v>
      </c>
      <c r="J34" s="963"/>
      <c r="K34" s="53">
        <f t="shared" si="16"/>
        <v>1</v>
      </c>
      <c r="L34" s="963"/>
      <c r="M34" s="53">
        <f t="shared" si="17"/>
        <v>1</v>
      </c>
      <c r="N34" s="963"/>
      <c r="O34" s="53">
        <f t="shared" si="18"/>
        <v>1</v>
      </c>
      <c r="P34" s="963"/>
      <c r="Q34" s="53">
        <f t="shared" si="19"/>
        <v>0</v>
      </c>
      <c r="R34" s="493">
        <f t="shared" si="20"/>
        <v>0</v>
      </c>
      <c r="S34" s="802">
        <f t="shared" si="11"/>
        <v>0</v>
      </c>
    </row>
    <row r="35" spans="1:19">
      <c r="A35" s="965"/>
      <c r="B35" s="137"/>
      <c r="C35" s="53">
        <f t="shared" si="12"/>
        <v>1</v>
      </c>
      <c r="D35" s="963"/>
      <c r="E35" s="53">
        <f t="shared" si="13"/>
        <v>0.03</v>
      </c>
      <c r="F35" s="963"/>
      <c r="G35" s="53">
        <f t="shared" si="14"/>
        <v>1</v>
      </c>
      <c r="H35" s="963"/>
      <c r="I35" s="53">
        <f t="shared" si="15"/>
        <v>1</v>
      </c>
      <c r="J35" s="963"/>
      <c r="K35" s="53">
        <f t="shared" si="16"/>
        <v>1</v>
      </c>
      <c r="L35" s="963"/>
      <c r="M35" s="53">
        <f t="shared" si="17"/>
        <v>1</v>
      </c>
      <c r="N35" s="963"/>
      <c r="O35" s="53">
        <f t="shared" si="18"/>
        <v>1</v>
      </c>
      <c r="P35" s="963"/>
      <c r="Q35" s="53">
        <f t="shared" si="19"/>
        <v>0</v>
      </c>
      <c r="R35" s="493">
        <f t="shared" si="20"/>
        <v>0</v>
      </c>
      <c r="S35" s="802">
        <f t="shared" si="11"/>
        <v>0</v>
      </c>
    </row>
    <row r="36" spans="1:19">
      <c r="A36" s="965"/>
      <c r="B36" s="137"/>
      <c r="C36" s="53">
        <f t="shared" si="12"/>
        <v>1</v>
      </c>
      <c r="D36" s="963"/>
      <c r="E36" s="53">
        <f t="shared" si="13"/>
        <v>0.03</v>
      </c>
      <c r="F36" s="963"/>
      <c r="G36" s="53">
        <f t="shared" si="14"/>
        <v>1</v>
      </c>
      <c r="H36" s="963"/>
      <c r="I36" s="53">
        <f t="shared" si="15"/>
        <v>1</v>
      </c>
      <c r="J36" s="963"/>
      <c r="K36" s="53">
        <f t="shared" si="16"/>
        <v>1</v>
      </c>
      <c r="L36" s="963"/>
      <c r="M36" s="53">
        <f t="shared" si="17"/>
        <v>1</v>
      </c>
      <c r="N36" s="963"/>
      <c r="O36" s="53">
        <f t="shared" si="18"/>
        <v>1</v>
      </c>
      <c r="P36" s="963"/>
      <c r="Q36" s="53">
        <f t="shared" si="19"/>
        <v>0</v>
      </c>
      <c r="R36" s="493">
        <f t="shared" si="20"/>
        <v>0</v>
      </c>
      <c r="S36" s="802">
        <f t="shared" si="11"/>
        <v>0</v>
      </c>
    </row>
    <row r="37" spans="1:19">
      <c r="A37" s="965"/>
      <c r="B37" s="137"/>
      <c r="C37" s="53">
        <f t="shared" si="12"/>
        <v>1</v>
      </c>
      <c r="D37" s="963"/>
      <c r="E37" s="53">
        <f t="shared" si="13"/>
        <v>0.03</v>
      </c>
      <c r="F37" s="963"/>
      <c r="G37" s="53">
        <f t="shared" si="14"/>
        <v>1</v>
      </c>
      <c r="H37" s="963"/>
      <c r="I37" s="53">
        <f t="shared" si="15"/>
        <v>1</v>
      </c>
      <c r="J37" s="963"/>
      <c r="K37" s="53">
        <f t="shared" si="16"/>
        <v>1</v>
      </c>
      <c r="L37" s="963"/>
      <c r="M37" s="53">
        <f t="shared" si="17"/>
        <v>1</v>
      </c>
      <c r="N37" s="963"/>
      <c r="O37" s="53">
        <f t="shared" si="18"/>
        <v>1</v>
      </c>
      <c r="P37" s="963"/>
      <c r="Q37" s="53">
        <f t="shared" si="19"/>
        <v>0</v>
      </c>
      <c r="R37" s="493">
        <f t="shared" si="20"/>
        <v>0</v>
      </c>
      <c r="S37" s="802">
        <f t="shared" si="11"/>
        <v>0</v>
      </c>
    </row>
    <row r="38" spans="1:19">
      <c r="A38" s="965"/>
      <c r="B38" s="137"/>
      <c r="C38" s="53">
        <f t="shared" si="12"/>
        <v>1</v>
      </c>
      <c r="D38" s="963"/>
      <c r="E38" s="53">
        <f t="shared" si="13"/>
        <v>0.03</v>
      </c>
      <c r="F38" s="963"/>
      <c r="G38" s="53">
        <f t="shared" si="14"/>
        <v>1</v>
      </c>
      <c r="H38" s="963"/>
      <c r="I38" s="53">
        <f t="shared" si="15"/>
        <v>1</v>
      </c>
      <c r="J38" s="963"/>
      <c r="K38" s="53">
        <f t="shared" si="16"/>
        <v>1</v>
      </c>
      <c r="L38" s="963"/>
      <c r="M38" s="53">
        <f t="shared" si="17"/>
        <v>1</v>
      </c>
      <c r="N38" s="963"/>
      <c r="O38" s="53">
        <f t="shared" si="18"/>
        <v>1</v>
      </c>
      <c r="P38" s="963"/>
      <c r="Q38" s="53">
        <f t="shared" si="19"/>
        <v>0</v>
      </c>
      <c r="R38" s="493">
        <f t="shared" si="20"/>
        <v>0</v>
      </c>
      <c r="S38" s="802">
        <f t="shared" si="11"/>
        <v>0</v>
      </c>
    </row>
    <row r="39" spans="1:19">
      <c r="A39" s="965"/>
      <c r="B39" s="137"/>
      <c r="C39" s="53">
        <f t="shared" si="12"/>
        <v>1</v>
      </c>
      <c r="D39" s="963"/>
      <c r="E39" s="53">
        <f t="shared" si="13"/>
        <v>0.03</v>
      </c>
      <c r="F39" s="963"/>
      <c r="G39" s="53">
        <f t="shared" si="14"/>
        <v>1</v>
      </c>
      <c r="H39" s="963"/>
      <c r="I39" s="53">
        <f t="shared" si="15"/>
        <v>1</v>
      </c>
      <c r="J39" s="963"/>
      <c r="K39" s="53">
        <f t="shared" si="16"/>
        <v>1</v>
      </c>
      <c r="L39" s="963"/>
      <c r="M39" s="53">
        <f t="shared" si="17"/>
        <v>1</v>
      </c>
      <c r="N39" s="963"/>
      <c r="O39" s="53">
        <f t="shared" si="18"/>
        <v>1</v>
      </c>
      <c r="P39" s="963"/>
      <c r="Q39" s="53">
        <f t="shared" si="19"/>
        <v>0</v>
      </c>
      <c r="R39" s="493">
        <f t="shared" si="20"/>
        <v>0</v>
      </c>
      <c r="S39" s="802">
        <f t="shared" si="11"/>
        <v>0</v>
      </c>
    </row>
    <row r="40" spans="1:19">
      <c r="A40" s="965"/>
      <c r="B40" s="137"/>
      <c r="C40" s="53">
        <f t="shared" si="12"/>
        <v>1</v>
      </c>
      <c r="D40" s="963"/>
      <c r="E40" s="53">
        <f t="shared" si="13"/>
        <v>0.03</v>
      </c>
      <c r="F40" s="963"/>
      <c r="G40" s="53">
        <f t="shared" si="14"/>
        <v>1</v>
      </c>
      <c r="H40" s="963"/>
      <c r="I40" s="53">
        <f t="shared" si="15"/>
        <v>1</v>
      </c>
      <c r="J40" s="963"/>
      <c r="K40" s="53">
        <f t="shared" si="16"/>
        <v>1</v>
      </c>
      <c r="L40" s="963"/>
      <c r="M40" s="53">
        <f t="shared" si="17"/>
        <v>1</v>
      </c>
      <c r="N40" s="963"/>
      <c r="O40" s="53">
        <f t="shared" si="18"/>
        <v>1</v>
      </c>
      <c r="P40" s="963"/>
      <c r="Q40" s="53">
        <f t="shared" si="19"/>
        <v>0</v>
      </c>
      <c r="R40" s="493">
        <f t="shared" si="20"/>
        <v>0</v>
      </c>
      <c r="S40" s="802">
        <f t="shared" si="11"/>
        <v>0</v>
      </c>
    </row>
    <row r="41" spans="1:19">
      <c r="A41" s="965"/>
      <c r="B41" s="137"/>
      <c r="C41" s="53">
        <f t="shared" si="12"/>
        <v>1</v>
      </c>
      <c r="D41" s="963"/>
      <c r="E41" s="53">
        <f t="shared" si="13"/>
        <v>0.03</v>
      </c>
      <c r="F41" s="963"/>
      <c r="G41" s="53">
        <f t="shared" si="14"/>
        <v>1</v>
      </c>
      <c r="H41" s="963"/>
      <c r="I41" s="53">
        <f t="shared" si="15"/>
        <v>1</v>
      </c>
      <c r="J41" s="963"/>
      <c r="K41" s="53">
        <f t="shared" si="16"/>
        <v>1</v>
      </c>
      <c r="L41" s="963"/>
      <c r="M41" s="53">
        <f t="shared" si="17"/>
        <v>1</v>
      </c>
      <c r="N41" s="963"/>
      <c r="O41" s="53">
        <f t="shared" si="18"/>
        <v>1</v>
      </c>
      <c r="P41" s="963"/>
      <c r="Q41" s="53">
        <f t="shared" si="19"/>
        <v>0</v>
      </c>
      <c r="R41" s="493">
        <f t="shared" si="20"/>
        <v>0</v>
      </c>
      <c r="S41" s="802">
        <f t="shared" si="11"/>
        <v>0</v>
      </c>
    </row>
    <row r="42" spans="1:19">
      <c r="A42" s="965"/>
      <c r="B42" s="137"/>
      <c r="C42" s="53">
        <f t="shared" si="12"/>
        <v>1</v>
      </c>
      <c r="D42" s="963"/>
      <c r="E42" s="53">
        <f t="shared" si="13"/>
        <v>0.03</v>
      </c>
      <c r="F42" s="963"/>
      <c r="G42" s="53">
        <f t="shared" si="14"/>
        <v>1</v>
      </c>
      <c r="H42" s="963"/>
      <c r="I42" s="53">
        <f t="shared" si="15"/>
        <v>1</v>
      </c>
      <c r="J42" s="963"/>
      <c r="K42" s="53">
        <f t="shared" si="16"/>
        <v>1</v>
      </c>
      <c r="L42" s="963"/>
      <c r="M42" s="53">
        <f t="shared" si="17"/>
        <v>1</v>
      </c>
      <c r="N42" s="963"/>
      <c r="O42" s="53">
        <f t="shared" si="18"/>
        <v>1</v>
      </c>
      <c r="P42" s="963"/>
      <c r="Q42" s="53">
        <f t="shared" si="19"/>
        <v>0</v>
      </c>
      <c r="R42" s="493">
        <f t="shared" si="20"/>
        <v>0</v>
      </c>
      <c r="S42" s="802">
        <f t="shared" si="11"/>
        <v>0</v>
      </c>
    </row>
    <row r="43" spans="1:19">
      <c r="A43" s="965"/>
      <c r="B43" s="137"/>
      <c r="C43" s="53">
        <f t="shared" si="12"/>
        <v>1</v>
      </c>
      <c r="D43" s="963"/>
      <c r="E43" s="53">
        <f t="shared" si="13"/>
        <v>0.03</v>
      </c>
      <c r="F43" s="963"/>
      <c r="G43" s="53">
        <f t="shared" si="14"/>
        <v>1</v>
      </c>
      <c r="H43" s="963"/>
      <c r="I43" s="53">
        <f t="shared" si="15"/>
        <v>1</v>
      </c>
      <c r="J43" s="963"/>
      <c r="K43" s="53">
        <f t="shared" si="16"/>
        <v>1</v>
      </c>
      <c r="L43" s="963"/>
      <c r="M43" s="53">
        <f t="shared" si="17"/>
        <v>1</v>
      </c>
      <c r="N43" s="963"/>
      <c r="O43" s="53">
        <f t="shared" si="18"/>
        <v>1</v>
      </c>
      <c r="P43" s="963"/>
      <c r="Q43" s="53">
        <f t="shared" si="19"/>
        <v>0</v>
      </c>
      <c r="R43" s="493">
        <f t="shared" si="20"/>
        <v>0</v>
      </c>
      <c r="S43" s="802">
        <f t="shared" si="11"/>
        <v>0</v>
      </c>
    </row>
    <row r="44" spans="1:19">
      <c r="A44" s="965"/>
      <c r="B44" s="137"/>
      <c r="C44" s="53">
        <f t="shared" si="12"/>
        <v>1</v>
      </c>
      <c r="D44" s="963"/>
      <c r="E44" s="53">
        <f t="shared" si="13"/>
        <v>0.03</v>
      </c>
      <c r="F44" s="963"/>
      <c r="G44" s="53">
        <f t="shared" si="14"/>
        <v>1</v>
      </c>
      <c r="H44" s="963"/>
      <c r="I44" s="53">
        <f t="shared" si="15"/>
        <v>1</v>
      </c>
      <c r="J44" s="963"/>
      <c r="K44" s="53">
        <f t="shared" si="16"/>
        <v>1</v>
      </c>
      <c r="L44" s="963"/>
      <c r="M44" s="53">
        <f t="shared" si="17"/>
        <v>1</v>
      </c>
      <c r="N44" s="963"/>
      <c r="O44" s="53">
        <f t="shared" si="18"/>
        <v>1</v>
      </c>
      <c r="P44" s="963"/>
      <c r="Q44" s="53">
        <f t="shared" si="19"/>
        <v>0</v>
      </c>
      <c r="R44" s="493">
        <f t="shared" si="20"/>
        <v>0</v>
      </c>
      <c r="S44" s="802">
        <f t="shared" si="11"/>
        <v>0</v>
      </c>
    </row>
    <row r="45" spans="1:19">
      <c r="A45" s="965"/>
      <c r="B45" s="137"/>
      <c r="C45" s="53">
        <f t="shared" si="12"/>
        <v>1</v>
      </c>
      <c r="D45" s="963"/>
      <c r="E45" s="53">
        <f t="shared" si="13"/>
        <v>0.03</v>
      </c>
      <c r="F45" s="963"/>
      <c r="G45" s="53">
        <f t="shared" si="14"/>
        <v>1</v>
      </c>
      <c r="H45" s="963"/>
      <c r="I45" s="53">
        <f t="shared" si="15"/>
        <v>1</v>
      </c>
      <c r="J45" s="963"/>
      <c r="K45" s="53">
        <f t="shared" si="16"/>
        <v>1</v>
      </c>
      <c r="L45" s="963"/>
      <c r="M45" s="53">
        <f t="shared" si="17"/>
        <v>1</v>
      </c>
      <c r="N45" s="963"/>
      <c r="O45" s="53">
        <f t="shared" si="18"/>
        <v>1</v>
      </c>
      <c r="P45" s="963"/>
      <c r="Q45" s="53">
        <f t="shared" si="19"/>
        <v>0</v>
      </c>
      <c r="R45" s="493">
        <f t="shared" si="20"/>
        <v>0</v>
      </c>
      <c r="S45" s="802">
        <f t="shared" si="11"/>
        <v>0</v>
      </c>
    </row>
    <row r="46" spans="1:19">
      <c r="A46" s="965"/>
      <c r="B46" s="137"/>
      <c r="C46" s="53">
        <f t="shared" si="12"/>
        <v>1</v>
      </c>
      <c r="D46" s="963"/>
      <c r="E46" s="53">
        <f t="shared" si="13"/>
        <v>0.03</v>
      </c>
      <c r="F46" s="963"/>
      <c r="G46" s="53">
        <f t="shared" si="14"/>
        <v>1</v>
      </c>
      <c r="H46" s="963"/>
      <c r="I46" s="53">
        <f t="shared" si="15"/>
        <v>1</v>
      </c>
      <c r="J46" s="963"/>
      <c r="K46" s="53">
        <f t="shared" si="16"/>
        <v>1</v>
      </c>
      <c r="L46" s="963"/>
      <c r="M46" s="53">
        <f t="shared" si="17"/>
        <v>1</v>
      </c>
      <c r="N46" s="963"/>
      <c r="O46" s="53">
        <f t="shared" si="18"/>
        <v>1</v>
      </c>
      <c r="P46" s="963"/>
      <c r="Q46" s="53">
        <f t="shared" si="19"/>
        <v>0</v>
      </c>
      <c r="R46" s="493">
        <f t="shared" si="20"/>
        <v>0</v>
      </c>
      <c r="S46" s="802">
        <f t="shared" si="11"/>
        <v>0</v>
      </c>
    </row>
    <row r="47" spans="1:19">
      <c r="A47" s="965"/>
      <c r="B47" s="137"/>
      <c r="C47" s="53">
        <f t="shared" si="12"/>
        <v>1</v>
      </c>
      <c r="D47" s="963"/>
      <c r="E47" s="53">
        <f t="shared" si="13"/>
        <v>0.03</v>
      </c>
      <c r="F47" s="963"/>
      <c r="G47" s="53">
        <f t="shared" si="14"/>
        <v>1</v>
      </c>
      <c r="H47" s="963"/>
      <c r="I47" s="53">
        <f t="shared" si="15"/>
        <v>1</v>
      </c>
      <c r="J47" s="963"/>
      <c r="K47" s="53">
        <f t="shared" si="16"/>
        <v>1</v>
      </c>
      <c r="L47" s="963"/>
      <c r="M47" s="53">
        <f t="shared" si="17"/>
        <v>1</v>
      </c>
      <c r="N47" s="963"/>
      <c r="O47" s="53">
        <f t="shared" si="18"/>
        <v>1</v>
      </c>
      <c r="P47" s="963"/>
      <c r="Q47" s="53">
        <f t="shared" si="19"/>
        <v>0</v>
      </c>
      <c r="R47" s="493">
        <f t="shared" si="20"/>
        <v>0</v>
      </c>
      <c r="S47" s="802">
        <f t="shared" si="11"/>
        <v>0</v>
      </c>
    </row>
    <row r="48" spans="1:19">
      <c r="A48" s="965"/>
      <c r="B48" s="137"/>
      <c r="C48" s="53">
        <f t="shared" si="12"/>
        <v>1</v>
      </c>
      <c r="D48" s="963"/>
      <c r="E48" s="53">
        <f t="shared" si="13"/>
        <v>0.03</v>
      </c>
      <c r="F48" s="963"/>
      <c r="G48" s="53">
        <f t="shared" si="14"/>
        <v>1</v>
      </c>
      <c r="H48" s="963"/>
      <c r="I48" s="53">
        <f t="shared" si="15"/>
        <v>1</v>
      </c>
      <c r="J48" s="963"/>
      <c r="K48" s="53">
        <f t="shared" si="16"/>
        <v>1</v>
      </c>
      <c r="L48" s="963"/>
      <c r="M48" s="53">
        <f t="shared" si="17"/>
        <v>1</v>
      </c>
      <c r="N48" s="963"/>
      <c r="O48" s="53">
        <f t="shared" si="18"/>
        <v>1</v>
      </c>
      <c r="P48" s="963"/>
      <c r="Q48" s="53">
        <f t="shared" si="19"/>
        <v>0</v>
      </c>
      <c r="R48" s="493">
        <f t="shared" si="20"/>
        <v>0</v>
      </c>
      <c r="S48" s="802">
        <f t="shared" si="11"/>
        <v>0</v>
      </c>
    </row>
    <row r="49" spans="1:19">
      <c r="A49" s="965"/>
      <c r="B49" s="137"/>
      <c r="C49" s="53">
        <f t="shared" si="12"/>
        <v>1</v>
      </c>
      <c r="D49" s="963"/>
      <c r="E49" s="53">
        <f t="shared" si="13"/>
        <v>0.03</v>
      </c>
      <c r="F49" s="963"/>
      <c r="G49" s="53">
        <f t="shared" si="14"/>
        <v>1</v>
      </c>
      <c r="H49" s="963"/>
      <c r="I49" s="53">
        <f t="shared" si="15"/>
        <v>1</v>
      </c>
      <c r="J49" s="963"/>
      <c r="K49" s="53">
        <f t="shared" si="16"/>
        <v>1</v>
      </c>
      <c r="L49" s="963"/>
      <c r="M49" s="53">
        <f t="shared" si="17"/>
        <v>1</v>
      </c>
      <c r="N49" s="963"/>
      <c r="O49" s="53">
        <f t="shared" si="18"/>
        <v>1</v>
      </c>
      <c r="P49" s="963"/>
      <c r="Q49" s="53">
        <f t="shared" si="19"/>
        <v>0</v>
      </c>
      <c r="R49" s="493">
        <f t="shared" si="20"/>
        <v>0</v>
      </c>
      <c r="S49" s="802">
        <f t="shared" si="11"/>
        <v>0</v>
      </c>
    </row>
    <row r="50" spans="1:19">
      <c r="A50" s="965"/>
      <c r="B50" s="137"/>
      <c r="C50" s="53">
        <f t="shared" si="12"/>
        <v>1</v>
      </c>
      <c r="D50" s="963"/>
      <c r="E50" s="53">
        <f t="shared" si="13"/>
        <v>0.03</v>
      </c>
      <c r="F50" s="963"/>
      <c r="G50" s="53">
        <f t="shared" si="14"/>
        <v>1</v>
      </c>
      <c r="H50" s="963"/>
      <c r="I50" s="53">
        <f t="shared" si="15"/>
        <v>1</v>
      </c>
      <c r="J50" s="963"/>
      <c r="K50" s="53">
        <f t="shared" si="16"/>
        <v>1</v>
      </c>
      <c r="L50" s="963"/>
      <c r="M50" s="53">
        <f t="shared" si="17"/>
        <v>1</v>
      </c>
      <c r="N50" s="963"/>
      <c r="O50" s="53">
        <f t="shared" si="18"/>
        <v>1</v>
      </c>
      <c r="P50" s="963"/>
      <c r="Q50" s="53">
        <f t="shared" si="19"/>
        <v>0</v>
      </c>
      <c r="R50" s="493">
        <f t="shared" si="20"/>
        <v>0</v>
      </c>
      <c r="S50" s="802">
        <f t="shared" si="11"/>
        <v>0</v>
      </c>
    </row>
    <row r="51" spans="1:19">
      <c r="A51" s="965"/>
      <c r="B51" s="137"/>
      <c r="C51" s="53">
        <f t="shared" si="12"/>
        <v>1</v>
      </c>
      <c r="D51" s="963"/>
      <c r="E51" s="53">
        <f t="shared" si="13"/>
        <v>0.03</v>
      </c>
      <c r="F51" s="963"/>
      <c r="G51" s="53">
        <f t="shared" si="14"/>
        <v>1</v>
      </c>
      <c r="H51" s="963"/>
      <c r="I51" s="53">
        <f t="shared" si="15"/>
        <v>1</v>
      </c>
      <c r="J51" s="963"/>
      <c r="K51" s="53">
        <f t="shared" si="16"/>
        <v>1</v>
      </c>
      <c r="L51" s="963"/>
      <c r="M51" s="53">
        <f t="shared" si="17"/>
        <v>1</v>
      </c>
      <c r="N51" s="963"/>
      <c r="O51" s="53">
        <f t="shared" si="18"/>
        <v>1</v>
      </c>
      <c r="P51" s="963"/>
      <c r="Q51" s="53">
        <f t="shared" si="19"/>
        <v>0</v>
      </c>
      <c r="R51" s="493">
        <f t="shared" si="20"/>
        <v>0</v>
      </c>
      <c r="S51" s="802">
        <f t="shared" si="11"/>
        <v>0</v>
      </c>
    </row>
    <row r="52" spans="1:19">
      <c r="A52" s="965"/>
      <c r="B52" s="137"/>
      <c r="C52" s="53">
        <f t="shared" si="12"/>
        <v>1</v>
      </c>
      <c r="D52" s="963"/>
      <c r="E52" s="53">
        <f t="shared" si="13"/>
        <v>0.03</v>
      </c>
      <c r="F52" s="963"/>
      <c r="G52" s="53">
        <f t="shared" si="14"/>
        <v>1</v>
      </c>
      <c r="H52" s="963"/>
      <c r="I52" s="53">
        <f t="shared" si="15"/>
        <v>1</v>
      </c>
      <c r="J52" s="963"/>
      <c r="K52" s="53">
        <f t="shared" si="16"/>
        <v>1</v>
      </c>
      <c r="L52" s="963"/>
      <c r="M52" s="53">
        <f t="shared" si="17"/>
        <v>1</v>
      </c>
      <c r="N52" s="963"/>
      <c r="O52" s="53">
        <f t="shared" si="18"/>
        <v>1</v>
      </c>
      <c r="P52" s="963"/>
      <c r="Q52" s="53">
        <f t="shared" si="19"/>
        <v>0</v>
      </c>
      <c r="R52" s="493">
        <f t="shared" si="20"/>
        <v>0</v>
      </c>
      <c r="S52" s="802">
        <f t="shared" si="11"/>
        <v>0</v>
      </c>
    </row>
    <row r="53" spans="1:19">
      <c r="A53" s="965"/>
      <c r="B53" s="137"/>
      <c r="C53" s="53">
        <f t="shared" si="12"/>
        <v>1</v>
      </c>
      <c r="D53" s="963"/>
      <c r="E53" s="53">
        <f t="shared" si="13"/>
        <v>0.03</v>
      </c>
      <c r="F53" s="963"/>
      <c r="G53" s="53">
        <f t="shared" si="14"/>
        <v>1</v>
      </c>
      <c r="H53" s="963"/>
      <c r="I53" s="53">
        <f t="shared" si="15"/>
        <v>1</v>
      </c>
      <c r="J53" s="963"/>
      <c r="K53" s="53">
        <f t="shared" si="16"/>
        <v>1</v>
      </c>
      <c r="L53" s="963"/>
      <c r="M53" s="53">
        <f t="shared" si="17"/>
        <v>1</v>
      </c>
      <c r="N53" s="963"/>
      <c r="O53" s="53">
        <f t="shared" si="18"/>
        <v>1</v>
      </c>
      <c r="P53" s="963"/>
      <c r="Q53" s="53">
        <f t="shared" si="19"/>
        <v>0</v>
      </c>
      <c r="R53" s="493">
        <f t="shared" si="20"/>
        <v>0</v>
      </c>
      <c r="S53" s="802">
        <f t="shared" si="11"/>
        <v>0</v>
      </c>
    </row>
    <row r="54" spans="1:19">
      <c r="A54" s="965"/>
      <c r="B54" s="137"/>
      <c r="C54" s="53">
        <f t="shared" si="12"/>
        <v>1</v>
      </c>
      <c r="D54" s="963"/>
      <c r="E54" s="53">
        <f t="shared" si="13"/>
        <v>0.03</v>
      </c>
      <c r="F54" s="963"/>
      <c r="G54" s="53">
        <f t="shared" si="14"/>
        <v>1</v>
      </c>
      <c r="H54" s="963"/>
      <c r="I54" s="53">
        <f t="shared" si="15"/>
        <v>1</v>
      </c>
      <c r="J54" s="963"/>
      <c r="K54" s="53">
        <f t="shared" si="16"/>
        <v>1</v>
      </c>
      <c r="L54" s="963"/>
      <c r="M54" s="53">
        <f t="shared" si="17"/>
        <v>1</v>
      </c>
      <c r="N54" s="963"/>
      <c r="O54" s="53">
        <f t="shared" si="18"/>
        <v>1</v>
      </c>
      <c r="P54" s="963"/>
      <c r="Q54" s="53">
        <f t="shared" si="19"/>
        <v>0</v>
      </c>
      <c r="R54" s="493">
        <f t="shared" si="20"/>
        <v>0</v>
      </c>
      <c r="S54" s="802">
        <f t="shared" si="11"/>
        <v>0</v>
      </c>
    </row>
    <row r="55" spans="1:19">
      <c r="A55" s="965"/>
      <c r="B55" s="137"/>
      <c r="C55" s="53">
        <f t="shared" si="12"/>
        <v>1</v>
      </c>
      <c r="D55" s="963"/>
      <c r="E55" s="53">
        <f t="shared" si="13"/>
        <v>0.03</v>
      </c>
      <c r="F55" s="963"/>
      <c r="G55" s="53">
        <f t="shared" si="14"/>
        <v>1</v>
      </c>
      <c r="H55" s="963"/>
      <c r="I55" s="53">
        <f t="shared" si="15"/>
        <v>1</v>
      </c>
      <c r="J55" s="963"/>
      <c r="K55" s="53">
        <f t="shared" si="16"/>
        <v>1</v>
      </c>
      <c r="L55" s="963"/>
      <c r="M55" s="53">
        <f t="shared" si="17"/>
        <v>1</v>
      </c>
      <c r="N55" s="963"/>
      <c r="O55" s="53">
        <f t="shared" si="18"/>
        <v>1</v>
      </c>
      <c r="P55" s="963"/>
      <c r="Q55" s="53">
        <f t="shared" si="19"/>
        <v>0</v>
      </c>
      <c r="R55" s="493">
        <f t="shared" si="20"/>
        <v>0</v>
      </c>
      <c r="S55" s="802">
        <f t="shared" ref="S55:S77" si="21">ROUND(R55*B55/10000,0)</f>
        <v>0</v>
      </c>
    </row>
    <row r="56" spans="1:19">
      <c r="A56" s="965"/>
      <c r="B56" s="137"/>
      <c r="C56" s="53">
        <f t="shared" si="12"/>
        <v>1</v>
      </c>
      <c r="D56" s="963"/>
      <c r="E56" s="53">
        <f t="shared" si="13"/>
        <v>0.03</v>
      </c>
      <c r="F56" s="963"/>
      <c r="G56" s="53">
        <f t="shared" si="14"/>
        <v>1</v>
      </c>
      <c r="H56" s="963"/>
      <c r="I56" s="53">
        <f t="shared" si="15"/>
        <v>1</v>
      </c>
      <c r="J56" s="963"/>
      <c r="K56" s="53">
        <f t="shared" si="16"/>
        <v>1</v>
      </c>
      <c r="L56" s="963"/>
      <c r="M56" s="53">
        <f t="shared" si="17"/>
        <v>1</v>
      </c>
      <c r="N56" s="963"/>
      <c r="O56" s="53">
        <f t="shared" si="18"/>
        <v>1</v>
      </c>
      <c r="P56" s="963"/>
      <c r="Q56" s="53">
        <f t="shared" si="19"/>
        <v>0</v>
      </c>
      <c r="R56" s="493">
        <f t="shared" si="20"/>
        <v>0</v>
      </c>
      <c r="S56" s="802">
        <f t="shared" si="21"/>
        <v>0</v>
      </c>
    </row>
    <row r="57" spans="1:19">
      <c r="A57" s="965"/>
      <c r="B57" s="137"/>
      <c r="C57" s="53">
        <f t="shared" si="12"/>
        <v>1</v>
      </c>
      <c r="D57" s="963"/>
      <c r="E57" s="53">
        <f t="shared" si="13"/>
        <v>0.03</v>
      </c>
      <c r="F57" s="963"/>
      <c r="G57" s="53">
        <f t="shared" si="14"/>
        <v>1</v>
      </c>
      <c r="H57" s="963"/>
      <c r="I57" s="53">
        <f t="shared" si="15"/>
        <v>1</v>
      </c>
      <c r="J57" s="963"/>
      <c r="K57" s="53">
        <f t="shared" si="16"/>
        <v>1</v>
      </c>
      <c r="L57" s="963"/>
      <c r="M57" s="53">
        <f t="shared" si="17"/>
        <v>1</v>
      </c>
      <c r="N57" s="963"/>
      <c r="O57" s="53">
        <f t="shared" si="18"/>
        <v>1</v>
      </c>
      <c r="P57" s="963"/>
      <c r="Q57" s="53">
        <f t="shared" si="19"/>
        <v>0</v>
      </c>
      <c r="R57" s="493">
        <f t="shared" si="20"/>
        <v>0</v>
      </c>
      <c r="S57" s="802">
        <f t="shared" si="21"/>
        <v>0</v>
      </c>
    </row>
    <row r="58" spans="1:19">
      <c r="A58" s="965"/>
      <c r="B58" s="137"/>
      <c r="C58" s="53">
        <f t="shared" si="12"/>
        <v>1</v>
      </c>
      <c r="D58" s="963"/>
      <c r="E58" s="53">
        <f t="shared" si="13"/>
        <v>0.03</v>
      </c>
      <c r="F58" s="963"/>
      <c r="G58" s="53">
        <f t="shared" si="14"/>
        <v>1</v>
      </c>
      <c r="H58" s="963"/>
      <c r="I58" s="53">
        <f t="shared" si="15"/>
        <v>1</v>
      </c>
      <c r="J58" s="963"/>
      <c r="K58" s="53">
        <f t="shared" si="16"/>
        <v>1</v>
      </c>
      <c r="L58" s="963"/>
      <c r="M58" s="53">
        <f t="shared" si="17"/>
        <v>1</v>
      </c>
      <c r="N58" s="963"/>
      <c r="O58" s="53">
        <f t="shared" si="18"/>
        <v>1</v>
      </c>
      <c r="P58" s="963"/>
      <c r="Q58" s="53">
        <f t="shared" si="19"/>
        <v>0</v>
      </c>
      <c r="R58" s="493">
        <f t="shared" si="20"/>
        <v>0</v>
      </c>
      <c r="S58" s="802">
        <f t="shared" si="21"/>
        <v>0</v>
      </c>
    </row>
    <row r="59" spans="1:19">
      <c r="A59" s="965"/>
      <c r="B59" s="137"/>
      <c r="C59" s="53">
        <f t="shared" si="12"/>
        <v>1</v>
      </c>
      <c r="D59" s="963"/>
      <c r="E59" s="53">
        <f t="shared" si="13"/>
        <v>0.03</v>
      </c>
      <c r="F59" s="963"/>
      <c r="G59" s="53">
        <f t="shared" si="14"/>
        <v>1</v>
      </c>
      <c r="H59" s="963"/>
      <c r="I59" s="53">
        <f t="shared" si="15"/>
        <v>1</v>
      </c>
      <c r="J59" s="963"/>
      <c r="K59" s="53">
        <f t="shared" si="16"/>
        <v>1</v>
      </c>
      <c r="L59" s="963"/>
      <c r="M59" s="53">
        <f t="shared" si="17"/>
        <v>1</v>
      </c>
      <c r="N59" s="963"/>
      <c r="O59" s="53">
        <f t="shared" si="18"/>
        <v>1</v>
      </c>
      <c r="P59" s="963"/>
      <c r="Q59" s="53">
        <f t="shared" si="19"/>
        <v>0</v>
      </c>
      <c r="R59" s="493">
        <f t="shared" si="20"/>
        <v>0</v>
      </c>
      <c r="S59" s="802">
        <f t="shared" si="21"/>
        <v>0</v>
      </c>
    </row>
    <row r="60" spans="1:19">
      <c r="A60" s="965"/>
      <c r="B60" s="137"/>
      <c r="C60" s="53">
        <f t="shared" si="12"/>
        <v>1</v>
      </c>
      <c r="D60" s="963"/>
      <c r="E60" s="53">
        <f t="shared" si="13"/>
        <v>0.03</v>
      </c>
      <c r="F60" s="963"/>
      <c r="G60" s="53">
        <f t="shared" si="14"/>
        <v>1</v>
      </c>
      <c r="H60" s="963"/>
      <c r="I60" s="53">
        <f t="shared" si="15"/>
        <v>1</v>
      </c>
      <c r="J60" s="963"/>
      <c r="K60" s="53">
        <f t="shared" si="16"/>
        <v>1</v>
      </c>
      <c r="L60" s="963"/>
      <c r="M60" s="53">
        <f t="shared" si="17"/>
        <v>1</v>
      </c>
      <c r="N60" s="963"/>
      <c r="O60" s="53">
        <f t="shared" si="18"/>
        <v>1</v>
      </c>
      <c r="P60" s="963"/>
      <c r="Q60" s="53">
        <f t="shared" si="19"/>
        <v>0</v>
      </c>
      <c r="R60" s="493">
        <f t="shared" si="20"/>
        <v>0</v>
      </c>
      <c r="S60" s="802">
        <f t="shared" si="21"/>
        <v>0</v>
      </c>
    </row>
    <row r="61" spans="1:19">
      <c r="A61" s="965"/>
      <c r="B61" s="137"/>
      <c r="C61" s="53">
        <f t="shared" si="12"/>
        <v>1</v>
      </c>
      <c r="D61" s="963"/>
      <c r="E61" s="53">
        <f t="shared" si="13"/>
        <v>0.03</v>
      </c>
      <c r="F61" s="963"/>
      <c r="G61" s="53">
        <f t="shared" si="14"/>
        <v>1</v>
      </c>
      <c r="H61" s="963"/>
      <c r="I61" s="53">
        <f t="shared" si="15"/>
        <v>1</v>
      </c>
      <c r="J61" s="963"/>
      <c r="K61" s="53">
        <f t="shared" si="16"/>
        <v>1</v>
      </c>
      <c r="L61" s="963"/>
      <c r="M61" s="53">
        <f t="shared" si="17"/>
        <v>1</v>
      </c>
      <c r="N61" s="963"/>
      <c r="O61" s="53">
        <f t="shared" si="18"/>
        <v>1</v>
      </c>
      <c r="P61" s="963"/>
      <c r="Q61" s="53">
        <f t="shared" si="19"/>
        <v>0</v>
      </c>
      <c r="R61" s="493">
        <f t="shared" si="20"/>
        <v>0</v>
      </c>
      <c r="S61" s="802">
        <f t="shared" si="21"/>
        <v>0</v>
      </c>
    </row>
    <row r="62" spans="1:19">
      <c r="A62" s="965"/>
      <c r="B62" s="137"/>
      <c r="C62" s="53">
        <f t="shared" si="12"/>
        <v>1</v>
      </c>
      <c r="D62" s="963"/>
      <c r="E62" s="53">
        <f t="shared" si="13"/>
        <v>0.03</v>
      </c>
      <c r="F62" s="963"/>
      <c r="G62" s="53">
        <f t="shared" si="14"/>
        <v>1</v>
      </c>
      <c r="H62" s="963"/>
      <c r="I62" s="53">
        <f t="shared" si="15"/>
        <v>1</v>
      </c>
      <c r="J62" s="963"/>
      <c r="K62" s="53">
        <f t="shared" si="16"/>
        <v>1</v>
      </c>
      <c r="L62" s="963"/>
      <c r="M62" s="53">
        <f t="shared" si="17"/>
        <v>1</v>
      </c>
      <c r="N62" s="963"/>
      <c r="O62" s="53">
        <f t="shared" si="18"/>
        <v>1</v>
      </c>
      <c r="P62" s="963"/>
      <c r="Q62" s="53">
        <f t="shared" si="19"/>
        <v>0</v>
      </c>
      <c r="R62" s="493">
        <f t="shared" si="20"/>
        <v>0</v>
      </c>
      <c r="S62" s="802">
        <f t="shared" si="21"/>
        <v>0</v>
      </c>
    </row>
    <row r="63" spans="1:19">
      <c r="A63" s="965"/>
      <c r="B63" s="137"/>
      <c r="C63" s="53">
        <f t="shared" si="12"/>
        <v>1</v>
      </c>
      <c r="D63" s="963"/>
      <c r="E63" s="53">
        <f t="shared" si="13"/>
        <v>0.03</v>
      </c>
      <c r="F63" s="963"/>
      <c r="G63" s="53">
        <f t="shared" si="14"/>
        <v>1</v>
      </c>
      <c r="H63" s="963"/>
      <c r="I63" s="53">
        <f t="shared" si="15"/>
        <v>1</v>
      </c>
      <c r="J63" s="963"/>
      <c r="K63" s="53">
        <f t="shared" si="16"/>
        <v>1</v>
      </c>
      <c r="L63" s="963"/>
      <c r="M63" s="53">
        <f t="shared" si="17"/>
        <v>1</v>
      </c>
      <c r="N63" s="963"/>
      <c r="O63" s="53">
        <f t="shared" si="18"/>
        <v>1</v>
      </c>
      <c r="P63" s="963"/>
      <c r="Q63" s="53">
        <f t="shared" si="19"/>
        <v>0</v>
      </c>
      <c r="R63" s="493">
        <f t="shared" si="20"/>
        <v>0</v>
      </c>
      <c r="S63" s="802">
        <f t="shared" si="21"/>
        <v>0</v>
      </c>
    </row>
    <row r="64" spans="1:19">
      <c r="A64" s="965"/>
      <c r="B64" s="137"/>
      <c r="C64" s="53">
        <f t="shared" si="12"/>
        <v>1</v>
      </c>
      <c r="D64" s="963"/>
      <c r="E64" s="53">
        <f t="shared" si="13"/>
        <v>0.03</v>
      </c>
      <c r="F64" s="963"/>
      <c r="G64" s="53">
        <f t="shared" si="14"/>
        <v>1</v>
      </c>
      <c r="H64" s="963"/>
      <c r="I64" s="53">
        <f t="shared" si="15"/>
        <v>1</v>
      </c>
      <c r="J64" s="963"/>
      <c r="K64" s="53">
        <f t="shared" si="16"/>
        <v>1</v>
      </c>
      <c r="L64" s="963"/>
      <c r="M64" s="53">
        <f t="shared" si="17"/>
        <v>1</v>
      </c>
      <c r="N64" s="963"/>
      <c r="O64" s="53">
        <f t="shared" si="18"/>
        <v>1</v>
      </c>
      <c r="P64" s="963"/>
      <c r="Q64" s="53">
        <f t="shared" si="19"/>
        <v>0</v>
      </c>
      <c r="R64" s="493">
        <f t="shared" si="20"/>
        <v>0</v>
      </c>
      <c r="S64" s="802">
        <f t="shared" si="21"/>
        <v>0</v>
      </c>
    </row>
    <row r="65" spans="1:19">
      <c r="A65" s="965"/>
      <c r="B65" s="137"/>
      <c r="C65" s="53">
        <f t="shared" si="12"/>
        <v>1</v>
      </c>
      <c r="D65" s="963"/>
      <c r="E65" s="53">
        <f t="shared" si="13"/>
        <v>0.03</v>
      </c>
      <c r="F65" s="963"/>
      <c r="G65" s="53">
        <f t="shared" si="14"/>
        <v>1</v>
      </c>
      <c r="H65" s="963"/>
      <c r="I65" s="53">
        <f t="shared" si="15"/>
        <v>1</v>
      </c>
      <c r="J65" s="963"/>
      <c r="K65" s="53">
        <f t="shared" si="16"/>
        <v>1</v>
      </c>
      <c r="L65" s="963"/>
      <c r="M65" s="53">
        <f t="shared" si="17"/>
        <v>1</v>
      </c>
      <c r="N65" s="963"/>
      <c r="O65" s="53">
        <f t="shared" si="18"/>
        <v>1</v>
      </c>
      <c r="P65" s="963"/>
      <c r="Q65" s="53">
        <f t="shared" si="19"/>
        <v>0</v>
      </c>
      <c r="R65" s="493">
        <f t="shared" si="20"/>
        <v>0</v>
      </c>
      <c r="S65" s="802">
        <f t="shared" si="21"/>
        <v>0</v>
      </c>
    </row>
    <row r="66" spans="1:19">
      <c r="A66" s="965"/>
      <c r="B66" s="137"/>
      <c r="C66" s="53">
        <f t="shared" si="12"/>
        <v>1</v>
      </c>
      <c r="D66" s="963"/>
      <c r="E66" s="53">
        <f t="shared" si="13"/>
        <v>0.03</v>
      </c>
      <c r="F66" s="963"/>
      <c r="G66" s="53">
        <f t="shared" si="14"/>
        <v>1</v>
      </c>
      <c r="H66" s="963"/>
      <c r="I66" s="53">
        <f t="shared" si="15"/>
        <v>1</v>
      </c>
      <c r="J66" s="963"/>
      <c r="K66" s="53">
        <f t="shared" si="16"/>
        <v>1</v>
      </c>
      <c r="L66" s="963"/>
      <c r="M66" s="53">
        <f t="shared" si="17"/>
        <v>1</v>
      </c>
      <c r="N66" s="963"/>
      <c r="O66" s="53">
        <f t="shared" si="18"/>
        <v>1</v>
      </c>
      <c r="P66" s="963"/>
      <c r="Q66" s="53">
        <f t="shared" si="19"/>
        <v>0</v>
      </c>
      <c r="R66" s="493">
        <f t="shared" si="20"/>
        <v>0</v>
      </c>
      <c r="S66" s="802">
        <f t="shared" si="21"/>
        <v>0</v>
      </c>
    </row>
    <row r="67" spans="1:19">
      <c r="A67" s="965"/>
      <c r="B67" s="137"/>
      <c r="C67" s="53">
        <f t="shared" si="12"/>
        <v>1</v>
      </c>
      <c r="D67" s="963"/>
      <c r="E67" s="53">
        <f t="shared" si="13"/>
        <v>0.03</v>
      </c>
      <c r="F67" s="963"/>
      <c r="G67" s="53">
        <f t="shared" si="14"/>
        <v>1</v>
      </c>
      <c r="H67" s="963"/>
      <c r="I67" s="53">
        <f t="shared" si="15"/>
        <v>1</v>
      </c>
      <c r="J67" s="963"/>
      <c r="K67" s="53">
        <f t="shared" si="16"/>
        <v>1</v>
      </c>
      <c r="L67" s="963"/>
      <c r="M67" s="53">
        <f t="shared" si="17"/>
        <v>1</v>
      </c>
      <c r="N67" s="963"/>
      <c r="O67" s="53">
        <f t="shared" si="18"/>
        <v>1</v>
      </c>
      <c r="P67" s="963"/>
      <c r="Q67" s="53">
        <f t="shared" si="19"/>
        <v>0</v>
      </c>
      <c r="R67" s="493">
        <f t="shared" si="20"/>
        <v>0</v>
      </c>
      <c r="S67" s="802">
        <f t="shared" si="21"/>
        <v>0</v>
      </c>
    </row>
    <row r="68" spans="1:19">
      <c r="A68" s="965"/>
      <c r="B68" s="137"/>
      <c r="C68" s="53">
        <f t="shared" si="12"/>
        <v>1</v>
      </c>
      <c r="D68" s="963"/>
      <c r="E68" s="53">
        <f t="shared" si="13"/>
        <v>0.03</v>
      </c>
      <c r="F68" s="963"/>
      <c r="G68" s="53">
        <f t="shared" si="14"/>
        <v>1</v>
      </c>
      <c r="H68" s="963"/>
      <c r="I68" s="53">
        <f t="shared" si="15"/>
        <v>1</v>
      </c>
      <c r="J68" s="963"/>
      <c r="K68" s="53">
        <f t="shared" si="16"/>
        <v>1</v>
      </c>
      <c r="L68" s="963"/>
      <c r="M68" s="53">
        <f t="shared" si="17"/>
        <v>1</v>
      </c>
      <c r="N68" s="963"/>
      <c r="O68" s="53">
        <f t="shared" si="18"/>
        <v>1</v>
      </c>
      <c r="P68" s="963"/>
      <c r="Q68" s="53">
        <f t="shared" si="19"/>
        <v>0</v>
      </c>
      <c r="R68" s="493">
        <f t="shared" si="20"/>
        <v>0</v>
      </c>
      <c r="S68" s="802">
        <f t="shared" si="21"/>
        <v>0</v>
      </c>
    </row>
    <row r="69" spans="1:19">
      <c r="A69" s="965"/>
      <c r="B69" s="137"/>
      <c r="C69" s="53">
        <f t="shared" si="12"/>
        <v>1</v>
      </c>
      <c r="D69" s="963"/>
      <c r="E69" s="53">
        <f t="shared" si="13"/>
        <v>0.03</v>
      </c>
      <c r="F69" s="963"/>
      <c r="G69" s="53">
        <f t="shared" si="14"/>
        <v>1</v>
      </c>
      <c r="H69" s="963"/>
      <c r="I69" s="53">
        <f t="shared" si="15"/>
        <v>1</v>
      </c>
      <c r="J69" s="963"/>
      <c r="K69" s="53">
        <f t="shared" si="16"/>
        <v>1</v>
      </c>
      <c r="L69" s="963"/>
      <c r="M69" s="53">
        <f t="shared" si="17"/>
        <v>1</v>
      </c>
      <c r="N69" s="963"/>
      <c r="O69" s="53">
        <f t="shared" si="18"/>
        <v>1</v>
      </c>
      <c r="P69" s="963"/>
      <c r="Q69" s="53">
        <f t="shared" si="19"/>
        <v>0</v>
      </c>
      <c r="R69" s="493">
        <f t="shared" si="20"/>
        <v>0</v>
      </c>
      <c r="S69" s="802">
        <f t="shared" si="21"/>
        <v>0</v>
      </c>
    </row>
    <row r="70" spans="1:19">
      <c r="A70" s="965"/>
      <c r="B70" s="137"/>
      <c r="C70" s="53">
        <f t="shared" si="12"/>
        <v>1</v>
      </c>
      <c r="D70" s="963"/>
      <c r="E70" s="53">
        <f t="shared" si="13"/>
        <v>0.03</v>
      </c>
      <c r="F70" s="963"/>
      <c r="G70" s="53">
        <f t="shared" si="14"/>
        <v>1</v>
      </c>
      <c r="H70" s="963"/>
      <c r="I70" s="53">
        <f t="shared" si="15"/>
        <v>1</v>
      </c>
      <c r="J70" s="963"/>
      <c r="K70" s="53">
        <f t="shared" si="16"/>
        <v>1</v>
      </c>
      <c r="L70" s="963"/>
      <c r="M70" s="53">
        <f t="shared" si="17"/>
        <v>1</v>
      </c>
      <c r="N70" s="963"/>
      <c r="O70" s="53">
        <f t="shared" si="18"/>
        <v>1</v>
      </c>
      <c r="P70" s="963"/>
      <c r="Q70" s="53">
        <f t="shared" si="19"/>
        <v>0</v>
      </c>
      <c r="R70" s="493">
        <f t="shared" si="20"/>
        <v>0</v>
      </c>
      <c r="S70" s="802">
        <f t="shared" si="21"/>
        <v>0</v>
      </c>
    </row>
    <row r="71" spans="1:19">
      <c r="A71" s="965"/>
      <c r="B71" s="137"/>
      <c r="C71" s="53">
        <f t="shared" si="12"/>
        <v>1</v>
      </c>
      <c r="D71" s="963"/>
      <c r="E71" s="53">
        <f t="shared" si="13"/>
        <v>0.03</v>
      </c>
      <c r="F71" s="963"/>
      <c r="G71" s="53">
        <f t="shared" si="14"/>
        <v>1</v>
      </c>
      <c r="H71" s="963"/>
      <c r="I71" s="53">
        <f t="shared" si="15"/>
        <v>1</v>
      </c>
      <c r="J71" s="963"/>
      <c r="K71" s="53">
        <f t="shared" si="16"/>
        <v>1</v>
      </c>
      <c r="L71" s="963"/>
      <c r="M71" s="53">
        <f t="shared" si="17"/>
        <v>1</v>
      </c>
      <c r="N71" s="963"/>
      <c r="O71" s="53">
        <f t="shared" si="18"/>
        <v>1</v>
      </c>
      <c r="P71" s="963"/>
      <c r="Q71" s="53">
        <f t="shared" si="19"/>
        <v>0</v>
      </c>
      <c r="R71" s="493">
        <f t="shared" si="20"/>
        <v>0</v>
      </c>
      <c r="S71" s="802">
        <f t="shared" si="21"/>
        <v>0</v>
      </c>
    </row>
    <row r="72" spans="1:19">
      <c r="A72" s="965"/>
      <c r="B72" s="137"/>
      <c r="C72" s="53">
        <f t="shared" si="12"/>
        <v>1</v>
      </c>
      <c r="D72" s="963"/>
      <c r="E72" s="53">
        <f t="shared" si="13"/>
        <v>0.03</v>
      </c>
      <c r="F72" s="963"/>
      <c r="G72" s="53">
        <f t="shared" si="14"/>
        <v>1</v>
      </c>
      <c r="H72" s="963"/>
      <c r="I72" s="53">
        <f t="shared" si="15"/>
        <v>1</v>
      </c>
      <c r="J72" s="963"/>
      <c r="K72" s="53">
        <f t="shared" si="16"/>
        <v>1</v>
      </c>
      <c r="L72" s="963"/>
      <c r="M72" s="53">
        <f t="shared" si="17"/>
        <v>1</v>
      </c>
      <c r="N72" s="963"/>
      <c r="O72" s="53">
        <f t="shared" si="18"/>
        <v>1</v>
      </c>
      <c r="P72" s="963"/>
      <c r="Q72" s="53">
        <f t="shared" si="19"/>
        <v>0</v>
      </c>
      <c r="R72" s="493">
        <f t="shared" si="20"/>
        <v>0</v>
      </c>
      <c r="S72" s="802">
        <f t="shared" si="21"/>
        <v>0</v>
      </c>
    </row>
    <row r="73" spans="1:19">
      <c r="A73" s="965"/>
      <c r="B73" s="137"/>
      <c r="C73" s="53">
        <f t="shared" si="12"/>
        <v>1</v>
      </c>
      <c r="D73" s="963"/>
      <c r="E73" s="53">
        <f t="shared" si="13"/>
        <v>0.03</v>
      </c>
      <c r="F73" s="963"/>
      <c r="G73" s="53">
        <f t="shared" si="14"/>
        <v>1</v>
      </c>
      <c r="H73" s="963"/>
      <c r="I73" s="53">
        <f t="shared" si="15"/>
        <v>1</v>
      </c>
      <c r="J73" s="963"/>
      <c r="K73" s="53">
        <f t="shared" si="16"/>
        <v>1</v>
      </c>
      <c r="L73" s="963"/>
      <c r="M73" s="53">
        <f t="shared" si="17"/>
        <v>1</v>
      </c>
      <c r="N73" s="963"/>
      <c r="O73" s="53">
        <f t="shared" si="18"/>
        <v>1</v>
      </c>
      <c r="P73" s="963"/>
      <c r="Q73" s="53">
        <f t="shared" si="19"/>
        <v>0</v>
      </c>
      <c r="R73" s="493">
        <f t="shared" si="20"/>
        <v>0</v>
      </c>
      <c r="S73" s="802">
        <f t="shared" si="21"/>
        <v>0</v>
      </c>
    </row>
    <row r="74" spans="1:19">
      <c r="A74" s="965"/>
      <c r="B74" s="137"/>
      <c r="C74" s="53">
        <f t="shared" si="12"/>
        <v>1</v>
      </c>
      <c r="D74" s="963"/>
      <c r="E74" s="53">
        <f t="shared" si="13"/>
        <v>0.03</v>
      </c>
      <c r="F74" s="963"/>
      <c r="G74" s="53">
        <f t="shared" si="14"/>
        <v>1</v>
      </c>
      <c r="H74" s="963"/>
      <c r="I74" s="53">
        <f t="shared" si="15"/>
        <v>1</v>
      </c>
      <c r="J74" s="963"/>
      <c r="K74" s="53">
        <f t="shared" si="16"/>
        <v>1</v>
      </c>
      <c r="L74" s="963"/>
      <c r="M74" s="53">
        <f t="shared" si="17"/>
        <v>1</v>
      </c>
      <c r="N74" s="963"/>
      <c r="O74" s="53">
        <f t="shared" si="18"/>
        <v>1</v>
      </c>
      <c r="P74" s="963"/>
      <c r="Q74" s="53">
        <f t="shared" si="19"/>
        <v>0</v>
      </c>
      <c r="R74" s="493">
        <f t="shared" si="20"/>
        <v>0</v>
      </c>
      <c r="S74" s="802">
        <f t="shared" si="21"/>
        <v>0</v>
      </c>
    </row>
    <row r="75" spans="1:19">
      <c r="A75" s="965"/>
      <c r="B75" s="137"/>
      <c r="C75" s="53">
        <f t="shared" si="12"/>
        <v>1</v>
      </c>
      <c r="D75" s="963"/>
      <c r="E75" s="53">
        <f t="shared" si="13"/>
        <v>0.03</v>
      </c>
      <c r="F75" s="963"/>
      <c r="G75" s="53">
        <f t="shared" si="14"/>
        <v>1</v>
      </c>
      <c r="H75" s="963"/>
      <c r="I75" s="53">
        <f t="shared" si="15"/>
        <v>1</v>
      </c>
      <c r="J75" s="963"/>
      <c r="K75" s="53">
        <f t="shared" si="16"/>
        <v>1</v>
      </c>
      <c r="L75" s="963"/>
      <c r="M75" s="53">
        <f t="shared" si="17"/>
        <v>1</v>
      </c>
      <c r="N75" s="963"/>
      <c r="O75" s="53">
        <f t="shared" si="18"/>
        <v>1</v>
      </c>
      <c r="P75" s="963"/>
      <c r="Q75" s="53">
        <f t="shared" si="19"/>
        <v>0</v>
      </c>
      <c r="R75" s="493">
        <f t="shared" si="20"/>
        <v>0</v>
      </c>
      <c r="S75" s="802">
        <f t="shared" si="21"/>
        <v>0</v>
      </c>
    </row>
    <row r="76" spans="1:19">
      <c r="A76" s="965"/>
      <c r="B76" s="137"/>
      <c r="C76" s="53">
        <f t="shared" si="12"/>
        <v>1</v>
      </c>
      <c r="D76" s="963"/>
      <c r="E76" s="53">
        <f t="shared" si="13"/>
        <v>0.03</v>
      </c>
      <c r="F76" s="963"/>
      <c r="G76" s="53">
        <f t="shared" si="14"/>
        <v>1</v>
      </c>
      <c r="H76" s="963"/>
      <c r="I76" s="53">
        <f t="shared" si="15"/>
        <v>1</v>
      </c>
      <c r="J76" s="963"/>
      <c r="K76" s="53">
        <f t="shared" si="16"/>
        <v>1</v>
      </c>
      <c r="L76" s="963"/>
      <c r="M76" s="53">
        <f t="shared" si="17"/>
        <v>1</v>
      </c>
      <c r="N76" s="963"/>
      <c r="O76" s="53">
        <f t="shared" si="18"/>
        <v>1</v>
      </c>
      <c r="P76" s="963"/>
      <c r="Q76" s="53">
        <f t="shared" si="19"/>
        <v>0</v>
      </c>
      <c r="R76" s="493">
        <f t="shared" si="20"/>
        <v>0</v>
      </c>
      <c r="S76" s="802">
        <f t="shared" si="21"/>
        <v>0</v>
      </c>
    </row>
    <row r="77" spans="1:19">
      <c r="A77" s="965"/>
      <c r="B77" s="137"/>
      <c r="C77" s="53">
        <f t="shared" si="12"/>
        <v>1</v>
      </c>
      <c r="D77" s="963"/>
      <c r="E77" s="53">
        <f t="shared" si="13"/>
        <v>0.03</v>
      </c>
      <c r="F77" s="963"/>
      <c r="G77" s="53">
        <f t="shared" si="14"/>
        <v>1</v>
      </c>
      <c r="H77" s="963"/>
      <c r="I77" s="53">
        <f t="shared" si="15"/>
        <v>1</v>
      </c>
      <c r="J77" s="963"/>
      <c r="K77" s="53">
        <f t="shared" si="16"/>
        <v>1</v>
      </c>
      <c r="L77" s="963"/>
      <c r="M77" s="53">
        <f t="shared" si="17"/>
        <v>1</v>
      </c>
      <c r="N77" s="963"/>
      <c r="O77" s="53">
        <f t="shared" si="18"/>
        <v>1</v>
      </c>
      <c r="P77" s="963"/>
      <c r="Q77" s="53">
        <f t="shared" si="19"/>
        <v>0</v>
      </c>
      <c r="R77" s="493">
        <f t="shared" si="20"/>
        <v>0</v>
      </c>
      <c r="S77" s="802">
        <f t="shared" si="21"/>
        <v>0</v>
      </c>
    </row>
    <row r="78" spans="1:19">
      <c r="A78" s="965"/>
      <c r="B78" s="137"/>
      <c r="C78" s="53">
        <f t="shared" si="12"/>
        <v>1</v>
      </c>
      <c r="D78" s="963"/>
      <c r="E78" s="53">
        <f t="shared" si="13"/>
        <v>0.03</v>
      </c>
      <c r="F78" s="963"/>
      <c r="G78" s="53">
        <f t="shared" si="14"/>
        <v>1</v>
      </c>
      <c r="H78" s="963"/>
      <c r="I78" s="53">
        <f t="shared" si="15"/>
        <v>1</v>
      </c>
      <c r="J78" s="963"/>
      <c r="K78" s="53">
        <f t="shared" si="16"/>
        <v>1</v>
      </c>
      <c r="L78" s="963"/>
      <c r="M78" s="53">
        <f t="shared" si="17"/>
        <v>1</v>
      </c>
      <c r="N78" s="963"/>
      <c r="O78" s="53">
        <f t="shared" si="18"/>
        <v>1</v>
      </c>
      <c r="P78" s="963"/>
      <c r="Q78" s="53">
        <f t="shared" si="19"/>
        <v>0</v>
      </c>
      <c r="R78" s="493">
        <f t="shared" si="20"/>
        <v>0</v>
      </c>
      <c r="S78" s="802">
        <f t="shared" ref="S78:S122" si="22">ROUND(R78*B78/10000,0)</f>
        <v>0</v>
      </c>
    </row>
    <row r="79" spans="1:19">
      <c r="A79" s="965"/>
      <c r="B79" s="137"/>
      <c r="C79" s="53">
        <f t="shared" si="12"/>
        <v>1</v>
      </c>
      <c r="D79" s="963"/>
      <c r="E79" s="53">
        <f t="shared" si="13"/>
        <v>0.03</v>
      </c>
      <c r="F79" s="963"/>
      <c r="G79" s="53">
        <f t="shared" si="14"/>
        <v>1</v>
      </c>
      <c r="H79" s="963"/>
      <c r="I79" s="53">
        <f t="shared" si="15"/>
        <v>1</v>
      </c>
      <c r="J79" s="963"/>
      <c r="K79" s="53">
        <f t="shared" si="16"/>
        <v>1</v>
      </c>
      <c r="L79" s="963"/>
      <c r="M79" s="53">
        <f t="shared" si="17"/>
        <v>1</v>
      </c>
      <c r="N79" s="963"/>
      <c r="O79" s="53">
        <f t="shared" si="18"/>
        <v>1</v>
      </c>
      <c r="P79" s="963"/>
      <c r="Q79" s="53">
        <f t="shared" si="19"/>
        <v>0</v>
      </c>
      <c r="R79" s="493">
        <f t="shared" si="20"/>
        <v>0</v>
      </c>
      <c r="S79" s="802">
        <f t="shared" si="22"/>
        <v>0</v>
      </c>
    </row>
    <row r="80" spans="1:19">
      <c r="A80" s="965"/>
      <c r="B80" s="137"/>
      <c r="C80" s="53">
        <f t="shared" si="12"/>
        <v>1</v>
      </c>
      <c r="D80" s="963"/>
      <c r="E80" s="53">
        <f t="shared" si="13"/>
        <v>0.03</v>
      </c>
      <c r="F80" s="963"/>
      <c r="G80" s="53">
        <f t="shared" si="14"/>
        <v>1</v>
      </c>
      <c r="H80" s="963"/>
      <c r="I80" s="53">
        <f t="shared" si="15"/>
        <v>1</v>
      </c>
      <c r="J80" s="963"/>
      <c r="K80" s="53">
        <f t="shared" si="16"/>
        <v>1</v>
      </c>
      <c r="L80" s="963"/>
      <c r="M80" s="53">
        <f t="shared" si="17"/>
        <v>1</v>
      </c>
      <c r="N80" s="963"/>
      <c r="O80" s="53">
        <f t="shared" si="18"/>
        <v>1</v>
      </c>
      <c r="P80" s="963"/>
      <c r="Q80" s="53">
        <f t="shared" si="19"/>
        <v>0</v>
      </c>
      <c r="R80" s="493">
        <f t="shared" si="20"/>
        <v>0</v>
      </c>
      <c r="S80" s="802">
        <f t="shared" si="22"/>
        <v>0</v>
      </c>
    </row>
    <row r="81" spans="1:19">
      <c r="A81" s="965"/>
      <c r="B81" s="137"/>
      <c r="C81" s="53">
        <f t="shared" si="12"/>
        <v>1</v>
      </c>
      <c r="D81" s="963"/>
      <c r="E81" s="53">
        <f t="shared" si="13"/>
        <v>0.03</v>
      </c>
      <c r="F81" s="963"/>
      <c r="G81" s="53">
        <f t="shared" si="14"/>
        <v>1</v>
      </c>
      <c r="H81" s="963"/>
      <c r="I81" s="53">
        <f t="shared" si="15"/>
        <v>1</v>
      </c>
      <c r="J81" s="963"/>
      <c r="K81" s="53">
        <f t="shared" si="16"/>
        <v>1</v>
      </c>
      <c r="L81" s="963"/>
      <c r="M81" s="53">
        <f t="shared" si="17"/>
        <v>1</v>
      </c>
      <c r="N81" s="963"/>
      <c r="O81" s="53">
        <f t="shared" si="18"/>
        <v>1</v>
      </c>
      <c r="P81" s="963"/>
      <c r="Q81" s="53">
        <f t="shared" si="19"/>
        <v>0</v>
      </c>
      <c r="R81" s="493">
        <f t="shared" si="20"/>
        <v>0</v>
      </c>
      <c r="S81" s="802">
        <f t="shared" si="22"/>
        <v>0</v>
      </c>
    </row>
    <row r="82" spans="1:19">
      <c r="A82" s="965"/>
      <c r="B82" s="137"/>
      <c r="C82" s="53">
        <f t="shared" si="12"/>
        <v>1</v>
      </c>
      <c r="D82" s="963"/>
      <c r="E82" s="53">
        <f t="shared" si="13"/>
        <v>0.03</v>
      </c>
      <c r="F82" s="963"/>
      <c r="G82" s="53">
        <f t="shared" si="14"/>
        <v>1</v>
      </c>
      <c r="H82" s="963"/>
      <c r="I82" s="53">
        <f t="shared" si="15"/>
        <v>1</v>
      </c>
      <c r="J82" s="963"/>
      <c r="K82" s="53">
        <f t="shared" si="16"/>
        <v>1</v>
      </c>
      <c r="L82" s="963"/>
      <c r="M82" s="53">
        <f t="shared" si="17"/>
        <v>1</v>
      </c>
      <c r="N82" s="963"/>
      <c r="O82" s="53">
        <f t="shared" si="18"/>
        <v>1</v>
      </c>
      <c r="P82" s="963"/>
      <c r="Q82" s="53">
        <f t="shared" si="19"/>
        <v>0</v>
      </c>
      <c r="R82" s="493">
        <f t="shared" si="20"/>
        <v>0</v>
      </c>
      <c r="S82" s="802">
        <f t="shared" si="22"/>
        <v>0</v>
      </c>
    </row>
    <row r="83" spans="1:19">
      <c r="A83" s="965"/>
      <c r="B83" s="137"/>
      <c r="C83" s="53">
        <f t="shared" si="12"/>
        <v>1</v>
      </c>
      <c r="D83" s="963"/>
      <c r="E83" s="53">
        <f t="shared" si="13"/>
        <v>0.03</v>
      </c>
      <c r="F83" s="963"/>
      <c r="G83" s="53">
        <f t="shared" si="14"/>
        <v>1</v>
      </c>
      <c r="H83" s="963"/>
      <c r="I83" s="53">
        <f t="shared" si="15"/>
        <v>1</v>
      </c>
      <c r="J83" s="963"/>
      <c r="K83" s="53">
        <f t="shared" si="16"/>
        <v>1</v>
      </c>
      <c r="L83" s="963"/>
      <c r="M83" s="53">
        <f t="shared" si="17"/>
        <v>1</v>
      </c>
      <c r="N83" s="963"/>
      <c r="O83" s="53">
        <f t="shared" si="18"/>
        <v>1</v>
      </c>
      <c r="P83" s="963"/>
      <c r="Q83" s="53">
        <f t="shared" si="19"/>
        <v>0</v>
      </c>
      <c r="R83" s="493">
        <f t="shared" si="20"/>
        <v>0</v>
      </c>
      <c r="S83" s="802">
        <f t="shared" si="22"/>
        <v>0</v>
      </c>
    </row>
    <row r="84" spans="1:19">
      <c r="A84" s="965"/>
      <c r="B84" s="137"/>
      <c r="C84" s="53">
        <f t="shared" si="12"/>
        <v>1</v>
      </c>
      <c r="D84" s="963"/>
      <c r="E84" s="53">
        <f t="shared" si="13"/>
        <v>0.03</v>
      </c>
      <c r="F84" s="963"/>
      <c r="G84" s="53">
        <f t="shared" si="14"/>
        <v>1</v>
      </c>
      <c r="H84" s="963"/>
      <c r="I84" s="53">
        <f t="shared" si="15"/>
        <v>1</v>
      </c>
      <c r="J84" s="963"/>
      <c r="K84" s="53">
        <f t="shared" si="16"/>
        <v>1</v>
      </c>
      <c r="L84" s="963"/>
      <c r="M84" s="53">
        <f t="shared" si="17"/>
        <v>1</v>
      </c>
      <c r="N84" s="963"/>
      <c r="O84" s="53">
        <f t="shared" si="18"/>
        <v>1</v>
      </c>
      <c r="P84" s="963"/>
      <c r="Q84" s="53">
        <f t="shared" si="19"/>
        <v>0</v>
      </c>
      <c r="R84" s="493">
        <f t="shared" si="20"/>
        <v>0</v>
      </c>
      <c r="S84" s="802">
        <f t="shared" si="22"/>
        <v>0</v>
      </c>
    </row>
    <row r="85" spans="1:19">
      <c r="A85" s="965"/>
      <c r="B85" s="137"/>
      <c r="C85" s="53">
        <f t="shared" si="12"/>
        <v>1</v>
      </c>
      <c r="D85" s="963"/>
      <c r="E85" s="53">
        <f t="shared" si="13"/>
        <v>0.03</v>
      </c>
      <c r="F85" s="963"/>
      <c r="G85" s="53">
        <f t="shared" si="14"/>
        <v>1</v>
      </c>
      <c r="H85" s="963"/>
      <c r="I85" s="53">
        <f t="shared" si="15"/>
        <v>1</v>
      </c>
      <c r="J85" s="963"/>
      <c r="K85" s="53">
        <f t="shared" si="16"/>
        <v>1</v>
      </c>
      <c r="L85" s="963"/>
      <c r="M85" s="53">
        <f t="shared" si="17"/>
        <v>1</v>
      </c>
      <c r="N85" s="963"/>
      <c r="O85" s="53">
        <f t="shared" si="18"/>
        <v>1</v>
      </c>
      <c r="P85" s="963"/>
      <c r="Q85" s="53">
        <f t="shared" si="19"/>
        <v>0</v>
      </c>
      <c r="R85" s="493">
        <f t="shared" si="20"/>
        <v>0</v>
      </c>
      <c r="S85" s="802">
        <f t="shared" si="22"/>
        <v>0</v>
      </c>
    </row>
    <row r="86" spans="1:19">
      <c r="A86" s="965"/>
      <c r="B86" s="137"/>
      <c r="C86" s="53">
        <f t="shared" si="12"/>
        <v>1</v>
      </c>
      <c r="D86" s="963"/>
      <c r="E86" s="53">
        <f t="shared" si="13"/>
        <v>0.03</v>
      </c>
      <c r="F86" s="963"/>
      <c r="G86" s="53">
        <f t="shared" si="14"/>
        <v>1</v>
      </c>
      <c r="H86" s="963"/>
      <c r="I86" s="53">
        <f t="shared" si="15"/>
        <v>1</v>
      </c>
      <c r="J86" s="963"/>
      <c r="K86" s="53">
        <f t="shared" si="16"/>
        <v>1</v>
      </c>
      <c r="L86" s="963"/>
      <c r="M86" s="53">
        <f t="shared" si="17"/>
        <v>1</v>
      </c>
      <c r="N86" s="963"/>
      <c r="O86" s="53">
        <f t="shared" si="18"/>
        <v>1</v>
      </c>
      <c r="P86" s="963"/>
      <c r="Q86" s="53">
        <f t="shared" si="19"/>
        <v>0</v>
      </c>
      <c r="R86" s="493">
        <f t="shared" si="20"/>
        <v>0</v>
      </c>
      <c r="S86" s="802">
        <f t="shared" si="22"/>
        <v>0</v>
      </c>
    </row>
    <row r="87" spans="1:19">
      <c r="A87" s="965"/>
      <c r="B87" s="137"/>
      <c r="C87" s="53">
        <f t="shared" si="12"/>
        <v>1</v>
      </c>
      <c r="D87" s="963"/>
      <c r="E87" s="53">
        <f t="shared" si="13"/>
        <v>0.03</v>
      </c>
      <c r="F87" s="963"/>
      <c r="G87" s="53">
        <f t="shared" si="14"/>
        <v>1</v>
      </c>
      <c r="H87" s="963"/>
      <c r="I87" s="53">
        <f t="shared" si="15"/>
        <v>1</v>
      </c>
      <c r="J87" s="963"/>
      <c r="K87" s="53">
        <f t="shared" si="16"/>
        <v>1</v>
      </c>
      <c r="L87" s="963"/>
      <c r="M87" s="53">
        <f t="shared" si="17"/>
        <v>1</v>
      </c>
      <c r="N87" s="963"/>
      <c r="O87" s="53">
        <f t="shared" si="18"/>
        <v>1</v>
      </c>
      <c r="P87" s="963"/>
      <c r="Q87" s="53">
        <f t="shared" si="19"/>
        <v>0</v>
      </c>
      <c r="R87" s="493">
        <f t="shared" si="20"/>
        <v>0</v>
      </c>
      <c r="S87" s="802">
        <f t="shared" si="22"/>
        <v>0</v>
      </c>
    </row>
    <row r="88" spans="1:19">
      <c r="A88" s="965"/>
      <c r="B88" s="137"/>
      <c r="C88" s="53">
        <f t="shared" si="12"/>
        <v>1</v>
      </c>
      <c r="D88" s="963"/>
      <c r="E88" s="53">
        <f t="shared" si="13"/>
        <v>0.03</v>
      </c>
      <c r="F88" s="963"/>
      <c r="G88" s="53">
        <f t="shared" si="14"/>
        <v>1</v>
      </c>
      <c r="H88" s="963"/>
      <c r="I88" s="53">
        <f t="shared" si="15"/>
        <v>1</v>
      </c>
      <c r="J88" s="963"/>
      <c r="K88" s="53">
        <f t="shared" si="16"/>
        <v>1</v>
      </c>
      <c r="L88" s="963"/>
      <c r="M88" s="53">
        <f t="shared" si="17"/>
        <v>1</v>
      </c>
      <c r="N88" s="963"/>
      <c r="O88" s="53">
        <f t="shared" si="18"/>
        <v>1</v>
      </c>
      <c r="P88" s="963"/>
      <c r="Q88" s="53">
        <f t="shared" si="19"/>
        <v>0</v>
      </c>
      <c r="R88" s="493">
        <f t="shared" si="20"/>
        <v>0</v>
      </c>
      <c r="S88" s="802">
        <f t="shared" si="22"/>
        <v>0</v>
      </c>
    </row>
    <row r="89" spans="1:19">
      <c r="A89" s="965"/>
      <c r="B89" s="137"/>
      <c r="C89" s="53">
        <f t="shared" si="12"/>
        <v>1</v>
      </c>
      <c r="D89" s="963"/>
      <c r="E89" s="53">
        <f t="shared" si="13"/>
        <v>0.03</v>
      </c>
      <c r="F89" s="963"/>
      <c r="G89" s="53">
        <f t="shared" si="14"/>
        <v>1</v>
      </c>
      <c r="H89" s="963"/>
      <c r="I89" s="53">
        <f t="shared" si="15"/>
        <v>1</v>
      </c>
      <c r="J89" s="963"/>
      <c r="K89" s="53">
        <f t="shared" si="16"/>
        <v>1</v>
      </c>
      <c r="L89" s="963"/>
      <c r="M89" s="53">
        <f t="shared" si="17"/>
        <v>1</v>
      </c>
      <c r="N89" s="963"/>
      <c r="O89" s="53">
        <f t="shared" si="18"/>
        <v>1</v>
      </c>
      <c r="P89" s="963"/>
      <c r="Q89" s="53">
        <f t="shared" si="19"/>
        <v>0</v>
      </c>
      <c r="R89" s="493">
        <f t="shared" si="20"/>
        <v>0</v>
      </c>
      <c r="S89" s="802">
        <f t="shared" si="22"/>
        <v>0</v>
      </c>
    </row>
    <row r="90" spans="1:19">
      <c r="A90" s="965"/>
      <c r="B90" s="137"/>
      <c r="C90" s="53">
        <f t="shared" ref="C90:C153" si="23">IF(B90="",1,(LOOKUP(B90,$3:$3,$4:$4)-LOOKUP($B$24,$3:$3,$4:$4)+100)/100)</f>
        <v>1</v>
      </c>
      <c r="D90" s="963"/>
      <c r="E90" s="53">
        <f t="shared" ref="E90:E153" si="24">(SUMIF($5:$5,D90,$6:$6)-SUMIF($5:$5,$D$24,$6:$6)+100)/100</f>
        <v>0.03</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3">
        <f t="shared" ref="R90:R153" si="31">IF(B90="",0,ROUND($R$24*C90*E90*G90*I90*K90*M90*O90*Q90,0))</f>
        <v>0</v>
      </c>
      <c r="S90" s="802">
        <f t="shared" si="22"/>
        <v>0</v>
      </c>
    </row>
    <row r="91" spans="1:19">
      <c r="A91" s="965"/>
      <c r="B91" s="137"/>
      <c r="C91" s="53">
        <f t="shared" si="23"/>
        <v>1</v>
      </c>
      <c r="D91" s="963"/>
      <c r="E91" s="53">
        <f t="shared" si="24"/>
        <v>0.03</v>
      </c>
      <c r="F91" s="963"/>
      <c r="G91" s="53">
        <f t="shared" si="25"/>
        <v>1</v>
      </c>
      <c r="H91" s="963"/>
      <c r="I91" s="53">
        <f t="shared" si="26"/>
        <v>1</v>
      </c>
      <c r="J91" s="963"/>
      <c r="K91" s="53">
        <f t="shared" si="27"/>
        <v>1</v>
      </c>
      <c r="L91" s="963"/>
      <c r="M91" s="53">
        <f t="shared" si="28"/>
        <v>1</v>
      </c>
      <c r="N91" s="963"/>
      <c r="O91" s="53">
        <f t="shared" si="29"/>
        <v>1</v>
      </c>
      <c r="P91" s="963"/>
      <c r="Q91" s="53">
        <f t="shared" si="30"/>
        <v>0</v>
      </c>
      <c r="R91" s="493">
        <f t="shared" si="31"/>
        <v>0</v>
      </c>
      <c r="S91" s="802">
        <f t="shared" si="22"/>
        <v>0</v>
      </c>
    </row>
    <row r="92" spans="1:19">
      <c r="A92" s="965"/>
      <c r="B92" s="137"/>
      <c r="C92" s="53">
        <f t="shared" si="23"/>
        <v>1</v>
      </c>
      <c r="D92" s="963"/>
      <c r="E92" s="53">
        <f t="shared" si="24"/>
        <v>0.03</v>
      </c>
      <c r="F92" s="963"/>
      <c r="G92" s="53">
        <f t="shared" si="25"/>
        <v>1</v>
      </c>
      <c r="H92" s="963"/>
      <c r="I92" s="53">
        <f t="shared" si="26"/>
        <v>1</v>
      </c>
      <c r="J92" s="963"/>
      <c r="K92" s="53">
        <f t="shared" si="27"/>
        <v>1</v>
      </c>
      <c r="L92" s="963"/>
      <c r="M92" s="53">
        <f t="shared" si="28"/>
        <v>1</v>
      </c>
      <c r="N92" s="963"/>
      <c r="O92" s="53">
        <f t="shared" si="29"/>
        <v>1</v>
      </c>
      <c r="P92" s="963"/>
      <c r="Q92" s="53">
        <f t="shared" si="30"/>
        <v>0</v>
      </c>
      <c r="R92" s="493">
        <f t="shared" si="31"/>
        <v>0</v>
      </c>
      <c r="S92" s="802">
        <f t="shared" si="22"/>
        <v>0</v>
      </c>
    </row>
    <row r="93" spans="1:19">
      <c r="A93" s="965"/>
      <c r="B93" s="137"/>
      <c r="C93" s="53">
        <f t="shared" si="23"/>
        <v>1</v>
      </c>
      <c r="D93" s="963"/>
      <c r="E93" s="53">
        <f t="shared" si="24"/>
        <v>0.03</v>
      </c>
      <c r="F93" s="963"/>
      <c r="G93" s="53">
        <f t="shared" si="25"/>
        <v>1</v>
      </c>
      <c r="H93" s="963"/>
      <c r="I93" s="53">
        <f t="shared" si="26"/>
        <v>1</v>
      </c>
      <c r="J93" s="963"/>
      <c r="K93" s="53">
        <f t="shared" si="27"/>
        <v>1</v>
      </c>
      <c r="L93" s="963"/>
      <c r="M93" s="53">
        <f t="shared" si="28"/>
        <v>1</v>
      </c>
      <c r="N93" s="963"/>
      <c r="O93" s="53">
        <f t="shared" si="29"/>
        <v>1</v>
      </c>
      <c r="P93" s="963"/>
      <c r="Q93" s="53">
        <f t="shared" si="30"/>
        <v>0</v>
      </c>
      <c r="R93" s="493">
        <f t="shared" si="31"/>
        <v>0</v>
      </c>
      <c r="S93" s="802">
        <f t="shared" si="22"/>
        <v>0</v>
      </c>
    </row>
    <row r="94" spans="1:19">
      <c r="A94" s="965"/>
      <c r="B94" s="137"/>
      <c r="C94" s="53">
        <f t="shared" si="23"/>
        <v>1</v>
      </c>
      <c r="D94" s="963"/>
      <c r="E94" s="53">
        <f t="shared" si="24"/>
        <v>0.03</v>
      </c>
      <c r="F94" s="963"/>
      <c r="G94" s="53">
        <f t="shared" si="25"/>
        <v>1</v>
      </c>
      <c r="H94" s="963"/>
      <c r="I94" s="53">
        <f t="shared" si="26"/>
        <v>1</v>
      </c>
      <c r="J94" s="963"/>
      <c r="K94" s="53">
        <f t="shared" si="27"/>
        <v>1</v>
      </c>
      <c r="L94" s="963"/>
      <c r="M94" s="53">
        <f t="shared" si="28"/>
        <v>1</v>
      </c>
      <c r="N94" s="963"/>
      <c r="O94" s="53">
        <f t="shared" si="29"/>
        <v>1</v>
      </c>
      <c r="P94" s="963"/>
      <c r="Q94" s="53">
        <f t="shared" si="30"/>
        <v>0</v>
      </c>
      <c r="R94" s="493">
        <f t="shared" si="31"/>
        <v>0</v>
      </c>
      <c r="S94" s="802">
        <f t="shared" si="22"/>
        <v>0</v>
      </c>
    </row>
    <row r="95" spans="1:19">
      <c r="A95" s="965"/>
      <c r="B95" s="137"/>
      <c r="C95" s="53">
        <f t="shared" si="23"/>
        <v>1</v>
      </c>
      <c r="D95" s="963"/>
      <c r="E95" s="53">
        <f t="shared" si="24"/>
        <v>0.03</v>
      </c>
      <c r="F95" s="963"/>
      <c r="G95" s="53">
        <f t="shared" si="25"/>
        <v>1</v>
      </c>
      <c r="H95" s="963"/>
      <c r="I95" s="53">
        <f t="shared" si="26"/>
        <v>1</v>
      </c>
      <c r="J95" s="963"/>
      <c r="K95" s="53">
        <f t="shared" si="27"/>
        <v>1</v>
      </c>
      <c r="L95" s="963"/>
      <c r="M95" s="53">
        <f t="shared" si="28"/>
        <v>1</v>
      </c>
      <c r="N95" s="963"/>
      <c r="O95" s="53">
        <f t="shared" si="29"/>
        <v>1</v>
      </c>
      <c r="P95" s="963"/>
      <c r="Q95" s="53">
        <f t="shared" si="30"/>
        <v>0</v>
      </c>
      <c r="R95" s="493">
        <f t="shared" si="31"/>
        <v>0</v>
      </c>
      <c r="S95" s="802">
        <f t="shared" si="22"/>
        <v>0</v>
      </c>
    </row>
    <row r="96" spans="1:19">
      <c r="A96" s="965"/>
      <c r="B96" s="137"/>
      <c r="C96" s="53">
        <f t="shared" si="23"/>
        <v>1</v>
      </c>
      <c r="D96" s="963"/>
      <c r="E96" s="53">
        <f t="shared" si="24"/>
        <v>0.03</v>
      </c>
      <c r="F96" s="963"/>
      <c r="G96" s="53">
        <f t="shared" si="25"/>
        <v>1</v>
      </c>
      <c r="H96" s="963"/>
      <c r="I96" s="53">
        <f t="shared" si="26"/>
        <v>1</v>
      </c>
      <c r="J96" s="963"/>
      <c r="K96" s="53">
        <f t="shared" si="27"/>
        <v>1</v>
      </c>
      <c r="L96" s="963"/>
      <c r="M96" s="53">
        <f t="shared" si="28"/>
        <v>1</v>
      </c>
      <c r="N96" s="963"/>
      <c r="O96" s="53">
        <f t="shared" si="29"/>
        <v>1</v>
      </c>
      <c r="P96" s="963"/>
      <c r="Q96" s="53">
        <f t="shared" si="30"/>
        <v>0</v>
      </c>
      <c r="R96" s="493">
        <f t="shared" si="31"/>
        <v>0</v>
      </c>
      <c r="S96" s="802">
        <f t="shared" si="22"/>
        <v>0</v>
      </c>
    </row>
    <row r="97" spans="1:19">
      <c r="A97" s="965"/>
      <c r="B97" s="137"/>
      <c r="C97" s="53">
        <f t="shared" si="23"/>
        <v>1</v>
      </c>
      <c r="D97" s="963"/>
      <c r="E97" s="53">
        <f t="shared" si="24"/>
        <v>0.03</v>
      </c>
      <c r="F97" s="963"/>
      <c r="G97" s="53">
        <f t="shared" si="25"/>
        <v>1</v>
      </c>
      <c r="H97" s="963"/>
      <c r="I97" s="53">
        <f t="shared" si="26"/>
        <v>1</v>
      </c>
      <c r="J97" s="963"/>
      <c r="K97" s="53">
        <f t="shared" si="27"/>
        <v>1</v>
      </c>
      <c r="L97" s="963"/>
      <c r="M97" s="53">
        <f t="shared" si="28"/>
        <v>1</v>
      </c>
      <c r="N97" s="963"/>
      <c r="O97" s="53">
        <f t="shared" si="29"/>
        <v>1</v>
      </c>
      <c r="P97" s="963"/>
      <c r="Q97" s="53">
        <f t="shared" si="30"/>
        <v>0</v>
      </c>
      <c r="R97" s="493">
        <f t="shared" si="31"/>
        <v>0</v>
      </c>
      <c r="S97" s="802">
        <f t="shared" si="22"/>
        <v>0</v>
      </c>
    </row>
    <row r="98" spans="1:19">
      <c r="A98" s="965"/>
      <c r="B98" s="137"/>
      <c r="C98" s="53">
        <f t="shared" si="23"/>
        <v>1</v>
      </c>
      <c r="D98" s="963"/>
      <c r="E98" s="53">
        <f t="shared" si="24"/>
        <v>0.03</v>
      </c>
      <c r="F98" s="963"/>
      <c r="G98" s="53">
        <f t="shared" si="25"/>
        <v>1</v>
      </c>
      <c r="H98" s="963"/>
      <c r="I98" s="53">
        <f t="shared" si="26"/>
        <v>1</v>
      </c>
      <c r="J98" s="963"/>
      <c r="K98" s="53">
        <f t="shared" si="27"/>
        <v>1</v>
      </c>
      <c r="L98" s="963"/>
      <c r="M98" s="53">
        <f t="shared" si="28"/>
        <v>1</v>
      </c>
      <c r="N98" s="963"/>
      <c r="O98" s="53">
        <f t="shared" si="29"/>
        <v>1</v>
      </c>
      <c r="P98" s="963"/>
      <c r="Q98" s="53">
        <f t="shared" si="30"/>
        <v>0</v>
      </c>
      <c r="R98" s="493">
        <f t="shared" si="31"/>
        <v>0</v>
      </c>
      <c r="S98" s="802">
        <f t="shared" si="22"/>
        <v>0</v>
      </c>
    </row>
    <row r="99" spans="1:19">
      <c r="A99" s="965"/>
      <c r="B99" s="137"/>
      <c r="C99" s="53">
        <f t="shared" si="23"/>
        <v>1</v>
      </c>
      <c r="D99" s="963"/>
      <c r="E99" s="53">
        <f t="shared" si="24"/>
        <v>0.03</v>
      </c>
      <c r="F99" s="963"/>
      <c r="G99" s="53">
        <f t="shared" si="25"/>
        <v>1</v>
      </c>
      <c r="H99" s="963"/>
      <c r="I99" s="53">
        <f t="shared" si="26"/>
        <v>1</v>
      </c>
      <c r="J99" s="963"/>
      <c r="K99" s="53">
        <f t="shared" si="27"/>
        <v>1</v>
      </c>
      <c r="L99" s="963"/>
      <c r="M99" s="53">
        <f t="shared" si="28"/>
        <v>1</v>
      </c>
      <c r="N99" s="963"/>
      <c r="O99" s="53">
        <f t="shared" si="29"/>
        <v>1</v>
      </c>
      <c r="P99" s="963"/>
      <c r="Q99" s="53">
        <f t="shared" si="30"/>
        <v>0</v>
      </c>
      <c r="R99" s="493">
        <f t="shared" si="31"/>
        <v>0</v>
      </c>
      <c r="S99" s="802">
        <f t="shared" si="22"/>
        <v>0</v>
      </c>
    </row>
    <row r="100" spans="1:19">
      <c r="A100" s="965"/>
      <c r="B100" s="137"/>
      <c r="C100" s="53">
        <f t="shared" si="23"/>
        <v>1</v>
      </c>
      <c r="D100" s="963"/>
      <c r="E100" s="53">
        <f t="shared" si="24"/>
        <v>0.03</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3">
        <f t="shared" si="31"/>
        <v>0</v>
      </c>
      <c r="S100" s="802">
        <f t="shared" si="22"/>
        <v>0</v>
      </c>
    </row>
    <row r="101" spans="1:19">
      <c r="A101" s="965"/>
      <c r="B101" s="137"/>
      <c r="C101" s="53">
        <f t="shared" si="23"/>
        <v>1</v>
      </c>
      <c r="D101" s="963"/>
      <c r="E101" s="53">
        <f t="shared" si="24"/>
        <v>0.03</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3">
        <f t="shared" si="31"/>
        <v>0</v>
      </c>
      <c r="S101" s="802">
        <f t="shared" si="22"/>
        <v>0</v>
      </c>
    </row>
    <row r="102" spans="1:19">
      <c r="A102" s="965"/>
      <c r="B102" s="137"/>
      <c r="C102" s="53">
        <f t="shared" si="23"/>
        <v>1</v>
      </c>
      <c r="D102" s="963"/>
      <c r="E102" s="53">
        <f t="shared" si="24"/>
        <v>0.03</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3">
        <f t="shared" si="31"/>
        <v>0</v>
      </c>
      <c r="S102" s="802">
        <f t="shared" si="22"/>
        <v>0</v>
      </c>
    </row>
    <row r="103" spans="1:19">
      <c r="A103" s="965"/>
      <c r="B103" s="137"/>
      <c r="C103" s="53">
        <f t="shared" si="23"/>
        <v>1</v>
      </c>
      <c r="D103" s="963"/>
      <c r="E103" s="53">
        <f t="shared" si="24"/>
        <v>0.03</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3">
        <f t="shared" si="31"/>
        <v>0</v>
      </c>
      <c r="S103" s="802">
        <f t="shared" si="22"/>
        <v>0</v>
      </c>
    </row>
    <row r="104" spans="1:19">
      <c r="A104" s="965"/>
      <c r="B104" s="137"/>
      <c r="C104" s="53">
        <f t="shared" si="23"/>
        <v>1</v>
      </c>
      <c r="D104" s="963"/>
      <c r="E104" s="53">
        <f t="shared" si="24"/>
        <v>0.03</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3">
        <f t="shared" si="31"/>
        <v>0</v>
      </c>
      <c r="S104" s="802">
        <f t="shared" si="22"/>
        <v>0</v>
      </c>
    </row>
    <row r="105" spans="1:19">
      <c r="A105" s="965"/>
      <c r="B105" s="137"/>
      <c r="C105" s="53">
        <f t="shared" si="23"/>
        <v>1</v>
      </c>
      <c r="D105" s="963"/>
      <c r="E105" s="53">
        <f t="shared" si="24"/>
        <v>0.03</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3">
        <f t="shared" si="31"/>
        <v>0</v>
      </c>
      <c r="S105" s="802">
        <f t="shared" si="22"/>
        <v>0</v>
      </c>
    </row>
    <row r="106" spans="1:19">
      <c r="A106" s="965"/>
      <c r="B106" s="137"/>
      <c r="C106" s="53">
        <f t="shared" si="23"/>
        <v>1</v>
      </c>
      <c r="D106" s="963"/>
      <c r="E106" s="53">
        <f t="shared" si="24"/>
        <v>0.03</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3">
        <f t="shared" si="31"/>
        <v>0</v>
      </c>
      <c r="S106" s="802">
        <f t="shared" si="22"/>
        <v>0</v>
      </c>
    </row>
    <row r="107" spans="1:19">
      <c r="A107" s="965"/>
      <c r="B107" s="137"/>
      <c r="C107" s="53">
        <f t="shared" si="23"/>
        <v>1</v>
      </c>
      <c r="D107" s="963"/>
      <c r="E107" s="53">
        <f t="shared" si="24"/>
        <v>0.03</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3">
        <f t="shared" si="31"/>
        <v>0</v>
      </c>
      <c r="S107" s="802">
        <f t="shared" si="22"/>
        <v>0</v>
      </c>
    </row>
    <row r="108" spans="1:19">
      <c r="A108" s="965"/>
      <c r="B108" s="137"/>
      <c r="C108" s="53">
        <f t="shared" si="23"/>
        <v>1</v>
      </c>
      <c r="D108" s="963"/>
      <c r="E108" s="53">
        <f t="shared" si="24"/>
        <v>0.03</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3">
        <f t="shared" si="31"/>
        <v>0</v>
      </c>
      <c r="S108" s="802">
        <f t="shared" si="22"/>
        <v>0</v>
      </c>
    </row>
    <row r="109" spans="1:19">
      <c r="A109" s="965"/>
      <c r="B109" s="137"/>
      <c r="C109" s="53">
        <f t="shared" si="23"/>
        <v>1</v>
      </c>
      <c r="D109" s="963"/>
      <c r="E109" s="53">
        <f t="shared" si="24"/>
        <v>0.03</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3">
        <f t="shared" si="31"/>
        <v>0</v>
      </c>
      <c r="S109" s="802">
        <f t="shared" si="22"/>
        <v>0</v>
      </c>
    </row>
    <row r="110" spans="1:19">
      <c r="A110" s="965"/>
      <c r="B110" s="137"/>
      <c r="C110" s="53">
        <f t="shared" si="23"/>
        <v>1</v>
      </c>
      <c r="D110" s="963"/>
      <c r="E110" s="53">
        <f t="shared" si="24"/>
        <v>0.03</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3">
        <f t="shared" si="31"/>
        <v>0</v>
      </c>
      <c r="S110" s="802">
        <f t="shared" si="22"/>
        <v>0</v>
      </c>
    </row>
    <row r="111" spans="1:19">
      <c r="A111" s="965"/>
      <c r="B111" s="137"/>
      <c r="C111" s="53">
        <f t="shared" si="23"/>
        <v>1</v>
      </c>
      <c r="D111" s="963"/>
      <c r="E111" s="53">
        <f t="shared" si="24"/>
        <v>0.03</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3">
        <f t="shared" si="31"/>
        <v>0</v>
      </c>
      <c r="S111" s="802">
        <f t="shared" si="22"/>
        <v>0</v>
      </c>
    </row>
    <row r="112" spans="1:19">
      <c r="A112" s="965"/>
      <c r="B112" s="137"/>
      <c r="C112" s="53">
        <f t="shared" si="23"/>
        <v>1</v>
      </c>
      <c r="D112" s="963"/>
      <c r="E112" s="53">
        <f t="shared" si="24"/>
        <v>0.03</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3">
        <f t="shared" si="31"/>
        <v>0</v>
      </c>
      <c r="S112" s="802">
        <f t="shared" si="22"/>
        <v>0</v>
      </c>
    </row>
    <row r="113" spans="1:19">
      <c r="A113" s="965"/>
      <c r="B113" s="137"/>
      <c r="C113" s="53">
        <f t="shared" si="23"/>
        <v>1</v>
      </c>
      <c r="D113" s="963"/>
      <c r="E113" s="53">
        <f t="shared" si="24"/>
        <v>0.03</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3">
        <f t="shared" si="31"/>
        <v>0</v>
      </c>
      <c r="S113" s="802">
        <f t="shared" si="22"/>
        <v>0</v>
      </c>
    </row>
    <row r="114" spans="1:19">
      <c r="A114" s="965"/>
      <c r="B114" s="137"/>
      <c r="C114" s="53">
        <f t="shared" si="23"/>
        <v>1</v>
      </c>
      <c r="D114" s="963"/>
      <c r="E114" s="53">
        <f t="shared" si="24"/>
        <v>0.03</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3">
        <f t="shared" si="31"/>
        <v>0</v>
      </c>
      <c r="S114" s="802">
        <f t="shared" si="22"/>
        <v>0</v>
      </c>
    </row>
    <row r="115" spans="1:19">
      <c r="A115" s="965"/>
      <c r="B115" s="137"/>
      <c r="C115" s="53">
        <f t="shared" si="23"/>
        <v>1</v>
      </c>
      <c r="D115" s="963"/>
      <c r="E115" s="53">
        <f t="shared" si="24"/>
        <v>0.03</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3">
        <f t="shared" si="31"/>
        <v>0</v>
      </c>
      <c r="S115" s="802">
        <f t="shared" si="22"/>
        <v>0</v>
      </c>
    </row>
    <row r="116" spans="1:19">
      <c r="A116" s="965"/>
      <c r="B116" s="137"/>
      <c r="C116" s="53">
        <f t="shared" si="23"/>
        <v>1</v>
      </c>
      <c r="D116" s="963"/>
      <c r="E116" s="53">
        <f t="shared" si="24"/>
        <v>0.03</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3">
        <f t="shared" si="31"/>
        <v>0</v>
      </c>
      <c r="S116" s="802">
        <f t="shared" si="22"/>
        <v>0</v>
      </c>
    </row>
    <row r="117" spans="1:19">
      <c r="A117" s="965"/>
      <c r="B117" s="137"/>
      <c r="C117" s="53">
        <f t="shared" si="23"/>
        <v>1</v>
      </c>
      <c r="D117" s="963"/>
      <c r="E117" s="53">
        <f t="shared" si="24"/>
        <v>0.03</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3">
        <f t="shared" si="31"/>
        <v>0</v>
      </c>
      <c r="S117" s="802">
        <f t="shared" si="22"/>
        <v>0</v>
      </c>
    </row>
    <row r="118" spans="1:19">
      <c r="A118" s="965"/>
      <c r="B118" s="137"/>
      <c r="C118" s="53">
        <f t="shared" si="23"/>
        <v>1</v>
      </c>
      <c r="D118" s="963"/>
      <c r="E118" s="53">
        <f t="shared" si="24"/>
        <v>0.03</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3">
        <f t="shared" si="31"/>
        <v>0</v>
      </c>
      <c r="S118" s="802">
        <f t="shared" si="22"/>
        <v>0</v>
      </c>
    </row>
    <row r="119" spans="1:19">
      <c r="A119" s="965"/>
      <c r="B119" s="137"/>
      <c r="C119" s="53">
        <f t="shared" si="23"/>
        <v>1</v>
      </c>
      <c r="D119" s="963"/>
      <c r="E119" s="53">
        <f t="shared" si="24"/>
        <v>0.03</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3">
        <f t="shared" si="31"/>
        <v>0</v>
      </c>
      <c r="S119" s="802">
        <f t="shared" si="22"/>
        <v>0</v>
      </c>
    </row>
    <row r="120" spans="1:19">
      <c r="A120" s="965"/>
      <c r="B120" s="137"/>
      <c r="C120" s="53">
        <f t="shared" si="23"/>
        <v>1</v>
      </c>
      <c r="D120" s="963"/>
      <c r="E120" s="53">
        <f t="shared" si="24"/>
        <v>0.03</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3">
        <f t="shared" si="31"/>
        <v>0</v>
      </c>
      <c r="S120" s="802">
        <f t="shared" si="22"/>
        <v>0</v>
      </c>
    </row>
    <row r="121" spans="1:19">
      <c r="A121" s="965"/>
      <c r="B121" s="137"/>
      <c r="C121" s="53">
        <f t="shared" si="23"/>
        <v>1</v>
      </c>
      <c r="D121" s="963"/>
      <c r="E121" s="53">
        <f t="shared" si="24"/>
        <v>0.03</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3">
        <f t="shared" si="31"/>
        <v>0</v>
      </c>
      <c r="S121" s="802">
        <f t="shared" si="22"/>
        <v>0</v>
      </c>
    </row>
    <row r="122" spans="1:19">
      <c r="A122" s="965"/>
      <c r="B122" s="137"/>
      <c r="C122" s="53">
        <f t="shared" si="23"/>
        <v>1</v>
      </c>
      <c r="D122" s="963"/>
      <c r="E122" s="53">
        <f t="shared" si="24"/>
        <v>0.03</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3">
        <f t="shared" si="31"/>
        <v>0</v>
      </c>
      <c r="S122" s="802">
        <f t="shared" si="22"/>
        <v>0</v>
      </c>
    </row>
    <row r="123" spans="1:19">
      <c r="A123" s="965"/>
      <c r="B123" s="137"/>
      <c r="C123" s="53">
        <f t="shared" si="23"/>
        <v>1</v>
      </c>
      <c r="D123" s="963"/>
      <c r="E123" s="53">
        <f t="shared" si="24"/>
        <v>0.03</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3">
        <f t="shared" si="31"/>
        <v>0</v>
      </c>
      <c r="S123" s="802">
        <f t="shared" ref="S123:S186" si="32">ROUND(R123*B123/10000,0)</f>
        <v>0</v>
      </c>
    </row>
    <row r="124" spans="1:19">
      <c r="A124" s="965"/>
      <c r="B124" s="137"/>
      <c r="C124" s="53">
        <f t="shared" si="23"/>
        <v>1</v>
      </c>
      <c r="D124" s="963"/>
      <c r="E124" s="53">
        <f t="shared" si="24"/>
        <v>0.03</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3">
        <f t="shared" si="31"/>
        <v>0</v>
      </c>
      <c r="S124" s="802">
        <f t="shared" si="32"/>
        <v>0</v>
      </c>
    </row>
    <row r="125" spans="1:19">
      <c r="A125" s="965"/>
      <c r="B125" s="137"/>
      <c r="C125" s="53">
        <f t="shared" si="23"/>
        <v>1</v>
      </c>
      <c r="D125" s="963"/>
      <c r="E125" s="53">
        <f t="shared" si="24"/>
        <v>0.03</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3">
        <f t="shared" si="31"/>
        <v>0</v>
      </c>
      <c r="S125" s="802">
        <f t="shared" si="32"/>
        <v>0</v>
      </c>
    </row>
    <row r="126" spans="1:19">
      <c r="A126" s="965"/>
      <c r="B126" s="137"/>
      <c r="C126" s="53">
        <f t="shared" si="23"/>
        <v>1</v>
      </c>
      <c r="D126" s="963"/>
      <c r="E126" s="53">
        <f t="shared" si="24"/>
        <v>0.03</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3">
        <f t="shared" si="31"/>
        <v>0</v>
      </c>
      <c r="S126" s="802">
        <f t="shared" si="32"/>
        <v>0</v>
      </c>
    </row>
    <row r="127" spans="1:19">
      <c r="A127" s="965"/>
      <c r="B127" s="137"/>
      <c r="C127" s="53">
        <f t="shared" si="23"/>
        <v>1</v>
      </c>
      <c r="D127" s="963"/>
      <c r="E127" s="53">
        <f t="shared" si="24"/>
        <v>0.03</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3">
        <f t="shared" si="31"/>
        <v>0</v>
      </c>
      <c r="S127" s="802">
        <f t="shared" si="32"/>
        <v>0</v>
      </c>
    </row>
    <row r="128" spans="1:19">
      <c r="A128" s="965"/>
      <c r="B128" s="137"/>
      <c r="C128" s="53">
        <f t="shared" si="23"/>
        <v>1</v>
      </c>
      <c r="D128" s="963"/>
      <c r="E128" s="53">
        <f t="shared" si="24"/>
        <v>0.03</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3">
        <f t="shared" si="31"/>
        <v>0</v>
      </c>
      <c r="S128" s="802">
        <f t="shared" si="32"/>
        <v>0</v>
      </c>
    </row>
    <row r="129" spans="1:19">
      <c r="A129" s="965"/>
      <c r="B129" s="137"/>
      <c r="C129" s="53">
        <f t="shared" si="23"/>
        <v>1</v>
      </c>
      <c r="D129" s="963"/>
      <c r="E129" s="53">
        <f t="shared" si="24"/>
        <v>0.03</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3">
        <f t="shared" si="31"/>
        <v>0</v>
      </c>
      <c r="S129" s="802">
        <f t="shared" si="32"/>
        <v>0</v>
      </c>
    </row>
    <row r="130" spans="1:19">
      <c r="A130" s="965"/>
      <c r="B130" s="137"/>
      <c r="C130" s="53">
        <f t="shared" si="23"/>
        <v>1</v>
      </c>
      <c r="D130" s="963"/>
      <c r="E130" s="53">
        <f t="shared" si="24"/>
        <v>0.03</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3">
        <f t="shared" si="31"/>
        <v>0</v>
      </c>
      <c r="S130" s="802">
        <f t="shared" si="32"/>
        <v>0</v>
      </c>
    </row>
    <row r="131" spans="1:19">
      <c r="A131" s="965"/>
      <c r="B131" s="137"/>
      <c r="C131" s="53">
        <f t="shared" si="23"/>
        <v>1</v>
      </c>
      <c r="D131" s="963"/>
      <c r="E131" s="53">
        <f t="shared" si="24"/>
        <v>0.03</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3">
        <f t="shared" si="31"/>
        <v>0</v>
      </c>
      <c r="S131" s="802">
        <f t="shared" si="32"/>
        <v>0</v>
      </c>
    </row>
    <row r="132" spans="1:19">
      <c r="A132" s="965"/>
      <c r="B132" s="137"/>
      <c r="C132" s="53">
        <f t="shared" si="23"/>
        <v>1</v>
      </c>
      <c r="D132" s="963"/>
      <c r="E132" s="53">
        <f t="shared" si="24"/>
        <v>0.03</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3">
        <f t="shared" si="31"/>
        <v>0</v>
      </c>
      <c r="S132" s="802">
        <f t="shared" si="32"/>
        <v>0</v>
      </c>
    </row>
    <row r="133" spans="1:19">
      <c r="A133" s="965"/>
      <c r="B133" s="137"/>
      <c r="C133" s="53">
        <f t="shared" si="23"/>
        <v>1</v>
      </c>
      <c r="D133" s="963"/>
      <c r="E133" s="53">
        <f t="shared" si="24"/>
        <v>0.03</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3">
        <f t="shared" si="31"/>
        <v>0</v>
      </c>
      <c r="S133" s="802">
        <f t="shared" si="32"/>
        <v>0</v>
      </c>
    </row>
    <row r="134" spans="1:19">
      <c r="A134" s="965"/>
      <c r="B134" s="137"/>
      <c r="C134" s="53">
        <f t="shared" si="23"/>
        <v>1</v>
      </c>
      <c r="D134" s="963"/>
      <c r="E134" s="53">
        <f t="shared" si="24"/>
        <v>0.03</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3">
        <f t="shared" si="31"/>
        <v>0</v>
      </c>
      <c r="S134" s="802">
        <f t="shared" si="32"/>
        <v>0</v>
      </c>
    </row>
    <row r="135" spans="1:19">
      <c r="A135" s="965"/>
      <c r="B135" s="137"/>
      <c r="C135" s="53">
        <f t="shared" si="23"/>
        <v>1</v>
      </c>
      <c r="D135" s="963"/>
      <c r="E135" s="53">
        <f t="shared" si="24"/>
        <v>0.03</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3">
        <f t="shared" si="31"/>
        <v>0</v>
      </c>
      <c r="S135" s="802">
        <f t="shared" si="32"/>
        <v>0</v>
      </c>
    </row>
    <row r="136" spans="1:19">
      <c r="A136" s="965"/>
      <c r="B136" s="137"/>
      <c r="C136" s="53">
        <f t="shared" si="23"/>
        <v>1</v>
      </c>
      <c r="D136" s="963"/>
      <c r="E136" s="53">
        <f t="shared" si="24"/>
        <v>0.03</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3">
        <f t="shared" si="31"/>
        <v>0</v>
      </c>
      <c r="S136" s="802">
        <f t="shared" si="32"/>
        <v>0</v>
      </c>
    </row>
    <row r="137" spans="1:19">
      <c r="A137" s="965"/>
      <c r="B137" s="137"/>
      <c r="C137" s="53">
        <f t="shared" si="23"/>
        <v>1</v>
      </c>
      <c r="D137" s="963"/>
      <c r="E137" s="53">
        <f t="shared" si="24"/>
        <v>0.03</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3">
        <f t="shared" si="31"/>
        <v>0</v>
      </c>
      <c r="S137" s="802">
        <f t="shared" si="32"/>
        <v>0</v>
      </c>
    </row>
    <row r="138" spans="1:19">
      <c r="A138" s="965"/>
      <c r="B138" s="137"/>
      <c r="C138" s="53">
        <f t="shared" si="23"/>
        <v>1</v>
      </c>
      <c r="D138" s="963"/>
      <c r="E138" s="53">
        <f t="shared" si="24"/>
        <v>0.03</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3">
        <f t="shared" si="31"/>
        <v>0</v>
      </c>
      <c r="S138" s="802">
        <f t="shared" si="32"/>
        <v>0</v>
      </c>
    </row>
    <row r="139" spans="1:19">
      <c r="A139" s="965"/>
      <c r="B139" s="137"/>
      <c r="C139" s="53">
        <f t="shared" si="23"/>
        <v>1</v>
      </c>
      <c r="D139" s="963"/>
      <c r="E139" s="53">
        <f t="shared" si="24"/>
        <v>0.03</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3">
        <f t="shared" si="31"/>
        <v>0</v>
      </c>
      <c r="S139" s="802">
        <f t="shared" si="32"/>
        <v>0</v>
      </c>
    </row>
    <row r="140" spans="1:19">
      <c r="A140" s="965"/>
      <c r="B140" s="137"/>
      <c r="C140" s="53">
        <f t="shared" si="23"/>
        <v>1</v>
      </c>
      <c r="D140" s="963"/>
      <c r="E140" s="53">
        <f t="shared" si="24"/>
        <v>0.03</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3">
        <f t="shared" si="31"/>
        <v>0</v>
      </c>
      <c r="S140" s="802">
        <f t="shared" si="32"/>
        <v>0</v>
      </c>
    </row>
    <row r="141" spans="1:19">
      <c r="A141" s="965"/>
      <c r="B141" s="137"/>
      <c r="C141" s="53">
        <f t="shared" si="23"/>
        <v>1</v>
      </c>
      <c r="D141" s="963"/>
      <c r="E141" s="53">
        <f t="shared" si="24"/>
        <v>0.03</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3">
        <f t="shared" si="31"/>
        <v>0</v>
      </c>
      <c r="S141" s="802">
        <f t="shared" si="32"/>
        <v>0</v>
      </c>
    </row>
    <row r="142" spans="1:19">
      <c r="A142" s="965"/>
      <c r="B142" s="137"/>
      <c r="C142" s="53">
        <f t="shared" si="23"/>
        <v>1</v>
      </c>
      <c r="D142" s="963"/>
      <c r="E142" s="53">
        <f t="shared" si="24"/>
        <v>0.03</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3">
        <f t="shared" si="31"/>
        <v>0</v>
      </c>
      <c r="S142" s="802">
        <f t="shared" si="32"/>
        <v>0</v>
      </c>
    </row>
    <row r="143" spans="1:19">
      <c r="A143" s="965"/>
      <c r="B143" s="137"/>
      <c r="C143" s="53">
        <f t="shared" si="23"/>
        <v>1</v>
      </c>
      <c r="D143" s="963"/>
      <c r="E143" s="53">
        <f t="shared" si="24"/>
        <v>0.03</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3">
        <f t="shared" si="31"/>
        <v>0</v>
      </c>
      <c r="S143" s="802">
        <f t="shared" si="32"/>
        <v>0</v>
      </c>
    </row>
    <row r="144" spans="1:19">
      <c r="A144" s="965"/>
      <c r="B144" s="137"/>
      <c r="C144" s="53">
        <f t="shared" si="23"/>
        <v>1</v>
      </c>
      <c r="D144" s="963"/>
      <c r="E144" s="53">
        <f t="shared" si="24"/>
        <v>0.03</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3">
        <f t="shared" si="31"/>
        <v>0</v>
      </c>
      <c r="S144" s="802">
        <f t="shared" si="32"/>
        <v>0</v>
      </c>
    </row>
    <row r="145" spans="1:19">
      <c r="A145" s="965"/>
      <c r="B145" s="137"/>
      <c r="C145" s="53">
        <f t="shared" si="23"/>
        <v>1</v>
      </c>
      <c r="D145" s="963"/>
      <c r="E145" s="53">
        <f t="shared" si="24"/>
        <v>0.03</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3">
        <f t="shared" si="31"/>
        <v>0</v>
      </c>
      <c r="S145" s="802">
        <f t="shared" si="32"/>
        <v>0</v>
      </c>
    </row>
    <row r="146" spans="1:19">
      <c r="A146" s="965"/>
      <c r="B146" s="137"/>
      <c r="C146" s="53">
        <f t="shared" si="23"/>
        <v>1</v>
      </c>
      <c r="D146" s="963"/>
      <c r="E146" s="53">
        <f t="shared" si="24"/>
        <v>0.03</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3">
        <f t="shared" si="31"/>
        <v>0</v>
      </c>
      <c r="S146" s="802">
        <f t="shared" si="32"/>
        <v>0</v>
      </c>
    </row>
    <row r="147" spans="1:19">
      <c r="A147" s="965"/>
      <c r="B147" s="137"/>
      <c r="C147" s="53">
        <f t="shared" si="23"/>
        <v>1</v>
      </c>
      <c r="D147" s="963"/>
      <c r="E147" s="53">
        <f t="shared" si="24"/>
        <v>0.03</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3">
        <f t="shared" si="31"/>
        <v>0</v>
      </c>
      <c r="S147" s="802">
        <f t="shared" si="32"/>
        <v>0</v>
      </c>
    </row>
    <row r="148" spans="1:19">
      <c r="A148" s="965"/>
      <c r="B148" s="137"/>
      <c r="C148" s="53">
        <f t="shared" si="23"/>
        <v>1</v>
      </c>
      <c r="D148" s="963"/>
      <c r="E148" s="53">
        <f t="shared" si="24"/>
        <v>0.03</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3">
        <f t="shared" si="31"/>
        <v>0</v>
      </c>
      <c r="S148" s="802">
        <f t="shared" si="32"/>
        <v>0</v>
      </c>
    </row>
    <row r="149" spans="1:19">
      <c r="A149" s="965"/>
      <c r="B149" s="137"/>
      <c r="C149" s="53">
        <f t="shared" si="23"/>
        <v>1</v>
      </c>
      <c r="D149" s="963"/>
      <c r="E149" s="53">
        <f t="shared" si="24"/>
        <v>0.03</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3">
        <f t="shared" si="31"/>
        <v>0</v>
      </c>
      <c r="S149" s="802">
        <f t="shared" si="32"/>
        <v>0</v>
      </c>
    </row>
    <row r="150" spans="1:19">
      <c r="A150" s="965"/>
      <c r="B150" s="137"/>
      <c r="C150" s="53">
        <f t="shared" si="23"/>
        <v>1</v>
      </c>
      <c r="D150" s="963"/>
      <c r="E150" s="53">
        <f t="shared" si="24"/>
        <v>0.03</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3">
        <f t="shared" si="31"/>
        <v>0</v>
      </c>
      <c r="S150" s="802">
        <f t="shared" si="32"/>
        <v>0</v>
      </c>
    </row>
    <row r="151" spans="1:19">
      <c r="A151" s="965"/>
      <c r="B151" s="137"/>
      <c r="C151" s="53">
        <f t="shared" si="23"/>
        <v>1</v>
      </c>
      <c r="D151" s="963"/>
      <c r="E151" s="53">
        <f t="shared" si="24"/>
        <v>0.03</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3">
        <f t="shared" si="31"/>
        <v>0</v>
      </c>
      <c r="S151" s="802">
        <f t="shared" si="32"/>
        <v>0</v>
      </c>
    </row>
    <row r="152" spans="1:19">
      <c r="A152" s="965"/>
      <c r="B152" s="137"/>
      <c r="C152" s="53">
        <f t="shared" si="23"/>
        <v>1</v>
      </c>
      <c r="D152" s="963"/>
      <c r="E152" s="53">
        <f t="shared" si="24"/>
        <v>0.03</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3">
        <f t="shared" si="31"/>
        <v>0</v>
      </c>
      <c r="S152" s="802">
        <f t="shared" si="32"/>
        <v>0</v>
      </c>
    </row>
    <row r="153" spans="1:19">
      <c r="A153" s="965"/>
      <c r="B153" s="137"/>
      <c r="C153" s="53">
        <f t="shared" si="23"/>
        <v>1</v>
      </c>
      <c r="D153" s="963"/>
      <c r="E153" s="53">
        <f t="shared" si="24"/>
        <v>0.03</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3">
        <f t="shared" si="31"/>
        <v>0</v>
      </c>
      <c r="S153" s="802">
        <f t="shared" si="32"/>
        <v>0</v>
      </c>
    </row>
    <row r="154" spans="1:19">
      <c r="A154" s="965"/>
      <c r="B154" s="137"/>
      <c r="C154" s="53">
        <f t="shared" ref="C154:C217" si="33">IF(B154="",1,(LOOKUP(B154,$3:$3,$4:$4)-LOOKUP($B$24,$3:$3,$4:$4)+100)/100)</f>
        <v>1</v>
      </c>
      <c r="D154" s="963"/>
      <c r="E154" s="53">
        <f t="shared" ref="E154:E217" si="34">(SUMIF($5:$5,D154,$6:$6)-SUMIF($5:$5,$D$24,$6:$6)+100)/100</f>
        <v>0.03</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3">
        <f t="shared" ref="R154:R217" si="41">IF(B154="",0,ROUND($R$24*C154*E154*G154*I154*K154*M154*O154*Q154,0))</f>
        <v>0</v>
      </c>
      <c r="S154" s="802">
        <f t="shared" si="32"/>
        <v>0</v>
      </c>
    </row>
    <row r="155" spans="1:19">
      <c r="A155" s="965"/>
      <c r="B155" s="137"/>
      <c r="C155" s="53">
        <f t="shared" si="33"/>
        <v>1</v>
      </c>
      <c r="D155" s="963"/>
      <c r="E155" s="53">
        <f t="shared" si="34"/>
        <v>0.03</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3">
        <f t="shared" si="41"/>
        <v>0</v>
      </c>
      <c r="S155" s="802">
        <f t="shared" si="32"/>
        <v>0</v>
      </c>
    </row>
    <row r="156" spans="1:19">
      <c r="A156" s="965"/>
      <c r="B156" s="137"/>
      <c r="C156" s="53">
        <f t="shared" si="33"/>
        <v>1</v>
      </c>
      <c r="D156" s="963"/>
      <c r="E156" s="53">
        <f t="shared" si="34"/>
        <v>0.03</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3">
        <f t="shared" si="41"/>
        <v>0</v>
      </c>
      <c r="S156" s="802">
        <f t="shared" si="32"/>
        <v>0</v>
      </c>
    </row>
    <row r="157" spans="1:19">
      <c r="A157" s="965"/>
      <c r="B157" s="137"/>
      <c r="C157" s="53">
        <f t="shared" si="33"/>
        <v>1</v>
      </c>
      <c r="D157" s="963"/>
      <c r="E157" s="53">
        <f t="shared" si="34"/>
        <v>0.03</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3">
        <f t="shared" si="41"/>
        <v>0</v>
      </c>
      <c r="S157" s="802">
        <f t="shared" si="32"/>
        <v>0</v>
      </c>
    </row>
    <row r="158" spans="1:19">
      <c r="A158" s="965"/>
      <c r="B158" s="137"/>
      <c r="C158" s="53">
        <f t="shared" si="33"/>
        <v>1</v>
      </c>
      <c r="D158" s="963"/>
      <c r="E158" s="53">
        <f t="shared" si="34"/>
        <v>0.03</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3">
        <f t="shared" si="41"/>
        <v>0</v>
      </c>
      <c r="S158" s="802">
        <f t="shared" si="32"/>
        <v>0</v>
      </c>
    </row>
    <row r="159" spans="1:19">
      <c r="A159" s="965"/>
      <c r="B159" s="137"/>
      <c r="C159" s="53">
        <f t="shared" si="33"/>
        <v>1</v>
      </c>
      <c r="D159" s="963"/>
      <c r="E159" s="53">
        <f t="shared" si="34"/>
        <v>0.03</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3">
        <f t="shared" si="41"/>
        <v>0</v>
      </c>
      <c r="S159" s="802">
        <f t="shared" si="32"/>
        <v>0</v>
      </c>
    </row>
    <row r="160" spans="1:19">
      <c r="A160" s="965"/>
      <c r="B160" s="137"/>
      <c r="C160" s="53">
        <f t="shared" si="33"/>
        <v>1</v>
      </c>
      <c r="D160" s="963"/>
      <c r="E160" s="53">
        <f t="shared" si="34"/>
        <v>0.03</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3">
        <f t="shared" si="41"/>
        <v>0</v>
      </c>
      <c r="S160" s="802">
        <f t="shared" si="32"/>
        <v>0</v>
      </c>
    </row>
    <row r="161" spans="1:19">
      <c r="A161" s="965"/>
      <c r="B161" s="137"/>
      <c r="C161" s="53">
        <f t="shared" si="33"/>
        <v>1</v>
      </c>
      <c r="D161" s="963"/>
      <c r="E161" s="53">
        <f t="shared" si="34"/>
        <v>0.03</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3">
        <f t="shared" si="41"/>
        <v>0</v>
      </c>
      <c r="S161" s="802">
        <f t="shared" si="32"/>
        <v>0</v>
      </c>
    </row>
    <row r="162" spans="1:19">
      <c r="A162" s="965"/>
      <c r="B162" s="137"/>
      <c r="C162" s="53">
        <f t="shared" si="33"/>
        <v>1</v>
      </c>
      <c r="D162" s="963"/>
      <c r="E162" s="53">
        <f t="shared" si="34"/>
        <v>0.03</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3">
        <f t="shared" si="41"/>
        <v>0</v>
      </c>
      <c r="S162" s="802">
        <f t="shared" si="32"/>
        <v>0</v>
      </c>
    </row>
    <row r="163" spans="1:19">
      <c r="A163" s="965"/>
      <c r="B163" s="137"/>
      <c r="C163" s="53">
        <f t="shared" si="33"/>
        <v>1</v>
      </c>
      <c r="D163" s="963"/>
      <c r="E163" s="53">
        <f t="shared" si="34"/>
        <v>0.03</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3">
        <f t="shared" si="41"/>
        <v>0</v>
      </c>
      <c r="S163" s="802">
        <f t="shared" si="32"/>
        <v>0</v>
      </c>
    </row>
    <row r="164" spans="1:19">
      <c r="A164" s="965"/>
      <c r="B164" s="137"/>
      <c r="C164" s="53">
        <f t="shared" si="33"/>
        <v>1</v>
      </c>
      <c r="D164" s="963"/>
      <c r="E164" s="53">
        <f t="shared" si="34"/>
        <v>0.03</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3">
        <f t="shared" si="41"/>
        <v>0</v>
      </c>
      <c r="S164" s="802">
        <f t="shared" si="32"/>
        <v>0</v>
      </c>
    </row>
    <row r="165" spans="1:19">
      <c r="A165" s="965"/>
      <c r="B165" s="137"/>
      <c r="C165" s="53">
        <f t="shared" si="33"/>
        <v>1</v>
      </c>
      <c r="D165" s="963"/>
      <c r="E165" s="53">
        <f t="shared" si="34"/>
        <v>0.03</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3">
        <f t="shared" si="41"/>
        <v>0</v>
      </c>
      <c r="S165" s="802">
        <f t="shared" si="32"/>
        <v>0</v>
      </c>
    </row>
    <row r="166" spans="1:19">
      <c r="A166" s="965"/>
      <c r="B166" s="137"/>
      <c r="C166" s="53">
        <f t="shared" si="33"/>
        <v>1</v>
      </c>
      <c r="D166" s="963"/>
      <c r="E166" s="53">
        <f t="shared" si="34"/>
        <v>0.03</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3">
        <f t="shared" si="41"/>
        <v>0</v>
      </c>
      <c r="S166" s="802">
        <f t="shared" si="32"/>
        <v>0</v>
      </c>
    </row>
    <row r="167" spans="1:19">
      <c r="A167" s="965"/>
      <c r="B167" s="137"/>
      <c r="C167" s="53">
        <f t="shared" si="33"/>
        <v>1</v>
      </c>
      <c r="D167" s="963"/>
      <c r="E167" s="53">
        <f t="shared" si="34"/>
        <v>0.03</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3">
        <f t="shared" si="41"/>
        <v>0</v>
      </c>
      <c r="S167" s="802">
        <f t="shared" si="32"/>
        <v>0</v>
      </c>
    </row>
    <row r="168" spans="1:19">
      <c r="A168" s="965"/>
      <c r="B168" s="137"/>
      <c r="C168" s="53">
        <f t="shared" si="33"/>
        <v>1</v>
      </c>
      <c r="D168" s="963"/>
      <c r="E168" s="53">
        <f t="shared" si="34"/>
        <v>0.03</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3">
        <f t="shared" si="41"/>
        <v>0</v>
      </c>
      <c r="S168" s="802">
        <f t="shared" si="32"/>
        <v>0</v>
      </c>
    </row>
    <row r="169" spans="1:19">
      <c r="A169" s="965"/>
      <c r="B169" s="137"/>
      <c r="C169" s="53">
        <f t="shared" si="33"/>
        <v>1</v>
      </c>
      <c r="D169" s="963"/>
      <c r="E169" s="53">
        <f t="shared" si="34"/>
        <v>0.03</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3">
        <f t="shared" si="41"/>
        <v>0</v>
      </c>
      <c r="S169" s="802">
        <f t="shared" si="32"/>
        <v>0</v>
      </c>
    </row>
    <row r="170" spans="1:19">
      <c r="A170" s="965"/>
      <c r="B170" s="137"/>
      <c r="C170" s="53">
        <f t="shared" si="33"/>
        <v>1</v>
      </c>
      <c r="D170" s="963"/>
      <c r="E170" s="53">
        <f t="shared" si="34"/>
        <v>0.03</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3">
        <f t="shared" si="41"/>
        <v>0</v>
      </c>
      <c r="S170" s="802">
        <f t="shared" si="32"/>
        <v>0</v>
      </c>
    </row>
    <row r="171" spans="1:19">
      <c r="A171" s="965"/>
      <c r="B171" s="137"/>
      <c r="C171" s="53">
        <f t="shared" si="33"/>
        <v>1</v>
      </c>
      <c r="D171" s="963"/>
      <c r="E171" s="53">
        <f t="shared" si="34"/>
        <v>0.03</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3">
        <f t="shared" si="41"/>
        <v>0</v>
      </c>
      <c r="S171" s="802">
        <f t="shared" si="32"/>
        <v>0</v>
      </c>
    </row>
    <row r="172" spans="1:19">
      <c r="A172" s="965"/>
      <c r="B172" s="137"/>
      <c r="C172" s="53">
        <f t="shared" si="33"/>
        <v>1</v>
      </c>
      <c r="D172" s="963"/>
      <c r="E172" s="53">
        <f t="shared" si="34"/>
        <v>0.03</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3">
        <f t="shared" si="41"/>
        <v>0</v>
      </c>
      <c r="S172" s="802">
        <f t="shared" si="32"/>
        <v>0</v>
      </c>
    </row>
    <row r="173" spans="1:19">
      <c r="A173" s="965"/>
      <c r="B173" s="137"/>
      <c r="C173" s="53">
        <f t="shared" si="33"/>
        <v>1</v>
      </c>
      <c r="D173" s="963"/>
      <c r="E173" s="53">
        <f t="shared" si="34"/>
        <v>0.03</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3">
        <f t="shared" si="41"/>
        <v>0</v>
      </c>
      <c r="S173" s="802">
        <f t="shared" si="32"/>
        <v>0</v>
      </c>
    </row>
    <row r="174" spans="1:19">
      <c r="A174" s="965"/>
      <c r="B174" s="137"/>
      <c r="C174" s="53">
        <f t="shared" si="33"/>
        <v>1</v>
      </c>
      <c r="D174" s="963"/>
      <c r="E174" s="53">
        <f t="shared" si="34"/>
        <v>0.03</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3">
        <f t="shared" si="41"/>
        <v>0</v>
      </c>
      <c r="S174" s="802">
        <f t="shared" si="32"/>
        <v>0</v>
      </c>
    </row>
    <row r="175" spans="1:19">
      <c r="A175" s="965"/>
      <c r="B175" s="137"/>
      <c r="C175" s="53">
        <f t="shared" si="33"/>
        <v>1</v>
      </c>
      <c r="D175" s="963"/>
      <c r="E175" s="53">
        <f t="shared" si="34"/>
        <v>0.03</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3">
        <f t="shared" si="41"/>
        <v>0</v>
      </c>
      <c r="S175" s="802">
        <f t="shared" si="32"/>
        <v>0</v>
      </c>
    </row>
    <row r="176" spans="1:19">
      <c r="A176" s="965"/>
      <c r="B176" s="137"/>
      <c r="C176" s="53">
        <f t="shared" si="33"/>
        <v>1</v>
      </c>
      <c r="D176" s="963"/>
      <c r="E176" s="53">
        <f t="shared" si="34"/>
        <v>0.03</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3">
        <f t="shared" si="41"/>
        <v>0</v>
      </c>
      <c r="S176" s="802">
        <f t="shared" si="32"/>
        <v>0</v>
      </c>
    </row>
    <row r="177" spans="1:19">
      <c r="A177" s="965"/>
      <c r="B177" s="137"/>
      <c r="C177" s="53">
        <f t="shared" si="33"/>
        <v>1</v>
      </c>
      <c r="D177" s="963"/>
      <c r="E177" s="53">
        <f t="shared" si="34"/>
        <v>0.03</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3">
        <f t="shared" si="41"/>
        <v>0</v>
      </c>
      <c r="S177" s="802">
        <f t="shared" si="32"/>
        <v>0</v>
      </c>
    </row>
    <row r="178" spans="1:19">
      <c r="A178" s="965"/>
      <c r="B178" s="137"/>
      <c r="C178" s="53">
        <f t="shared" si="33"/>
        <v>1</v>
      </c>
      <c r="D178" s="963"/>
      <c r="E178" s="53">
        <f t="shared" si="34"/>
        <v>0.03</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3">
        <f t="shared" si="41"/>
        <v>0</v>
      </c>
      <c r="S178" s="802">
        <f t="shared" si="32"/>
        <v>0</v>
      </c>
    </row>
    <row r="179" spans="1:19">
      <c r="A179" s="965"/>
      <c r="B179" s="137"/>
      <c r="C179" s="53">
        <f t="shared" si="33"/>
        <v>1</v>
      </c>
      <c r="D179" s="963"/>
      <c r="E179" s="53">
        <f t="shared" si="34"/>
        <v>0.03</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3">
        <f t="shared" si="41"/>
        <v>0</v>
      </c>
      <c r="S179" s="802">
        <f t="shared" si="32"/>
        <v>0</v>
      </c>
    </row>
    <row r="180" spans="1:19">
      <c r="A180" s="965"/>
      <c r="B180" s="137"/>
      <c r="C180" s="53">
        <f t="shared" si="33"/>
        <v>1</v>
      </c>
      <c r="D180" s="963"/>
      <c r="E180" s="53">
        <f t="shared" si="34"/>
        <v>0.03</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3">
        <f t="shared" si="41"/>
        <v>0</v>
      </c>
      <c r="S180" s="802">
        <f t="shared" si="32"/>
        <v>0</v>
      </c>
    </row>
    <row r="181" spans="1:19">
      <c r="A181" s="965"/>
      <c r="B181" s="137"/>
      <c r="C181" s="53">
        <f t="shared" si="33"/>
        <v>1</v>
      </c>
      <c r="D181" s="963"/>
      <c r="E181" s="53">
        <f t="shared" si="34"/>
        <v>0.03</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3">
        <f t="shared" si="41"/>
        <v>0</v>
      </c>
      <c r="S181" s="802">
        <f t="shared" si="32"/>
        <v>0</v>
      </c>
    </row>
    <row r="182" spans="1:19">
      <c r="A182" s="965"/>
      <c r="B182" s="137"/>
      <c r="C182" s="53">
        <f t="shared" si="33"/>
        <v>1</v>
      </c>
      <c r="D182" s="963"/>
      <c r="E182" s="53">
        <f t="shared" si="34"/>
        <v>0.03</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3">
        <f t="shared" si="41"/>
        <v>0</v>
      </c>
      <c r="S182" s="802">
        <f t="shared" si="32"/>
        <v>0</v>
      </c>
    </row>
    <row r="183" spans="1:19">
      <c r="A183" s="965"/>
      <c r="B183" s="137"/>
      <c r="C183" s="53">
        <f t="shared" si="33"/>
        <v>1</v>
      </c>
      <c r="D183" s="963"/>
      <c r="E183" s="53">
        <f t="shared" si="34"/>
        <v>0.03</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3">
        <f t="shared" si="41"/>
        <v>0</v>
      </c>
      <c r="S183" s="802">
        <f t="shared" si="32"/>
        <v>0</v>
      </c>
    </row>
    <row r="184" spans="1:19">
      <c r="A184" s="965"/>
      <c r="B184" s="137"/>
      <c r="C184" s="53">
        <f t="shared" si="33"/>
        <v>1</v>
      </c>
      <c r="D184" s="963"/>
      <c r="E184" s="53">
        <f t="shared" si="34"/>
        <v>0.03</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3">
        <f t="shared" si="41"/>
        <v>0</v>
      </c>
      <c r="S184" s="802">
        <f t="shared" si="32"/>
        <v>0</v>
      </c>
    </row>
    <row r="185" spans="1:19">
      <c r="A185" s="965"/>
      <c r="B185" s="137"/>
      <c r="C185" s="53">
        <f t="shared" si="33"/>
        <v>1</v>
      </c>
      <c r="D185" s="963"/>
      <c r="E185" s="53">
        <f t="shared" si="34"/>
        <v>0.03</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3">
        <f t="shared" si="41"/>
        <v>0</v>
      </c>
      <c r="S185" s="802">
        <f t="shared" si="32"/>
        <v>0</v>
      </c>
    </row>
    <row r="186" spans="1:19">
      <c r="A186" s="965"/>
      <c r="B186" s="137"/>
      <c r="C186" s="53">
        <f t="shared" si="33"/>
        <v>1</v>
      </c>
      <c r="D186" s="963"/>
      <c r="E186" s="53">
        <f t="shared" si="34"/>
        <v>0.03</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3">
        <f t="shared" si="41"/>
        <v>0</v>
      </c>
      <c r="S186" s="802">
        <f t="shared" si="32"/>
        <v>0</v>
      </c>
    </row>
    <row r="187" spans="1:19">
      <c r="A187" s="965"/>
      <c r="B187" s="137"/>
      <c r="C187" s="53">
        <f t="shared" si="33"/>
        <v>1</v>
      </c>
      <c r="D187" s="963"/>
      <c r="E187" s="53">
        <f t="shared" si="34"/>
        <v>0.03</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3">
        <f t="shared" si="41"/>
        <v>0</v>
      </c>
      <c r="S187" s="802">
        <f t="shared" ref="S187:S222" si="42">ROUND(R187*B187/10000,0)</f>
        <v>0</v>
      </c>
    </row>
    <row r="188" spans="1:19">
      <c r="A188" s="965"/>
      <c r="B188" s="137"/>
      <c r="C188" s="53">
        <f t="shared" si="33"/>
        <v>1</v>
      </c>
      <c r="D188" s="963"/>
      <c r="E188" s="53">
        <f t="shared" si="34"/>
        <v>0.03</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3">
        <f t="shared" si="41"/>
        <v>0</v>
      </c>
      <c r="S188" s="802">
        <f t="shared" si="42"/>
        <v>0</v>
      </c>
    </row>
    <row r="189" spans="1:19">
      <c r="A189" s="965"/>
      <c r="B189" s="137"/>
      <c r="C189" s="53">
        <f t="shared" si="33"/>
        <v>1</v>
      </c>
      <c r="D189" s="963"/>
      <c r="E189" s="53">
        <f t="shared" si="34"/>
        <v>0.03</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3">
        <f t="shared" si="41"/>
        <v>0</v>
      </c>
      <c r="S189" s="802">
        <f t="shared" si="42"/>
        <v>0</v>
      </c>
    </row>
    <row r="190" spans="1:19">
      <c r="A190" s="965"/>
      <c r="B190" s="137"/>
      <c r="C190" s="53">
        <f t="shared" si="33"/>
        <v>1</v>
      </c>
      <c r="D190" s="963"/>
      <c r="E190" s="53">
        <f t="shared" si="34"/>
        <v>0.03</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3">
        <f t="shared" si="41"/>
        <v>0</v>
      </c>
      <c r="S190" s="802">
        <f t="shared" si="42"/>
        <v>0</v>
      </c>
    </row>
    <row r="191" spans="1:19">
      <c r="A191" s="965"/>
      <c r="B191" s="137"/>
      <c r="C191" s="53">
        <f t="shared" si="33"/>
        <v>1</v>
      </c>
      <c r="D191" s="963"/>
      <c r="E191" s="53">
        <f t="shared" si="34"/>
        <v>0.03</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3">
        <f t="shared" si="41"/>
        <v>0</v>
      </c>
      <c r="S191" s="802">
        <f t="shared" si="42"/>
        <v>0</v>
      </c>
    </row>
    <row r="192" spans="1:19">
      <c r="A192" s="965"/>
      <c r="B192" s="137"/>
      <c r="C192" s="53">
        <f t="shared" si="33"/>
        <v>1</v>
      </c>
      <c r="D192" s="963"/>
      <c r="E192" s="53">
        <f t="shared" si="34"/>
        <v>0.03</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3">
        <f t="shared" si="41"/>
        <v>0</v>
      </c>
      <c r="S192" s="802">
        <f t="shared" si="42"/>
        <v>0</v>
      </c>
    </row>
    <row r="193" spans="1:19">
      <c r="A193" s="965"/>
      <c r="B193" s="137"/>
      <c r="C193" s="53">
        <f t="shared" si="33"/>
        <v>1</v>
      </c>
      <c r="D193" s="963"/>
      <c r="E193" s="53">
        <f t="shared" si="34"/>
        <v>0.03</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3">
        <f t="shared" si="41"/>
        <v>0</v>
      </c>
      <c r="S193" s="802">
        <f t="shared" si="42"/>
        <v>0</v>
      </c>
    </row>
    <row r="194" spans="1:19">
      <c r="A194" s="965"/>
      <c r="B194" s="137"/>
      <c r="C194" s="53">
        <f t="shared" si="33"/>
        <v>1</v>
      </c>
      <c r="D194" s="963"/>
      <c r="E194" s="53">
        <f t="shared" si="34"/>
        <v>0.03</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3">
        <f t="shared" si="41"/>
        <v>0</v>
      </c>
      <c r="S194" s="802">
        <f t="shared" si="42"/>
        <v>0</v>
      </c>
    </row>
    <row r="195" spans="1:19">
      <c r="A195" s="965"/>
      <c r="B195" s="137"/>
      <c r="C195" s="53">
        <f t="shared" si="33"/>
        <v>1</v>
      </c>
      <c r="D195" s="963"/>
      <c r="E195" s="53">
        <f t="shared" si="34"/>
        <v>0.03</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3">
        <f t="shared" si="41"/>
        <v>0</v>
      </c>
      <c r="S195" s="802">
        <f t="shared" si="42"/>
        <v>0</v>
      </c>
    </row>
    <row r="196" spans="1:19">
      <c r="A196" s="965"/>
      <c r="B196" s="137"/>
      <c r="C196" s="53">
        <f t="shared" si="33"/>
        <v>1</v>
      </c>
      <c r="D196" s="963"/>
      <c r="E196" s="53">
        <f t="shared" si="34"/>
        <v>0.03</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3">
        <f t="shared" si="41"/>
        <v>0</v>
      </c>
      <c r="S196" s="802">
        <f t="shared" si="42"/>
        <v>0</v>
      </c>
    </row>
    <row r="197" spans="1:19">
      <c r="A197" s="965"/>
      <c r="B197" s="137"/>
      <c r="C197" s="53">
        <f t="shared" si="33"/>
        <v>1</v>
      </c>
      <c r="D197" s="963"/>
      <c r="E197" s="53">
        <f t="shared" si="34"/>
        <v>0.03</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3">
        <f t="shared" si="41"/>
        <v>0</v>
      </c>
      <c r="S197" s="802">
        <f t="shared" si="42"/>
        <v>0</v>
      </c>
    </row>
    <row r="198" spans="1:19">
      <c r="A198" s="965"/>
      <c r="B198" s="137"/>
      <c r="C198" s="53">
        <f t="shared" si="33"/>
        <v>1</v>
      </c>
      <c r="D198" s="963"/>
      <c r="E198" s="53">
        <f t="shared" si="34"/>
        <v>0.03</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3">
        <f t="shared" si="41"/>
        <v>0</v>
      </c>
      <c r="S198" s="802">
        <f t="shared" si="42"/>
        <v>0</v>
      </c>
    </row>
    <row r="199" spans="1:19">
      <c r="A199" s="965"/>
      <c r="B199" s="137"/>
      <c r="C199" s="53">
        <f t="shared" si="33"/>
        <v>1</v>
      </c>
      <c r="D199" s="963"/>
      <c r="E199" s="53">
        <f t="shared" si="34"/>
        <v>0.03</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3">
        <f t="shared" si="41"/>
        <v>0</v>
      </c>
      <c r="S199" s="802">
        <f t="shared" si="42"/>
        <v>0</v>
      </c>
    </row>
    <row r="200" spans="1:19">
      <c r="A200" s="965"/>
      <c r="B200" s="137"/>
      <c r="C200" s="53">
        <f t="shared" si="33"/>
        <v>1</v>
      </c>
      <c r="D200" s="963"/>
      <c r="E200" s="53">
        <f t="shared" si="34"/>
        <v>0.03</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3">
        <f t="shared" si="41"/>
        <v>0</v>
      </c>
      <c r="S200" s="802">
        <f t="shared" si="42"/>
        <v>0</v>
      </c>
    </row>
    <row r="201" spans="1:19">
      <c r="A201" s="965"/>
      <c r="B201" s="137"/>
      <c r="C201" s="53">
        <f t="shared" si="33"/>
        <v>1</v>
      </c>
      <c r="D201" s="963"/>
      <c r="E201" s="53">
        <f t="shared" si="34"/>
        <v>0.03</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3">
        <f t="shared" si="41"/>
        <v>0</v>
      </c>
      <c r="S201" s="802">
        <f t="shared" si="42"/>
        <v>0</v>
      </c>
    </row>
    <row r="202" spans="1:19">
      <c r="A202" s="965"/>
      <c r="B202" s="137"/>
      <c r="C202" s="53">
        <f t="shared" si="33"/>
        <v>1</v>
      </c>
      <c r="D202" s="963"/>
      <c r="E202" s="53">
        <f t="shared" si="34"/>
        <v>0.03</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3">
        <f t="shared" si="41"/>
        <v>0</v>
      </c>
      <c r="S202" s="802">
        <f t="shared" si="42"/>
        <v>0</v>
      </c>
    </row>
    <row r="203" spans="1:19">
      <c r="A203" s="965"/>
      <c r="B203" s="137"/>
      <c r="C203" s="53">
        <f t="shared" si="33"/>
        <v>1</v>
      </c>
      <c r="D203" s="963"/>
      <c r="E203" s="53">
        <f t="shared" si="34"/>
        <v>0.03</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3">
        <f t="shared" si="41"/>
        <v>0</v>
      </c>
      <c r="S203" s="802">
        <f t="shared" si="42"/>
        <v>0</v>
      </c>
    </row>
    <row r="204" spans="1:19">
      <c r="A204" s="965"/>
      <c r="B204" s="137"/>
      <c r="C204" s="53">
        <f t="shared" si="33"/>
        <v>1</v>
      </c>
      <c r="D204" s="963"/>
      <c r="E204" s="53">
        <f t="shared" si="34"/>
        <v>0.03</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3">
        <f t="shared" si="41"/>
        <v>0</v>
      </c>
      <c r="S204" s="802">
        <f t="shared" si="42"/>
        <v>0</v>
      </c>
    </row>
    <row r="205" spans="1:19">
      <c r="A205" s="965"/>
      <c r="B205" s="137"/>
      <c r="C205" s="53">
        <f t="shared" si="33"/>
        <v>1</v>
      </c>
      <c r="D205" s="963"/>
      <c r="E205" s="53">
        <f t="shared" si="34"/>
        <v>0.03</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3">
        <f t="shared" si="41"/>
        <v>0</v>
      </c>
      <c r="S205" s="802">
        <f t="shared" si="42"/>
        <v>0</v>
      </c>
    </row>
    <row r="206" spans="1:19">
      <c r="A206" s="965"/>
      <c r="B206" s="137"/>
      <c r="C206" s="53">
        <f t="shared" si="33"/>
        <v>1</v>
      </c>
      <c r="D206" s="963"/>
      <c r="E206" s="53">
        <f t="shared" si="34"/>
        <v>0.03</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3">
        <f t="shared" si="41"/>
        <v>0</v>
      </c>
      <c r="S206" s="802">
        <f t="shared" si="42"/>
        <v>0</v>
      </c>
    </row>
    <row r="207" spans="1:19">
      <c r="A207" s="965"/>
      <c r="B207" s="137"/>
      <c r="C207" s="53">
        <f t="shared" si="33"/>
        <v>1</v>
      </c>
      <c r="D207" s="963"/>
      <c r="E207" s="53">
        <f t="shared" si="34"/>
        <v>0.03</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3">
        <f t="shared" si="41"/>
        <v>0</v>
      </c>
      <c r="S207" s="802">
        <f t="shared" si="42"/>
        <v>0</v>
      </c>
    </row>
    <row r="208" spans="1:19">
      <c r="A208" s="965"/>
      <c r="B208" s="137"/>
      <c r="C208" s="53">
        <f t="shared" si="33"/>
        <v>1</v>
      </c>
      <c r="D208" s="963"/>
      <c r="E208" s="53">
        <f t="shared" si="34"/>
        <v>0.03</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3">
        <f t="shared" si="41"/>
        <v>0</v>
      </c>
      <c r="S208" s="802">
        <f t="shared" si="42"/>
        <v>0</v>
      </c>
    </row>
    <row r="209" spans="1:19">
      <c r="A209" s="965"/>
      <c r="B209" s="137"/>
      <c r="C209" s="53">
        <f t="shared" si="33"/>
        <v>1</v>
      </c>
      <c r="D209" s="963"/>
      <c r="E209" s="53">
        <f t="shared" si="34"/>
        <v>0.03</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3">
        <f t="shared" si="41"/>
        <v>0</v>
      </c>
      <c r="S209" s="802">
        <f t="shared" si="42"/>
        <v>0</v>
      </c>
    </row>
    <row r="210" spans="1:19">
      <c r="A210" s="965"/>
      <c r="B210" s="137"/>
      <c r="C210" s="53">
        <f t="shared" si="33"/>
        <v>1</v>
      </c>
      <c r="D210" s="963"/>
      <c r="E210" s="53">
        <f t="shared" si="34"/>
        <v>0.03</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3">
        <f t="shared" si="41"/>
        <v>0</v>
      </c>
      <c r="S210" s="802">
        <f t="shared" si="42"/>
        <v>0</v>
      </c>
    </row>
    <row r="211" spans="1:19">
      <c r="A211" s="965"/>
      <c r="B211" s="137"/>
      <c r="C211" s="53">
        <f t="shared" si="33"/>
        <v>1</v>
      </c>
      <c r="D211" s="963"/>
      <c r="E211" s="53">
        <f t="shared" si="34"/>
        <v>0.03</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3">
        <f t="shared" si="41"/>
        <v>0</v>
      </c>
      <c r="S211" s="802">
        <f t="shared" si="42"/>
        <v>0</v>
      </c>
    </row>
    <row r="212" spans="1:19">
      <c r="A212" s="965"/>
      <c r="B212" s="137"/>
      <c r="C212" s="53">
        <f t="shared" si="33"/>
        <v>1</v>
      </c>
      <c r="D212" s="963"/>
      <c r="E212" s="53">
        <f t="shared" si="34"/>
        <v>0.03</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3">
        <f t="shared" si="41"/>
        <v>0</v>
      </c>
      <c r="S212" s="802">
        <f t="shared" si="42"/>
        <v>0</v>
      </c>
    </row>
    <row r="213" spans="1:19">
      <c r="A213" s="965"/>
      <c r="B213" s="137"/>
      <c r="C213" s="53">
        <f t="shared" si="33"/>
        <v>1</v>
      </c>
      <c r="D213" s="963"/>
      <c r="E213" s="53">
        <f t="shared" si="34"/>
        <v>0.03</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3">
        <f t="shared" si="41"/>
        <v>0</v>
      </c>
      <c r="S213" s="802">
        <f t="shared" si="42"/>
        <v>0</v>
      </c>
    </row>
    <row r="214" spans="1:19">
      <c r="A214" s="965"/>
      <c r="B214" s="137"/>
      <c r="C214" s="53">
        <f t="shared" si="33"/>
        <v>1</v>
      </c>
      <c r="D214" s="963"/>
      <c r="E214" s="53">
        <f t="shared" si="34"/>
        <v>0.03</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3">
        <f t="shared" si="41"/>
        <v>0</v>
      </c>
      <c r="S214" s="802">
        <f t="shared" si="42"/>
        <v>0</v>
      </c>
    </row>
    <row r="215" spans="1:19">
      <c r="A215" s="965"/>
      <c r="B215" s="137"/>
      <c r="C215" s="53">
        <f t="shared" si="33"/>
        <v>1</v>
      </c>
      <c r="D215" s="963"/>
      <c r="E215" s="53">
        <f t="shared" si="34"/>
        <v>0.03</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3">
        <f t="shared" si="41"/>
        <v>0</v>
      </c>
      <c r="S215" s="802">
        <f t="shared" si="42"/>
        <v>0</v>
      </c>
    </row>
    <row r="216" spans="1:19">
      <c r="A216" s="965"/>
      <c r="B216" s="137"/>
      <c r="C216" s="53">
        <f t="shared" si="33"/>
        <v>1</v>
      </c>
      <c r="D216" s="963"/>
      <c r="E216" s="53">
        <f t="shared" si="34"/>
        <v>0.03</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3">
        <f t="shared" si="41"/>
        <v>0</v>
      </c>
      <c r="S216" s="802">
        <f t="shared" si="42"/>
        <v>0</v>
      </c>
    </row>
    <row r="217" spans="1:19">
      <c r="A217" s="965"/>
      <c r="B217" s="137"/>
      <c r="C217" s="53">
        <f t="shared" si="33"/>
        <v>1</v>
      </c>
      <c r="D217" s="963"/>
      <c r="E217" s="53">
        <f t="shared" si="34"/>
        <v>0.03</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3">
        <f t="shared" si="41"/>
        <v>0</v>
      </c>
      <c r="S217" s="802">
        <f t="shared" si="42"/>
        <v>0</v>
      </c>
    </row>
    <row r="218" spans="1:19">
      <c r="A218" s="965"/>
      <c r="B218" s="137"/>
      <c r="C218" s="53">
        <f t="shared" ref="C218:C281" si="43">IF(B218="",1,(LOOKUP(B218,$3:$3,$4:$4)-LOOKUP($B$24,$3:$3,$4:$4)+100)/100)</f>
        <v>1</v>
      </c>
      <c r="D218" s="963"/>
      <c r="E218" s="53">
        <f t="shared" ref="E218:E281" si="44">(SUMIF($5:$5,D218,$6:$6)-SUMIF($5:$5,$D$24,$6:$6)+100)/100</f>
        <v>0.03</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3">
        <f t="shared" ref="R218:R281" si="51">IF(B218="",0,ROUND($R$24*C218*E218*G218*I218*K218*M218*O218*Q218,0))</f>
        <v>0</v>
      </c>
      <c r="S218" s="802">
        <f t="shared" si="42"/>
        <v>0</v>
      </c>
    </row>
    <row r="219" spans="1:19">
      <c r="A219" s="965"/>
      <c r="B219" s="137"/>
      <c r="C219" s="53">
        <f t="shared" si="43"/>
        <v>1</v>
      </c>
      <c r="D219" s="963"/>
      <c r="E219" s="53">
        <f t="shared" si="44"/>
        <v>0.03</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3">
        <f t="shared" si="51"/>
        <v>0</v>
      </c>
      <c r="S219" s="802">
        <f t="shared" si="42"/>
        <v>0</v>
      </c>
    </row>
    <row r="220" spans="1:19">
      <c r="A220" s="965"/>
      <c r="B220" s="137"/>
      <c r="C220" s="53">
        <f t="shared" si="43"/>
        <v>1</v>
      </c>
      <c r="D220" s="963"/>
      <c r="E220" s="53">
        <f t="shared" si="44"/>
        <v>0.03</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3">
        <f t="shared" si="51"/>
        <v>0</v>
      </c>
      <c r="S220" s="802">
        <f t="shared" si="42"/>
        <v>0</v>
      </c>
    </row>
    <row r="221" spans="1:19">
      <c r="A221" s="965"/>
      <c r="B221" s="137"/>
      <c r="C221" s="53">
        <f t="shared" si="43"/>
        <v>1</v>
      </c>
      <c r="D221" s="963"/>
      <c r="E221" s="53">
        <f t="shared" si="44"/>
        <v>0.03</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3">
        <f t="shared" si="51"/>
        <v>0</v>
      </c>
      <c r="S221" s="802">
        <f t="shared" si="42"/>
        <v>0</v>
      </c>
    </row>
    <row r="222" spans="1:19">
      <c r="A222" s="965"/>
      <c r="B222" s="137"/>
      <c r="C222" s="53">
        <f t="shared" si="43"/>
        <v>1</v>
      </c>
      <c r="D222" s="963"/>
      <c r="E222" s="53">
        <f t="shared" si="44"/>
        <v>0.03</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3">
        <f t="shared" si="51"/>
        <v>0</v>
      </c>
      <c r="S222" s="802">
        <f t="shared" si="42"/>
        <v>0</v>
      </c>
    </row>
    <row r="223" spans="1:19">
      <c r="A223" s="965"/>
      <c r="B223" s="137"/>
      <c r="C223" s="53">
        <f t="shared" si="43"/>
        <v>1</v>
      </c>
      <c r="D223" s="963"/>
      <c r="E223" s="53">
        <f t="shared" si="44"/>
        <v>0.03</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3">
        <f t="shared" si="51"/>
        <v>0</v>
      </c>
      <c r="S223" s="802">
        <f t="shared" ref="S223:S286" si="52">ROUND(R223*B223/10000,0)</f>
        <v>0</v>
      </c>
    </row>
    <row r="224" spans="1:19">
      <c r="A224" s="965"/>
      <c r="B224" s="137"/>
      <c r="C224" s="53">
        <f t="shared" si="43"/>
        <v>1</v>
      </c>
      <c r="D224" s="963"/>
      <c r="E224" s="53">
        <f t="shared" si="44"/>
        <v>0.03</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3">
        <f t="shared" si="51"/>
        <v>0</v>
      </c>
      <c r="S224" s="802">
        <f t="shared" si="52"/>
        <v>0</v>
      </c>
    </row>
    <row r="225" spans="1:19">
      <c r="A225" s="965"/>
      <c r="B225" s="137"/>
      <c r="C225" s="53">
        <f t="shared" si="43"/>
        <v>1</v>
      </c>
      <c r="D225" s="963"/>
      <c r="E225" s="53">
        <f t="shared" si="44"/>
        <v>0.03</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3">
        <f t="shared" si="51"/>
        <v>0</v>
      </c>
      <c r="S225" s="802">
        <f t="shared" si="52"/>
        <v>0</v>
      </c>
    </row>
    <row r="226" spans="1:19">
      <c r="A226" s="965"/>
      <c r="B226" s="137"/>
      <c r="C226" s="53">
        <f t="shared" si="43"/>
        <v>1</v>
      </c>
      <c r="D226" s="963"/>
      <c r="E226" s="53">
        <f t="shared" si="44"/>
        <v>0.03</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3">
        <f t="shared" si="51"/>
        <v>0</v>
      </c>
      <c r="S226" s="802">
        <f t="shared" si="52"/>
        <v>0</v>
      </c>
    </row>
    <row r="227" spans="1:19">
      <c r="A227" s="965"/>
      <c r="B227" s="137"/>
      <c r="C227" s="53">
        <f t="shared" si="43"/>
        <v>1</v>
      </c>
      <c r="D227" s="963"/>
      <c r="E227" s="53">
        <f t="shared" si="44"/>
        <v>0.03</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3">
        <f t="shared" si="51"/>
        <v>0</v>
      </c>
      <c r="S227" s="802">
        <f t="shared" si="52"/>
        <v>0</v>
      </c>
    </row>
    <row r="228" spans="1:19">
      <c r="A228" s="965"/>
      <c r="B228" s="137"/>
      <c r="C228" s="53">
        <f t="shared" si="43"/>
        <v>1</v>
      </c>
      <c r="D228" s="963"/>
      <c r="E228" s="53">
        <f t="shared" si="44"/>
        <v>0.03</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3">
        <f t="shared" si="51"/>
        <v>0</v>
      </c>
      <c r="S228" s="802">
        <f t="shared" si="52"/>
        <v>0</v>
      </c>
    </row>
    <row r="229" spans="1:19">
      <c r="A229" s="965"/>
      <c r="B229" s="137"/>
      <c r="C229" s="53">
        <f t="shared" si="43"/>
        <v>1</v>
      </c>
      <c r="D229" s="963"/>
      <c r="E229" s="53">
        <f t="shared" si="44"/>
        <v>0.03</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3">
        <f t="shared" si="51"/>
        <v>0</v>
      </c>
      <c r="S229" s="802">
        <f t="shared" si="52"/>
        <v>0</v>
      </c>
    </row>
    <row r="230" spans="1:19">
      <c r="A230" s="965"/>
      <c r="B230" s="137"/>
      <c r="C230" s="53">
        <f t="shared" si="43"/>
        <v>1</v>
      </c>
      <c r="D230" s="963"/>
      <c r="E230" s="53">
        <f t="shared" si="44"/>
        <v>0.03</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3">
        <f t="shared" si="51"/>
        <v>0</v>
      </c>
      <c r="S230" s="802">
        <f t="shared" si="52"/>
        <v>0</v>
      </c>
    </row>
    <row r="231" spans="1:19">
      <c r="A231" s="965"/>
      <c r="B231" s="137"/>
      <c r="C231" s="53">
        <f t="shared" si="43"/>
        <v>1</v>
      </c>
      <c r="D231" s="963"/>
      <c r="E231" s="53">
        <f t="shared" si="44"/>
        <v>0.03</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3">
        <f t="shared" si="51"/>
        <v>0</v>
      </c>
      <c r="S231" s="802">
        <f t="shared" si="52"/>
        <v>0</v>
      </c>
    </row>
    <row r="232" spans="1:19">
      <c r="A232" s="965"/>
      <c r="B232" s="137"/>
      <c r="C232" s="53">
        <f t="shared" si="43"/>
        <v>1</v>
      </c>
      <c r="D232" s="963"/>
      <c r="E232" s="53">
        <f t="shared" si="44"/>
        <v>0.03</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3">
        <f t="shared" si="51"/>
        <v>0</v>
      </c>
      <c r="S232" s="802">
        <f t="shared" si="52"/>
        <v>0</v>
      </c>
    </row>
    <row r="233" spans="1:19">
      <c r="A233" s="965"/>
      <c r="B233" s="137"/>
      <c r="C233" s="53">
        <f t="shared" si="43"/>
        <v>1</v>
      </c>
      <c r="D233" s="963"/>
      <c r="E233" s="53">
        <f t="shared" si="44"/>
        <v>0.03</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3">
        <f t="shared" si="51"/>
        <v>0</v>
      </c>
      <c r="S233" s="802">
        <f t="shared" si="52"/>
        <v>0</v>
      </c>
    </row>
    <row r="234" spans="1:19">
      <c r="A234" s="965"/>
      <c r="B234" s="137"/>
      <c r="C234" s="53">
        <f t="shared" si="43"/>
        <v>1</v>
      </c>
      <c r="D234" s="963"/>
      <c r="E234" s="53">
        <f t="shared" si="44"/>
        <v>0.03</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3">
        <f t="shared" si="51"/>
        <v>0</v>
      </c>
      <c r="S234" s="802">
        <f t="shared" si="52"/>
        <v>0</v>
      </c>
    </row>
    <row r="235" spans="1:19">
      <c r="A235" s="965"/>
      <c r="B235" s="137"/>
      <c r="C235" s="53">
        <f t="shared" si="43"/>
        <v>1</v>
      </c>
      <c r="D235" s="963"/>
      <c r="E235" s="53">
        <f t="shared" si="44"/>
        <v>0.03</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3">
        <f t="shared" si="51"/>
        <v>0</v>
      </c>
      <c r="S235" s="802">
        <f t="shared" si="52"/>
        <v>0</v>
      </c>
    </row>
    <row r="236" spans="1:19">
      <c r="A236" s="965"/>
      <c r="B236" s="137"/>
      <c r="C236" s="53">
        <f t="shared" si="43"/>
        <v>1</v>
      </c>
      <c r="D236" s="963"/>
      <c r="E236" s="53">
        <f t="shared" si="44"/>
        <v>0.03</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3">
        <f t="shared" si="51"/>
        <v>0</v>
      </c>
      <c r="S236" s="802">
        <f t="shared" si="52"/>
        <v>0</v>
      </c>
    </row>
    <row r="237" spans="1:19">
      <c r="A237" s="965"/>
      <c r="B237" s="137"/>
      <c r="C237" s="53">
        <f t="shared" si="43"/>
        <v>1</v>
      </c>
      <c r="D237" s="963"/>
      <c r="E237" s="53">
        <f t="shared" si="44"/>
        <v>0.03</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3">
        <f t="shared" si="51"/>
        <v>0</v>
      </c>
      <c r="S237" s="802">
        <f t="shared" si="52"/>
        <v>0</v>
      </c>
    </row>
    <row r="238" spans="1:19">
      <c r="A238" s="965"/>
      <c r="B238" s="137"/>
      <c r="C238" s="53">
        <f t="shared" si="43"/>
        <v>1</v>
      </c>
      <c r="D238" s="963"/>
      <c r="E238" s="53">
        <f t="shared" si="44"/>
        <v>0.03</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3">
        <f t="shared" si="51"/>
        <v>0</v>
      </c>
      <c r="S238" s="802">
        <f t="shared" si="52"/>
        <v>0</v>
      </c>
    </row>
    <row r="239" spans="1:19">
      <c r="A239" s="965"/>
      <c r="B239" s="137"/>
      <c r="C239" s="53">
        <f t="shared" si="43"/>
        <v>1</v>
      </c>
      <c r="D239" s="963"/>
      <c r="E239" s="53">
        <f t="shared" si="44"/>
        <v>0.03</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3">
        <f t="shared" si="51"/>
        <v>0</v>
      </c>
      <c r="S239" s="802">
        <f t="shared" si="52"/>
        <v>0</v>
      </c>
    </row>
    <row r="240" spans="1:19">
      <c r="A240" s="965"/>
      <c r="B240" s="137"/>
      <c r="C240" s="53">
        <f t="shared" si="43"/>
        <v>1</v>
      </c>
      <c r="D240" s="963"/>
      <c r="E240" s="53">
        <f t="shared" si="44"/>
        <v>0.03</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3">
        <f t="shared" si="51"/>
        <v>0</v>
      </c>
      <c r="S240" s="802">
        <f t="shared" si="52"/>
        <v>0</v>
      </c>
    </row>
    <row r="241" spans="1:19">
      <c r="A241" s="965"/>
      <c r="B241" s="137"/>
      <c r="C241" s="53">
        <f t="shared" si="43"/>
        <v>1</v>
      </c>
      <c r="D241" s="963"/>
      <c r="E241" s="53">
        <f t="shared" si="44"/>
        <v>0.03</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3">
        <f t="shared" si="51"/>
        <v>0</v>
      </c>
      <c r="S241" s="802">
        <f t="shared" si="52"/>
        <v>0</v>
      </c>
    </row>
    <row r="242" spans="1:19">
      <c r="A242" s="965"/>
      <c r="B242" s="137"/>
      <c r="C242" s="53">
        <f t="shared" si="43"/>
        <v>1</v>
      </c>
      <c r="D242" s="963"/>
      <c r="E242" s="53">
        <f t="shared" si="44"/>
        <v>0.03</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3">
        <f t="shared" si="51"/>
        <v>0</v>
      </c>
      <c r="S242" s="802">
        <f t="shared" si="52"/>
        <v>0</v>
      </c>
    </row>
    <row r="243" spans="1:19">
      <c r="A243" s="965"/>
      <c r="B243" s="137"/>
      <c r="C243" s="53">
        <f t="shared" si="43"/>
        <v>1</v>
      </c>
      <c r="D243" s="963"/>
      <c r="E243" s="53">
        <f t="shared" si="44"/>
        <v>0.03</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3">
        <f t="shared" si="51"/>
        <v>0</v>
      </c>
      <c r="S243" s="802">
        <f t="shared" si="52"/>
        <v>0</v>
      </c>
    </row>
    <row r="244" spans="1:19">
      <c r="A244" s="965"/>
      <c r="B244" s="137"/>
      <c r="C244" s="53">
        <f t="shared" si="43"/>
        <v>1</v>
      </c>
      <c r="D244" s="963"/>
      <c r="E244" s="53">
        <f t="shared" si="44"/>
        <v>0.03</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3">
        <f t="shared" si="51"/>
        <v>0</v>
      </c>
      <c r="S244" s="802">
        <f t="shared" si="52"/>
        <v>0</v>
      </c>
    </row>
    <row r="245" spans="1:19">
      <c r="A245" s="965"/>
      <c r="B245" s="137"/>
      <c r="C245" s="53">
        <f t="shared" si="43"/>
        <v>1</v>
      </c>
      <c r="D245" s="963"/>
      <c r="E245" s="53">
        <f t="shared" si="44"/>
        <v>0.03</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3">
        <f t="shared" si="51"/>
        <v>0</v>
      </c>
      <c r="S245" s="802">
        <f t="shared" si="52"/>
        <v>0</v>
      </c>
    </row>
    <row r="246" spans="1:19">
      <c r="A246" s="965"/>
      <c r="B246" s="137"/>
      <c r="C246" s="53">
        <f t="shared" si="43"/>
        <v>1</v>
      </c>
      <c r="D246" s="963"/>
      <c r="E246" s="53">
        <f t="shared" si="44"/>
        <v>0.03</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3">
        <f t="shared" si="51"/>
        <v>0</v>
      </c>
      <c r="S246" s="802">
        <f t="shared" si="52"/>
        <v>0</v>
      </c>
    </row>
    <row r="247" spans="1:19">
      <c r="A247" s="965"/>
      <c r="B247" s="137"/>
      <c r="C247" s="53">
        <f t="shared" si="43"/>
        <v>1</v>
      </c>
      <c r="D247" s="963"/>
      <c r="E247" s="53">
        <f t="shared" si="44"/>
        <v>0.03</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3">
        <f t="shared" si="51"/>
        <v>0</v>
      </c>
      <c r="S247" s="802">
        <f t="shared" si="52"/>
        <v>0</v>
      </c>
    </row>
    <row r="248" spans="1:19">
      <c r="A248" s="965"/>
      <c r="B248" s="137"/>
      <c r="C248" s="53">
        <f t="shared" si="43"/>
        <v>1</v>
      </c>
      <c r="D248" s="963"/>
      <c r="E248" s="53">
        <f t="shared" si="44"/>
        <v>0.03</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3">
        <f t="shared" si="51"/>
        <v>0</v>
      </c>
      <c r="S248" s="802">
        <f t="shared" si="52"/>
        <v>0</v>
      </c>
    </row>
    <row r="249" spans="1:19">
      <c r="A249" s="965"/>
      <c r="B249" s="137"/>
      <c r="C249" s="53">
        <f t="shared" si="43"/>
        <v>1</v>
      </c>
      <c r="D249" s="963"/>
      <c r="E249" s="53">
        <f t="shared" si="44"/>
        <v>0.03</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3">
        <f t="shared" si="51"/>
        <v>0</v>
      </c>
      <c r="S249" s="802">
        <f t="shared" si="52"/>
        <v>0</v>
      </c>
    </row>
    <row r="250" spans="1:19">
      <c r="A250" s="965"/>
      <c r="B250" s="137"/>
      <c r="C250" s="53">
        <f t="shared" si="43"/>
        <v>1</v>
      </c>
      <c r="D250" s="963"/>
      <c r="E250" s="53">
        <f t="shared" si="44"/>
        <v>0.03</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3">
        <f t="shared" si="51"/>
        <v>0</v>
      </c>
      <c r="S250" s="802">
        <f t="shared" si="52"/>
        <v>0</v>
      </c>
    </row>
    <row r="251" spans="1:19">
      <c r="A251" s="965"/>
      <c r="B251" s="137"/>
      <c r="C251" s="53">
        <f t="shared" si="43"/>
        <v>1</v>
      </c>
      <c r="D251" s="963"/>
      <c r="E251" s="53">
        <f t="shared" si="44"/>
        <v>0.03</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3">
        <f t="shared" si="51"/>
        <v>0</v>
      </c>
      <c r="S251" s="802">
        <f t="shared" si="52"/>
        <v>0</v>
      </c>
    </row>
    <row r="252" spans="1:19">
      <c r="A252" s="965"/>
      <c r="B252" s="137"/>
      <c r="C252" s="53">
        <f t="shared" si="43"/>
        <v>1</v>
      </c>
      <c r="D252" s="963"/>
      <c r="E252" s="53">
        <f t="shared" si="44"/>
        <v>0.03</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3">
        <f t="shared" si="51"/>
        <v>0</v>
      </c>
      <c r="S252" s="802">
        <f t="shared" si="52"/>
        <v>0</v>
      </c>
    </row>
    <row r="253" spans="1:19">
      <c r="A253" s="965"/>
      <c r="B253" s="137"/>
      <c r="C253" s="53">
        <f t="shared" si="43"/>
        <v>1</v>
      </c>
      <c r="D253" s="963"/>
      <c r="E253" s="53">
        <f t="shared" si="44"/>
        <v>0.03</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3">
        <f t="shared" si="51"/>
        <v>0</v>
      </c>
      <c r="S253" s="802">
        <f t="shared" si="52"/>
        <v>0</v>
      </c>
    </row>
    <row r="254" spans="1:19">
      <c r="A254" s="965"/>
      <c r="B254" s="137"/>
      <c r="C254" s="53">
        <f t="shared" si="43"/>
        <v>1</v>
      </c>
      <c r="D254" s="963"/>
      <c r="E254" s="53">
        <f t="shared" si="44"/>
        <v>0.03</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3">
        <f t="shared" si="51"/>
        <v>0</v>
      </c>
      <c r="S254" s="802">
        <f t="shared" si="52"/>
        <v>0</v>
      </c>
    </row>
    <row r="255" spans="1:19">
      <c r="A255" s="965"/>
      <c r="B255" s="137"/>
      <c r="C255" s="53">
        <f t="shared" si="43"/>
        <v>1</v>
      </c>
      <c r="D255" s="963"/>
      <c r="E255" s="53">
        <f t="shared" si="44"/>
        <v>0.03</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3">
        <f t="shared" si="51"/>
        <v>0</v>
      </c>
      <c r="S255" s="802">
        <f t="shared" si="52"/>
        <v>0</v>
      </c>
    </row>
    <row r="256" spans="1:19">
      <c r="A256" s="965"/>
      <c r="B256" s="137"/>
      <c r="C256" s="53">
        <f t="shared" si="43"/>
        <v>1</v>
      </c>
      <c r="D256" s="963"/>
      <c r="E256" s="53">
        <f t="shared" si="44"/>
        <v>0.03</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3">
        <f t="shared" si="51"/>
        <v>0</v>
      </c>
      <c r="S256" s="802">
        <f t="shared" si="52"/>
        <v>0</v>
      </c>
    </row>
    <row r="257" spans="1:19">
      <c r="A257" s="965"/>
      <c r="B257" s="137"/>
      <c r="C257" s="53">
        <f t="shared" si="43"/>
        <v>1</v>
      </c>
      <c r="D257" s="963"/>
      <c r="E257" s="53">
        <f t="shared" si="44"/>
        <v>0.03</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3">
        <f t="shared" si="51"/>
        <v>0</v>
      </c>
      <c r="S257" s="802">
        <f t="shared" si="52"/>
        <v>0</v>
      </c>
    </row>
    <row r="258" spans="1:19">
      <c r="A258" s="965"/>
      <c r="B258" s="137"/>
      <c r="C258" s="53">
        <f t="shared" si="43"/>
        <v>1</v>
      </c>
      <c r="D258" s="963"/>
      <c r="E258" s="53">
        <f t="shared" si="44"/>
        <v>0.03</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3">
        <f t="shared" si="51"/>
        <v>0</v>
      </c>
      <c r="S258" s="802">
        <f t="shared" si="52"/>
        <v>0</v>
      </c>
    </row>
    <row r="259" spans="1:19">
      <c r="A259" s="965"/>
      <c r="B259" s="137"/>
      <c r="C259" s="53">
        <f t="shared" si="43"/>
        <v>1</v>
      </c>
      <c r="D259" s="963"/>
      <c r="E259" s="53">
        <f t="shared" si="44"/>
        <v>0.03</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3">
        <f t="shared" si="51"/>
        <v>0</v>
      </c>
      <c r="S259" s="802">
        <f t="shared" si="52"/>
        <v>0</v>
      </c>
    </row>
    <row r="260" spans="1:19">
      <c r="A260" s="965"/>
      <c r="B260" s="137"/>
      <c r="C260" s="53">
        <f t="shared" si="43"/>
        <v>1</v>
      </c>
      <c r="D260" s="963"/>
      <c r="E260" s="53">
        <f t="shared" si="44"/>
        <v>0.03</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3">
        <f t="shared" si="51"/>
        <v>0</v>
      </c>
      <c r="S260" s="802">
        <f t="shared" si="52"/>
        <v>0</v>
      </c>
    </row>
    <row r="261" spans="1:19">
      <c r="A261" s="965"/>
      <c r="B261" s="137"/>
      <c r="C261" s="53">
        <f t="shared" si="43"/>
        <v>1</v>
      </c>
      <c r="D261" s="963"/>
      <c r="E261" s="53">
        <f t="shared" si="44"/>
        <v>0.03</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3">
        <f t="shared" si="51"/>
        <v>0</v>
      </c>
      <c r="S261" s="802">
        <f t="shared" si="52"/>
        <v>0</v>
      </c>
    </row>
    <row r="262" spans="1:19">
      <c r="A262" s="965"/>
      <c r="B262" s="137"/>
      <c r="C262" s="53">
        <f t="shared" si="43"/>
        <v>1</v>
      </c>
      <c r="D262" s="963"/>
      <c r="E262" s="53">
        <f t="shared" si="44"/>
        <v>0.03</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3">
        <f t="shared" si="51"/>
        <v>0</v>
      </c>
      <c r="S262" s="802">
        <f t="shared" si="52"/>
        <v>0</v>
      </c>
    </row>
    <row r="263" spans="1:19">
      <c r="A263" s="965"/>
      <c r="B263" s="137"/>
      <c r="C263" s="53">
        <f t="shared" si="43"/>
        <v>1</v>
      </c>
      <c r="D263" s="963"/>
      <c r="E263" s="53">
        <f t="shared" si="44"/>
        <v>0.03</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3">
        <f t="shared" si="51"/>
        <v>0</v>
      </c>
      <c r="S263" s="802">
        <f t="shared" si="52"/>
        <v>0</v>
      </c>
    </row>
    <row r="264" spans="1:19">
      <c r="A264" s="965"/>
      <c r="B264" s="137"/>
      <c r="C264" s="53">
        <f t="shared" si="43"/>
        <v>1</v>
      </c>
      <c r="D264" s="963"/>
      <c r="E264" s="53">
        <f t="shared" si="44"/>
        <v>0.03</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3">
        <f t="shared" si="51"/>
        <v>0</v>
      </c>
      <c r="S264" s="802">
        <f t="shared" si="52"/>
        <v>0</v>
      </c>
    </row>
    <row r="265" spans="1:19">
      <c r="A265" s="965"/>
      <c r="B265" s="137"/>
      <c r="C265" s="53">
        <f t="shared" si="43"/>
        <v>1</v>
      </c>
      <c r="D265" s="963"/>
      <c r="E265" s="53">
        <f t="shared" si="44"/>
        <v>0.03</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3">
        <f t="shared" si="51"/>
        <v>0</v>
      </c>
      <c r="S265" s="802">
        <f t="shared" si="52"/>
        <v>0</v>
      </c>
    </row>
    <row r="266" spans="1:19">
      <c r="A266" s="965"/>
      <c r="B266" s="137"/>
      <c r="C266" s="53">
        <f t="shared" si="43"/>
        <v>1</v>
      </c>
      <c r="D266" s="963"/>
      <c r="E266" s="53">
        <f t="shared" si="44"/>
        <v>0.03</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3">
        <f t="shared" si="51"/>
        <v>0</v>
      </c>
      <c r="S266" s="802">
        <f t="shared" si="52"/>
        <v>0</v>
      </c>
    </row>
    <row r="267" spans="1:19">
      <c r="A267" s="965"/>
      <c r="B267" s="137"/>
      <c r="C267" s="53">
        <f t="shared" si="43"/>
        <v>1</v>
      </c>
      <c r="D267" s="963"/>
      <c r="E267" s="53">
        <f t="shared" si="44"/>
        <v>0.03</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3">
        <f t="shared" si="51"/>
        <v>0</v>
      </c>
      <c r="S267" s="802">
        <f t="shared" si="52"/>
        <v>0</v>
      </c>
    </row>
    <row r="268" spans="1:19">
      <c r="A268" s="965"/>
      <c r="B268" s="137"/>
      <c r="C268" s="53">
        <f t="shared" si="43"/>
        <v>1</v>
      </c>
      <c r="D268" s="963"/>
      <c r="E268" s="53">
        <f t="shared" si="44"/>
        <v>0.03</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3">
        <f t="shared" si="51"/>
        <v>0</v>
      </c>
      <c r="S268" s="802">
        <f t="shared" si="52"/>
        <v>0</v>
      </c>
    </row>
    <row r="269" spans="1:19">
      <c r="A269" s="965"/>
      <c r="B269" s="137"/>
      <c r="C269" s="53">
        <f t="shared" si="43"/>
        <v>1</v>
      </c>
      <c r="D269" s="963"/>
      <c r="E269" s="53">
        <f t="shared" si="44"/>
        <v>0.03</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3">
        <f t="shared" si="51"/>
        <v>0</v>
      </c>
      <c r="S269" s="802">
        <f t="shared" si="52"/>
        <v>0</v>
      </c>
    </row>
    <row r="270" spans="1:19">
      <c r="A270" s="965"/>
      <c r="B270" s="137"/>
      <c r="C270" s="53">
        <f t="shared" si="43"/>
        <v>1</v>
      </c>
      <c r="D270" s="963"/>
      <c r="E270" s="53">
        <f t="shared" si="44"/>
        <v>0.03</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3">
        <f t="shared" si="51"/>
        <v>0</v>
      </c>
      <c r="S270" s="802">
        <f t="shared" si="52"/>
        <v>0</v>
      </c>
    </row>
    <row r="271" spans="1:19">
      <c r="A271" s="965"/>
      <c r="B271" s="137"/>
      <c r="C271" s="53">
        <f t="shared" si="43"/>
        <v>1</v>
      </c>
      <c r="D271" s="963"/>
      <c r="E271" s="53">
        <f t="shared" si="44"/>
        <v>0.03</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3">
        <f t="shared" si="51"/>
        <v>0</v>
      </c>
      <c r="S271" s="802">
        <f t="shared" si="52"/>
        <v>0</v>
      </c>
    </row>
    <row r="272" spans="1:19">
      <c r="A272" s="965"/>
      <c r="B272" s="137"/>
      <c r="C272" s="53">
        <f t="shared" si="43"/>
        <v>1</v>
      </c>
      <c r="D272" s="963"/>
      <c r="E272" s="53">
        <f t="shared" si="44"/>
        <v>0.03</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3">
        <f t="shared" si="51"/>
        <v>0</v>
      </c>
      <c r="S272" s="802">
        <f t="shared" si="52"/>
        <v>0</v>
      </c>
    </row>
    <row r="273" spans="1:19">
      <c r="A273" s="965"/>
      <c r="B273" s="137"/>
      <c r="C273" s="53">
        <f t="shared" si="43"/>
        <v>1</v>
      </c>
      <c r="D273" s="963"/>
      <c r="E273" s="53">
        <f t="shared" si="44"/>
        <v>0.03</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3">
        <f t="shared" si="51"/>
        <v>0</v>
      </c>
      <c r="S273" s="802">
        <f t="shared" si="52"/>
        <v>0</v>
      </c>
    </row>
    <row r="274" spans="1:19">
      <c r="A274" s="965"/>
      <c r="B274" s="137"/>
      <c r="C274" s="53">
        <f t="shared" si="43"/>
        <v>1</v>
      </c>
      <c r="D274" s="963"/>
      <c r="E274" s="53">
        <f t="shared" si="44"/>
        <v>0.03</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3">
        <f t="shared" si="51"/>
        <v>0</v>
      </c>
      <c r="S274" s="802">
        <f t="shared" si="52"/>
        <v>0</v>
      </c>
    </row>
    <row r="275" spans="1:19">
      <c r="A275" s="965"/>
      <c r="B275" s="137"/>
      <c r="C275" s="53">
        <f t="shared" si="43"/>
        <v>1</v>
      </c>
      <c r="D275" s="963"/>
      <c r="E275" s="53">
        <f t="shared" si="44"/>
        <v>0.03</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3">
        <f t="shared" si="51"/>
        <v>0</v>
      </c>
      <c r="S275" s="802">
        <f t="shared" si="52"/>
        <v>0</v>
      </c>
    </row>
    <row r="276" spans="1:19">
      <c r="A276" s="965"/>
      <c r="B276" s="137"/>
      <c r="C276" s="53">
        <f t="shared" si="43"/>
        <v>1</v>
      </c>
      <c r="D276" s="963"/>
      <c r="E276" s="53">
        <f t="shared" si="44"/>
        <v>0.03</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3">
        <f t="shared" si="51"/>
        <v>0</v>
      </c>
      <c r="S276" s="802">
        <f t="shared" si="52"/>
        <v>0</v>
      </c>
    </row>
    <row r="277" spans="1:19">
      <c r="A277" s="965"/>
      <c r="B277" s="137"/>
      <c r="C277" s="53">
        <f t="shared" si="43"/>
        <v>1</v>
      </c>
      <c r="D277" s="963"/>
      <c r="E277" s="53">
        <f t="shared" si="44"/>
        <v>0.03</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3">
        <f t="shared" si="51"/>
        <v>0</v>
      </c>
      <c r="S277" s="802">
        <f t="shared" si="52"/>
        <v>0</v>
      </c>
    </row>
    <row r="278" spans="1:19">
      <c r="A278" s="965"/>
      <c r="B278" s="137"/>
      <c r="C278" s="53">
        <f t="shared" si="43"/>
        <v>1</v>
      </c>
      <c r="D278" s="963"/>
      <c r="E278" s="53">
        <f t="shared" si="44"/>
        <v>0.03</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3">
        <f t="shared" si="51"/>
        <v>0</v>
      </c>
      <c r="S278" s="802">
        <f t="shared" si="52"/>
        <v>0</v>
      </c>
    </row>
    <row r="279" spans="1:19">
      <c r="A279" s="965"/>
      <c r="B279" s="137"/>
      <c r="C279" s="53">
        <f t="shared" si="43"/>
        <v>1</v>
      </c>
      <c r="D279" s="963"/>
      <c r="E279" s="53">
        <f t="shared" si="44"/>
        <v>0.03</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3">
        <f t="shared" si="51"/>
        <v>0</v>
      </c>
      <c r="S279" s="802">
        <f t="shared" si="52"/>
        <v>0</v>
      </c>
    </row>
    <row r="280" spans="1:19">
      <c r="A280" s="965"/>
      <c r="B280" s="137"/>
      <c r="C280" s="53">
        <f t="shared" si="43"/>
        <v>1</v>
      </c>
      <c r="D280" s="963"/>
      <c r="E280" s="53">
        <f t="shared" si="44"/>
        <v>0.03</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3">
        <f t="shared" si="51"/>
        <v>0</v>
      </c>
      <c r="S280" s="802">
        <f t="shared" si="52"/>
        <v>0</v>
      </c>
    </row>
    <row r="281" spans="1:19">
      <c r="A281" s="965"/>
      <c r="B281" s="137"/>
      <c r="C281" s="53">
        <f t="shared" si="43"/>
        <v>1</v>
      </c>
      <c r="D281" s="963"/>
      <c r="E281" s="53">
        <f t="shared" si="44"/>
        <v>0.03</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3">
        <f t="shared" si="51"/>
        <v>0</v>
      </c>
      <c r="S281" s="802">
        <f t="shared" si="52"/>
        <v>0</v>
      </c>
    </row>
    <row r="282" spans="1:19">
      <c r="A282" s="965"/>
      <c r="B282" s="137"/>
      <c r="C282" s="53">
        <f t="shared" ref="C282:C345" si="53">IF(B282="",1,(LOOKUP(B282,$3:$3,$4:$4)-LOOKUP($B$24,$3:$3,$4:$4)+100)/100)</f>
        <v>1</v>
      </c>
      <c r="D282" s="963"/>
      <c r="E282" s="53">
        <f t="shared" ref="E282:E345" si="54">(SUMIF($5:$5,D282,$6:$6)-SUMIF($5:$5,$D$24,$6:$6)+100)/100</f>
        <v>0.03</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3">
        <f t="shared" ref="R282:R345" si="61">IF(B282="",0,ROUND($R$24*C282*E282*G282*I282*K282*M282*O282*Q282,0))</f>
        <v>0</v>
      </c>
      <c r="S282" s="802">
        <f t="shared" si="52"/>
        <v>0</v>
      </c>
    </row>
    <row r="283" spans="1:19">
      <c r="A283" s="965"/>
      <c r="B283" s="137"/>
      <c r="C283" s="53">
        <f t="shared" si="53"/>
        <v>1</v>
      </c>
      <c r="D283" s="963"/>
      <c r="E283" s="53">
        <f t="shared" si="54"/>
        <v>0.03</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3">
        <f t="shared" si="61"/>
        <v>0</v>
      </c>
      <c r="S283" s="802">
        <f t="shared" si="52"/>
        <v>0</v>
      </c>
    </row>
    <row r="284" spans="1:19">
      <c r="A284" s="965"/>
      <c r="B284" s="137"/>
      <c r="C284" s="53">
        <f t="shared" si="53"/>
        <v>1</v>
      </c>
      <c r="D284" s="963"/>
      <c r="E284" s="53">
        <f t="shared" si="54"/>
        <v>0.03</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3">
        <f t="shared" si="61"/>
        <v>0</v>
      </c>
      <c r="S284" s="802">
        <f t="shared" si="52"/>
        <v>0</v>
      </c>
    </row>
    <row r="285" spans="1:19">
      <c r="A285" s="965"/>
      <c r="B285" s="137"/>
      <c r="C285" s="53">
        <f t="shared" si="53"/>
        <v>1</v>
      </c>
      <c r="D285" s="963"/>
      <c r="E285" s="53">
        <f t="shared" si="54"/>
        <v>0.03</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3">
        <f t="shared" si="61"/>
        <v>0</v>
      </c>
      <c r="S285" s="802">
        <f t="shared" si="52"/>
        <v>0</v>
      </c>
    </row>
    <row r="286" spans="1:19">
      <c r="A286" s="965"/>
      <c r="B286" s="137"/>
      <c r="C286" s="53">
        <f t="shared" si="53"/>
        <v>1</v>
      </c>
      <c r="D286" s="963"/>
      <c r="E286" s="53">
        <f t="shared" si="54"/>
        <v>0.03</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3">
        <f t="shared" si="61"/>
        <v>0</v>
      </c>
      <c r="S286" s="802">
        <f t="shared" si="52"/>
        <v>0</v>
      </c>
    </row>
    <row r="287" spans="1:19">
      <c r="A287" s="965"/>
      <c r="B287" s="137"/>
      <c r="C287" s="53">
        <f t="shared" si="53"/>
        <v>1</v>
      </c>
      <c r="D287" s="963"/>
      <c r="E287" s="53">
        <f t="shared" si="54"/>
        <v>0.03</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3">
        <f t="shared" si="61"/>
        <v>0</v>
      </c>
      <c r="S287" s="802">
        <f t="shared" ref="S287:S320" si="62">ROUND(R287*B287/10000,0)</f>
        <v>0</v>
      </c>
    </row>
    <row r="288" spans="1:19">
      <c r="A288" s="965"/>
      <c r="B288" s="137"/>
      <c r="C288" s="53">
        <f t="shared" si="53"/>
        <v>1</v>
      </c>
      <c r="D288" s="963"/>
      <c r="E288" s="53">
        <f t="shared" si="54"/>
        <v>0.03</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3">
        <f t="shared" si="61"/>
        <v>0</v>
      </c>
      <c r="S288" s="802">
        <f t="shared" si="62"/>
        <v>0</v>
      </c>
    </row>
    <row r="289" spans="1:19">
      <c r="A289" s="965"/>
      <c r="B289" s="137"/>
      <c r="C289" s="53">
        <f t="shared" si="53"/>
        <v>1</v>
      </c>
      <c r="D289" s="963"/>
      <c r="E289" s="53">
        <f t="shared" si="54"/>
        <v>0.03</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3">
        <f t="shared" si="61"/>
        <v>0</v>
      </c>
      <c r="S289" s="802">
        <f t="shared" si="62"/>
        <v>0</v>
      </c>
    </row>
    <row r="290" spans="1:19">
      <c r="A290" s="965"/>
      <c r="B290" s="137"/>
      <c r="C290" s="53">
        <f t="shared" si="53"/>
        <v>1</v>
      </c>
      <c r="D290" s="963"/>
      <c r="E290" s="53">
        <f t="shared" si="54"/>
        <v>0.03</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3">
        <f t="shared" si="61"/>
        <v>0</v>
      </c>
      <c r="S290" s="802">
        <f t="shared" si="62"/>
        <v>0</v>
      </c>
    </row>
    <row r="291" spans="1:19">
      <c r="A291" s="965"/>
      <c r="B291" s="137"/>
      <c r="C291" s="53">
        <f t="shared" si="53"/>
        <v>1</v>
      </c>
      <c r="D291" s="963"/>
      <c r="E291" s="53">
        <f t="shared" si="54"/>
        <v>0.03</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3">
        <f t="shared" si="61"/>
        <v>0</v>
      </c>
      <c r="S291" s="802">
        <f t="shared" si="62"/>
        <v>0</v>
      </c>
    </row>
    <row r="292" spans="1:19">
      <c r="A292" s="965"/>
      <c r="B292" s="137"/>
      <c r="C292" s="53">
        <f t="shared" si="53"/>
        <v>1</v>
      </c>
      <c r="D292" s="963"/>
      <c r="E292" s="53">
        <f t="shared" si="54"/>
        <v>0.03</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3">
        <f t="shared" si="61"/>
        <v>0</v>
      </c>
      <c r="S292" s="802">
        <f t="shared" si="62"/>
        <v>0</v>
      </c>
    </row>
    <row r="293" spans="1:19">
      <c r="A293" s="965"/>
      <c r="B293" s="137"/>
      <c r="C293" s="53">
        <f t="shared" si="53"/>
        <v>1</v>
      </c>
      <c r="D293" s="963"/>
      <c r="E293" s="53">
        <f t="shared" si="54"/>
        <v>0.03</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3">
        <f t="shared" si="61"/>
        <v>0</v>
      </c>
      <c r="S293" s="802">
        <f t="shared" si="62"/>
        <v>0</v>
      </c>
    </row>
    <row r="294" spans="1:19">
      <c r="A294" s="965"/>
      <c r="B294" s="137"/>
      <c r="C294" s="53">
        <f t="shared" si="53"/>
        <v>1</v>
      </c>
      <c r="D294" s="963"/>
      <c r="E294" s="53">
        <f t="shared" si="54"/>
        <v>0.03</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3">
        <f t="shared" si="61"/>
        <v>0</v>
      </c>
      <c r="S294" s="802">
        <f t="shared" si="62"/>
        <v>0</v>
      </c>
    </row>
    <row r="295" spans="1:19">
      <c r="A295" s="965"/>
      <c r="B295" s="137"/>
      <c r="C295" s="53">
        <f t="shared" si="53"/>
        <v>1</v>
      </c>
      <c r="D295" s="963"/>
      <c r="E295" s="53">
        <f t="shared" si="54"/>
        <v>0.03</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3">
        <f t="shared" si="61"/>
        <v>0</v>
      </c>
      <c r="S295" s="802">
        <f t="shared" si="62"/>
        <v>0</v>
      </c>
    </row>
    <row r="296" spans="1:19">
      <c r="A296" s="965"/>
      <c r="B296" s="137"/>
      <c r="C296" s="53">
        <f t="shared" si="53"/>
        <v>1</v>
      </c>
      <c r="D296" s="963"/>
      <c r="E296" s="53">
        <f t="shared" si="54"/>
        <v>0.03</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3">
        <f t="shared" si="61"/>
        <v>0</v>
      </c>
      <c r="S296" s="802">
        <f t="shared" si="62"/>
        <v>0</v>
      </c>
    </row>
    <row r="297" spans="1:19">
      <c r="A297" s="965"/>
      <c r="B297" s="137"/>
      <c r="C297" s="53">
        <f t="shared" si="53"/>
        <v>1</v>
      </c>
      <c r="D297" s="963"/>
      <c r="E297" s="53">
        <f t="shared" si="54"/>
        <v>0.03</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3">
        <f t="shared" si="61"/>
        <v>0</v>
      </c>
      <c r="S297" s="802">
        <f t="shared" si="62"/>
        <v>0</v>
      </c>
    </row>
    <row r="298" spans="1:19">
      <c r="A298" s="965"/>
      <c r="B298" s="137"/>
      <c r="C298" s="53">
        <f t="shared" si="53"/>
        <v>1</v>
      </c>
      <c r="D298" s="963"/>
      <c r="E298" s="53">
        <f t="shared" si="54"/>
        <v>0.03</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3">
        <f t="shared" si="61"/>
        <v>0</v>
      </c>
      <c r="S298" s="802">
        <f t="shared" si="62"/>
        <v>0</v>
      </c>
    </row>
    <row r="299" spans="1:19">
      <c r="A299" s="965"/>
      <c r="B299" s="137"/>
      <c r="C299" s="53">
        <f t="shared" si="53"/>
        <v>1</v>
      </c>
      <c r="D299" s="963"/>
      <c r="E299" s="53">
        <f t="shared" si="54"/>
        <v>0.03</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3">
        <f t="shared" si="61"/>
        <v>0</v>
      </c>
      <c r="S299" s="802">
        <f t="shared" si="62"/>
        <v>0</v>
      </c>
    </row>
    <row r="300" spans="1:19">
      <c r="A300" s="965"/>
      <c r="B300" s="137"/>
      <c r="C300" s="53">
        <f t="shared" si="53"/>
        <v>1</v>
      </c>
      <c r="D300" s="963"/>
      <c r="E300" s="53">
        <f t="shared" si="54"/>
        <v>0.03</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3">
        <f t="shared" si="61"/>
        <v>0</v>
      </c>
      <c r="S300" s="802">
        <f t="shared" si="62"/>
        <v>0</v>
      </c>
    </row>
    <row r="301" spans="1:19">
      <c r="A301" s="965"/>
      <c r="B301" s="137"/>
      <c r="C301" s="53">
        <f t="shared" si="53"/>
        <v>1</v>
      </c>
      <c r="D301" s="963"/>
      <c r="E301" s="53">
        <f t="shared" si="54"/>
        <v>0.03</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3">
        <f t="shared" si="61"/>
        <v>0</v>
      </c>
      <c r="S301" s="802">
        <f t="shared" si="62"/>
        <v>0</v>
      </c>
    </row>
    <row r="302" spans="1:19">
      <c r="A302" s="965"/>
      <c r="B302" s="137"/>
      <c r="C302" s="53">
        <f t="shared" si="53"/>
        <v>1</v>
      </c>
      <c r="D302" s="963"/>
      <c r="E302" s="53">
        <f t="shared" si="54"/>
        <v>0.03</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3">
        <f t="shared" si="61"/>
        <v>0</v>
      </c>
      <c r="S302" s="802">
        <f t="shared" si="62"/>
        <v>0</v>
      </c>
    </row>
    <row r="303" spans="1:19">
      <c r="A303" s="965"/>
      <c r="B303" s="137"/>
      <c r="C303" s="53">
        <f t="shared" si="53"/>
        <v>1</v>
      </c>
      <c r="D303" s="963"/>
      <c r="E303" s="53">
        <f t="shared" si="54"/>
        <v>0.03</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3">
        <f t="shared" si="61"/>
        <v>0</v>
      </c>
      <c r="S303" s="802">
        <f t="shared" si="62"/>
        <v>0</v>
      </c>
    </row>
    <row r="304" spans="1:19">
      <c r="A304" s="965"/>
      <c r="B304" s="137"/>
      <c r="C304" s="53">
        <f t="shared" si="53"/>
        <v>1</v>
      </c>
      <c r="D304" s="963"/>
      <c r="E304" s="53">
        <f t="shared" si="54"/>
        <v>0.03</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3">
        <f t="shared" si="61"/>
        <v>0</v>
      </c>
      <c r="S304" s="802">
        <f t="shared" si="62"/>
        <v>0</v>
      </c>
    </row>
    <row r="305" spans="1:19">
      <c r="A305" s="965"/>
      <c r="B305" s="137"/>
      <c r="C305" s="53">
        <f t="shared" si="53"/>
        <v>1</v>
      </c>
      <c r="D305" s="963"/>
      <c r="E305" s="53">
        <f t="shared" si="54"/>
        <v>0.03</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3">
        <f t="shared" si="61"/>
        <v>0</v>
      </c>
      <c r="S305" s="802">
        <f t="shared" si="62"/>
        <v>0</v>
      </c>
    </row>
    <row r="306" spans="1:19">
      <c r="A306" s="965"/>
      <c r="B306" s="137"/>
      <c r="C306" s="53">
        <f t="shared" si="53"/>
        <v>1</v>
      </c>
      <c r="D306" s="963"/>
      <c r="E306" s="53">
        <f t="shared" si="54"/>
        <v>0.03</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3">
        <f t="shared" si="61"/>
        <v>0</v>
      </c>
      <c r="S306" s="802">
        <f t="shared" si="62"/>
        <v>0</v>
      </c>
    </row>
    <row r="307" spans="1:19">
      <c r="A307" s="965"/>
      <c r="B307" s="137"/>
      <c r="C307" s="53">
        <f t="shared" si="53"/>
        <v>1</v>
      </c>
      <c r="D307" s="963"/>
      <c r="E307" s="53">
        <f t="shared" si="54"/>
        <v>0.03</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3">
        <f t="shared" si="61"/>
        <v>0</v>
      </c>
      <c r="S307" s="802">
        <f t="shared" si="62"/>
        <v>0</v>
      </c>
    </row>
    <row r="308" spans="1:19">
      <c r="A308" s="965"/>
      <c r="B308" s="137"/>
      <c r="C308" s="53">
        <f t="shared" si="53"/>
        <v>1</v>
      </c>
      <c r="D308" s="963"/>
      <c r="E308" s="53">
        <f t="shared" si="54"/>
        <v>0.03</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3">
        <f t="shared" si="61"/>
        <v>0</v>
      </c>
      <c r="S308" s="802">
        <f t="shared" si="62"/>
        <v>0</v>
      </c>
    </row>
    <row r="309" spans="1:19">
      <c r="A309" s="965"/>
      <c r="B309" s="137"/>
      <c r="C309" s="53">
        <f t="shared" si="53"/>
        <v>1</v>
      </c>
      <c r="D309" s="963"/>
      <c r="E309" s="53">
        <f t="shared" si="54"/>
        <v>0.03</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3">
        <f t="shared" si="61"/>
        <v>0</v>
      </c>
      <c r="S309" s="802">
        <f t="shared" si="62"/>
        <v>0</v>
      </c>
    </row>
    <row r="310" spans="1:19">
      <c r="A310" s="965"/>
      <c r="B310" s="137"/>
      <c r="C310" s="53">
        <f t="shared" si="53"/>
        <v>1</v>
      </c>
      <c r="D310" s="963"/>
      <c r="E310" s="53">
        <f t="shared" si="54"/>
        <v>0.03</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3">
        <f t="shared" si="61"/>
        <v>0</v>
      </c>
      <c r="S310" s="802">
        <f t="shared" si="62"/>
        <v>0</v>
      </c>
    </row>
    <row r="311" spans="1:19">
      <c r="A311" s="965"/>
      <c r="B311" s="137"/>
      <c r="C311" s="53">
        <f t="shared" si="53"/>
        <v>1</v>
      </c>
      <c r="D311" s="963"/>
      <c r="E311" s="53">
        <f t="shared" si="54"/>
        <v>0.03</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3">
        <f t="shared" si="61"/>
        <v>0</v>
      </c>
      <c r="S311" s="802">
        <f t="shared" si="62"/>
        <v>0</v>
      </c>
    </row>
    <row r="312" spans="1:19">
      <c r="A312" s="965"/>
      <c r="B312" s="137"/>
      <c r="C312" s="53">
        <f t="shared" si="53"/>
        <v>1</v>
      </c>
      <c r="D312" s="963"/>
      <c r="E312" s="53">
        <f t="shared" si="54"/>
        <v>0.03</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3">
        <f t="shared" si="61"/>
        <v>0</v>
      </c>
      <c r="S312" s="802">
        <f t="shared" si="62"/>
        <v>0</v>
      </c>
    </row>
    <row r="313" spans="1:19">
      <c r="A313" s="965"/>
      <c r="B313" s="137"/>
      <c r="C313" s="53">
        <f t="shared" si="53"/>
        <v>1</v>
      </c>
      <c r="D313" s="963"/>
      <c r="E313" s="53">
        <f t="shared" si="54"/>
        <v>0.03</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3">
        <f t="shared" si="61"/>
        <v>0</v>
      </c>
      <c r="S313" s="802">
        <f t="shared" si="62"/>
        <v>0</v>
      </c>
    </row>
    <row r="314" spans="1:19">
      <c r="A314" s="965"/>
      <c r="B314" s="137"/>
      <c r="C314" s="53">
        <f t="shared" si="53"/>
        <v>1</v>
      </c>
      <c r="D314" s="963"/>
      <c r="E314" s="53">
        <f t="shared" si="54"/>
        <v>0.03</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3">
        <f t="shared" si="61"/>
        <v>0</v>
      </c>
      <c r="S314" s="802">
        <f t="shared" si="62"/>
        <v>0</v>
      </c>
    </row>
    <row r="315" spans="1:19">
      <c r="A315" s="965"/>
      <c r="B315" s="137"/>
      <c r="C315" s="53">
        <f t="shared" si="53"/>
        <v>1</v>
      </c>
      <c r="D315" s="963"/>
      <c r="E315" s="53">
        <f t="shared" si="54"/>
        <v>0.03</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3">
        <f t="shared" si="61"/>
        <v>0</v>
      </c>
      <c r="S315" s="802">
        <f t="shared" si="62"/>
        <v>0</v>
      </c>
    </row>
    <row r="316" spans="1:19">
      <c r="A316" s="965"/>
      <c r="B316" s="137"/>
      <c r="C316" s="53">
        <f t="shared" si="53"/>
        <v>1</v>
      </c>
      <c r="D316" s="963"/>
      <c r="E316" s="53">
        <f t="shared" si="54"/>
        <v>0.03</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3">
        <f t="shared" si="61"/>
        <v>0</v>
      </c>
      <c r="S316" s="802">
        <f t="shared" si="62"/>
        <v>0</v>
      </c>
    </row>
    <row r="317" spans="1:19">
      <c r="A317" s="965"/>
      <c r="B317" s="137"/>
      <c r="C317" s="53">
        <f t="shared" si="53"/>
        <v>1</v>
      </c>
      <c r="D317" s="963"/>
      <c r="E317" s="53">
        <f t="shared" si="54"/>
        <v>0.03</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3">
        <f t="shared" si="61"/>
        <v>0</v>
      </c>
      <c r="S317" s="802">
        <f t="shared" si="62"/>
        <v>0</v>
      </c>
    </row>
    <row r="318" spans="1:19">
      <c r="A318" s="965"/>
      <c r="B318" s="137"/>
      <c r="C318" s="53">
        <f t="shared" si="53"/>
        <v>1</v>
      </c>
      <c r="D318" s="963"/>
      <c r="E318" s="53">
        <f t="shared" si="54"/>
        <v>0.03</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3">
        <f t="shared" si="61"/>
        <v>0</v>
      </c>
      <c r="S318" s="802">
        <f t="shared" si="62"/>
        <v>0</v>
      </c>
    </row>
    <row r="319" spans="1:19">
      <c r="A319" s="965"/>
      <c r="B319" s="137"/>
      <c r="C319" s="53">
        <f t="shared" si="53"/>
        <v>1</v>
      </c>
      <c r="D319" s="963"/>
      <c r="E319" s="53">
        <f t="shared" si="54"/>
        <v>0.03</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3">
        <f t="shared" si="61"/>
        <v>0</v>
      </c>
      <c r="S319" s="802">
        <f t="shared" si="62"/>
        <v>0</v>
      </c>
    </row>
    <row r="320" spans="1:19">
      <c r="A320" s="965"/>
      <c r="B320" s="137"/>
      <c r="C320" s="53">
        <f t="shared" si="53"/>
        <v>1</v>
      </c>
      <c r="D320" s="963"/>
      <c r="E320" s="53">
        <f t="shared" si="54"/>
        <v>0.03</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3">
        <f t="shared" si="61"/>
        <v>0</v>
      </c>
      <c r="S320" s="802">
        <f t="shared" si="62"/>
        <v>0</v>
      </c>
    </row>
    <row r="321" spans="1:19">
      <c r="A321" s="965"/>
      <c r="B321" s="137"/>
      <c r="C321" s="53">
        <f t="shared" si="53"/>
        <v>1</v>
      </c>
      <c r="D321" s="963"/>
      <c r="E321" s="53">
        <f t="shared" si="54"/>
        <v>0.03</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3">
        <f t="shared" si="61"/>
        <v>0</v>
      </c>
      <c r="S321" s="802">
        <f t="shared" ref="S321:S384" si="63">ROUND(R321*B321/10000,0)</f>
        <v>0</v>
      </c>
    </row>
    <row r="322" spans="1:19">
      <c r="A322" s="965"/>
      <c r="B322" s="137"/>
      <c r="C322" s="53">
        <f t="shared" si="53"/>
        <v>1</v>
      </c>
      <c r="D322" s="963"/>
      <c r="E322" s="53">
        <f t="shared" si="54"/>
        <v>0.03</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3">
        <f t="shared" si="61"/>
        <v>0</v>
      </c>
      <c r="S322" s="802">
        <f t="shared" si="63"/>
        <v>0</v>
      </c>
    </row>
    <row r="323" spans="1:19">
      <c r="A323" s="965"/>
      <c r="B323" s="137"/>
      <c r="C323" s="53">
        <f t="shared" si="53"/>
        <v>1</v>
      </c>
      <c r="D323" s="963"/>
      <c r="E323" s="53">
        <f t="shared" si="54"/>
        <v>0.03</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3">
        <f t="shared" si="61"/>
        <v>0</v>
      </c>
      <c r="S323" s="802">
        <f t="shared" si="63"/>
        <v>0</v>
      </c>
    </row>
    <row r="324" spans="1:19">
      <c r="A324" s="965"/>
      <c r="B324" s="137"/>
      <c r="C324" s="53">
        <f t="shared" si="53"/>
        <v>1</v>
      </c>
      <c r="D324" s="963"/>
      <c r="E324" s="53">
        <f t="shared" si="54"/>
        <v>0.03</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3">
        <f t="shared" si="61"/>
        <v>0</v>
      </c>
      <c r="S324" s="802">
        <f t="shared" si="63"/>
        <v>0</v>
      </c>
    </row>
    <row r="325" spans="1:19">
      <c r="A325" s="965"/>
      <c r="B325" s="137"/>
      <c r="C325" s="53">
        <f t="shared" si="53"/>
        <v>1</v>
      </c>
      <c r="D325" s="963"/>
      <c r="E325" s="53">
        <f t="shared" si="54"/>
        <v>0.03</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3">
        <f t="shared" si="61"/>
        <v>0</v>
      </c>
      <c r="S325" s="802">
        <f t="shared" si="63"/>
        <v>0</v>
      </c>
    </row>
    <row r="326" spans="1:19">
      <c r="A326" s="965"/>
      <c r="B326" s="137"/>
      <c r="C326" s="53">
        <f t="shared" si="53"/>
        <v>1</v>
      </c>
      <c r="D326" s="963"/>
      <c r="E326" s="53">
        <f t="shared" si="54"/>
        <v>0.03</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3">
        <f t="shared" si="61"/>
        <v>0</v>
      </c>
      <c r="S326" s="802">
        <f t="shared" si="63"/>
        <v>0</v>
      </c>
    </row>
    <row r="327" spans="1:19">
      <c r="A327" s="965"/>
      <c r="B327" s="137"/>
      <c r="C327" s="53">
        <f t="shared" si="53"/>
        <v>1</v>
      </c>
      <c r="D327" s="963"/>
      <c r="E327" s="53">
        <f t="shared" si="54"/>
        <v>0.03</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3">
        <f t="shared" si="61"/>
        <v>0</v>
      </c>
      <c r="S327" s="802">
        <f t="shared" si="63"/>
        <v>0</v>
      </c>
    </row>
    <row r="328" spans="1:19">
      <c r="A328" s="965"/>
      <c r="B328" s="137"/>
      <c r="C328" s="53">
        <f t="shared" si="53"/>
        <v>1</v>
      </c>
      <c r="D328" s="963"/>
      <c r="E328" s="53">
        <f t="shared" si="54"/>
        <v>0.03</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3">
        <f t="shared" si="61"/>
        <v>0</v>
      </c>
      <c r="S328" s="802">
        <f t="shared" si="63"/>
        <v>0</v>
      </c>
    </row>
    <row r="329" spans="1:19">
      <c r="A329" s="965"/>
      <c r="B329" s="137"/>
      <c r="C329" s="53">
        <f t="shared" si="53"/>
        <v>1</v>
      </c>
      <c r="D329" s="963"/>
      <c r="E329" s="53">
        <f t="shared" si="54"/>
        <v>0.03</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3">
        <f t="shared" si="61"/>
        <v>0</v>
      </c>
      <c r="S329" s="802">
        <f t="shared" si="63"/>
        <v>0</v>
      </c>
    </row>
    <row r="330" spans="1:19">
      <c r="A330" s="965"/>
      <c r="B330" s="137"/>
      <c r="C330" s="53">
        <f t="shared" si="53"/>
        <v>1</v>
      </c>
      <c r="D330" s="963"/>
      <c r="E330" s="53">
        <f t="shared" si="54"/>
        <v>0.03</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3">
        <f t="shared" si="61"/>
        <v>0</v>
      </c>
      <c r="S330" s="802">
        <f t="shared" si="63"/>
        <v>0</v>
      </c>
    </row>
    <row r="331" spans="1:19">
      <c r="A331" s="965"/>
      <c r="B331" s="137"/>
      <c r="C331" s="53">
        <f t="shared" si="53"/>
        <v>1</v>
      </c>
      <c r="D331" s="963"/>
      <c r="E331" s="53">
        <f t="shared" si="54"/>
        <v>0.03</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3">
        <f t="shared" si="61"/>
        <v>0</v>
      </c>
      <c r="S331" s="802">
        <f t="shared" si="63"/>
        <v>0</v>
      </c>
    </row>
    <row r="332" spans="1:19">
      <c r="A332" s="965"/>
      <c r="B332" s="137"/>
      <c r="C332" s="53">
        <f t="shared" si="53"/>
        <v>1</v>
      </c>
      <c r="D332" s="963"/>
      <c r="E332" s="53">
        <f t="shared" si="54"/>
        <v>0.03</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3">
        <f t="shared" si="61"/>
        <v>0</v>
      </c>
      <c r="S332" s="802">
        <f t="shared" si="63"/>
        <v>0</v>
      </c>
    </row>
    <row r="333" spans="1:19">
      <c r="A333" s="965"/>
      <c r="B333" s="137"/>
      <c r="C333" s="53">
        <f t="shared" si="53"/>
        <v>1</v>
      </c>
      <c r="D333" s="963"/>
      <c r="E333" s="53">
        <f t="shared" si="54"/>
        <v>0.03</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3">
        <f t="shared" si="61"/>
        <v>0</v>
      </c>
      <c r="S333" s="802">
        <f t="shared" si="63"/>
        <v>0</v>
      </c>
    </row>
    <row r="334" spans="1:19">
      <c r="A334" s="965"/>
      <c r="B334" s="137"/>
      <c r="C334" s="53">
        <f t="shared" si="53"/>
        <v>1</v>
      </c>
      <c r="D334" s="963"/>
      <c r="E334" s="53">
        <f t="shared" si="54"/>
        <v>0.03</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3">
        <f t="shared" si="61"/>
        <v>0</v>
      </c>
      <c r="S334" s="802">
        <f t="shared" si="63"/>
        <v>0</v>
      </c>
    </row>
    <row r="335" spans="1:19">
      <c r="A335" s="965"/>
      <c r="B335" s="137"/>
      <c r="C335" s="53">
        <f t="shared" si="53"/>
        <v>1</v>
      </c>
      <c r="D335" s="963"/>
      <c r="E335" s="53">
        <f t="shared" si="54"/>
        <v>0.03</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3">
        <f t="shared" si="61"/>
        <v>0</v>
      </c>
      <c r="S335" s="802">
        <f t="shared" si="63"/>
        <v>0</v>
      </c>
    </row>
    <row r="336" spans="1:19">
      <c r="A336" s="965"/>
      <c r="B336" s="137"/>
      <c r="C336" s="53">
        <f t="shared" si="53"/>
        <v>1</v>
      </c>
      <c r="D336" s="963"/>
      <c r="E336" s="53">
        <f t="shared" si="54"/>
        <v>0.03</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3">
        <f t="shared" si="61"/>
        <v>0</v>
      </c>
      <c r="S336" s="802">
        <f t="shared" si="63"/>
        <v>0</v>
      </c>
    </row>
    <row r="337" spans="1:19">
      <c r="A337" s="965"/>
      <c r="B337" s="137"/>
      <c r="C337" s="53">
        <f t="shared" si="53"/>
        <v>1</v>
      </c>
      <c r="D337" s="963"/>
      <c r="E337" s="53">
        <f t="shared" si="54"/>
        <v>0.03</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3">
        <f t="shared" si="61"/>
        <v>0</v>
      </c>
      <c r="S337" s="802">
        <f t="shared" si="63"/>
        <v>0</v>
      </c>
    </row>
    <row r="338" spans="1:19">
      <c r="A338" s="965"/>
      <c r="B338" s="137"/>
      <c r="C338" s="53">
        <f t="shared" si="53"/>
        <v>1</v>
      </c>
      <c r="D338" s="963"/>
      <c r="E338" s="53">
        <f t="shared" si="54"/>
        <v>0.03</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3">
        <f t="shared" si="61"/>
        <v>0</v>
      </c>
      <c r="S338" s="802">
        <f t="shared" si="63"/>
        <v>0</v>
      </c>
    </row>
    <row r="339" spans="1:19">
      <c r="A339" s="965"/>
      <c r="B339" s="137"/>
      <c r="C339" s="53">
        <f t="shared" si="53"/>
        <v>1</v>
      </c>
      <c r="D339" s="963"/>
      <c r="E339" s="53">
        <f t="shared" si="54"/>
        <v>0.03</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3">
        <f t="shared" si="61"/>
        <v>0</v>
      </c>
      <c r="S339" s="802">
        <f t="shared" si="63"/>
        <v>0</v>
      </c>
    </row>
    <row r="340" spans="1:19">
      <c r="A340" s="965"/>
      <c r="B340" s="137"/>
      <c r="C340" s="53">
        <f t="shared" si="53"/>
        <v>1</v>
      </c>
      <c r="D340" s="963"/>
      <c r="E340" s="53">
        <f t="shared" si="54"/>
        <v>0.03</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3">
        <f t="shared" si="61"/>
        <v>0</v>
      </c>
      <c r="S340" s="802">
        <f t="shared" si="63"/>
        <v>0</v>
      </c>
    </row>
    <row r="341" spans="1:19">
      <c r="A341" s="965"/>
      <c r="B341" s="137"/>
      <c r="C341" s="53">
        <f t="shared" si="53"/>
        <v>1</v>
      </c>
      <c r="D341" s="963"/>
      <c r="E341" s="53">
        <f t="shared" si="54"/>
        <v>0.03</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3">
        <f t="shared" si="61"/>
        <v>0</v>
      </c>
      <c r="S341" s="802">
        <f t="shared" si="63"/>
        <v>0</v>
      </c>
    </row>
    <row r="342" spans="1:19">
      <c r="A342" s="965"/>
      <c r="B342" s="137"/>
      <c r="C342" s="53">
        <f t="shared" si="53"/>
        <v>1</v>
      </c>
      <c r="D342" s="963"/>
      <c r="E342" s="53">
        <f t="shared" si="54"/>
        <v>0.03</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3">
        <f t="shared" si="61"/>
        <v>0</v>
      </c>
      <c r="S342" s="802">
        <f t="shared" si="63"/>
        <v>0</v>
      </c>
    </row>
    <row r="343" spans="1:19">
      <c r="A343" s="965"/>
      <c r="B343" s="137"/>
      <c r="C343" s="53">
        <f t="shared" si="53"/>
        <v>1</v>
      </c>
      <c r="D343" s="963"/>
      <c r="E343" s="53">
        <f t="shared" si="54"/>
        <v>0.03</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3">
        <f t="shared" si="61"/>
        <v>0</v>
      </c>
      <c r="S343" s="802">
        <f t="shared" si="63"/>
        <v>0</v>
      </c>
    </row>
    <row r="344" spans="1:19">
      <c r="A344" s="965"/>
      <c r="B344" s="137"/>
      <c r="C344" s="53">
        <f t="shared" si="53"/>
        <v>1</v>
      </c>
      <c r="D344" s="963"/>
      <c r="E344" s="53">
        <f t="shared" si="54"/>
        <v>0.03</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3">
        <f t="shared" si="61"/>
        <v>0</v>
      </c>
      <c r="S344" s="802">
        <f t="shared" si="63"/>
        <v>0</v>
      </c>
    </row>
    <row r="345" spans="1:19">
      <c r="A345" s="965"/>
      <c r="B345" s="137"/>
      <c r="C345" s="53">
        <f t="shared" si="53"/>
        <v>1</v>
      </c>
      <c r="D345" s="963"/>
      <c r="E345" s="53">
        <f t="shared" si="54"/>
        <v>0.03</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3">
        <f t="shared" si="61"/>
        <v>0</v>
      </c>
      <c r="S345" s="802">
        <f t="shared" si="63"/>
        <v>0</v>
      </c>
    </row>
    <row r="346" spans="1:19">
      <c r="A346" s="965"/>
      <c r="B346" s="137"/>
      <c r="C346" s="53">
        <f t="shared" ref="C346:C409" si="64">IF(B346="",1,(LOOKUP(B346,$3:$3,$4:$4)-LOOKUP($B$24,$3:$3,$4:$4)+100)/100)</f>
        <v>1</v>
      </c>
      <c r="D346" s="963"/>
      <c r="E346" s="53">
        <f t="shared" ref="E346:E409" si="65">(SUMIF($5:$5,D346,$6:$6)-SUMIF($5:$5,$D$24,$6:$6)+100)/100</f>
        <v>0.03</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3">
        <f t="shared" ref="R346:R409" si="72">IF(B346="",0,ROUND($R$24*C346*E346*G346*I346*K346*M346*O346*Q346,0))</f>
        <v>0</v>
      </c>
      <c r="S346" s="802">
        <f t="shared" si="63"/>
        <v>0</v>
      </c>
    </row>
    <row r="347" spans="1:19">
      <c r="A347" s="965"/>
      <c r="B347" s="137"/>
      <c r="C347" s="53">
        <f t="shared" si="64"/>
        <v>1</v>
      </c>
      <c r="D347" s="963"/>
      <c r="E347" s="53">
        <f t="shared" si="65"/>
        <v>0.03</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3">
        <f t="shared" si="72"/>
        <v>0</v>
      </c>
      <c r="S347" s="802">
        <f t="shared" si="63"/>
        <v>0</v>
      </c>
    </row>
    <row r="348" spans="1:19">
      <c r="A348" s="965"/>
      <c r="B348" s="137"/>
      <c r="C348" s="53">
        <f t="shared" si="64"/>
        <v>1</v>
      </c>
      <c r="D348" s="963"/>
      <c r="E348" s="53">
        <f t="shared" si="65"/>
        <v>0.03</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3">
        <f t="shared" si="72"/>
        <v>0</v>
      </c>
      <c r="S348" s="802">
        <f t="shared" si="63"/>
        <v>0</v>
      </c>
    </row>
    <row r="349" spans="1:19">
      <c r="A349" s="965"/>
      <c r="B349" s="137"/>
      <c r="C349" s="53">
        <f t="shared" si="64"/>
        <v>1</v>
      </c>
      <c r="D349" s="963"/>
      <c r="E349" s="53">
        <f t="shared" si="65"/>
        <v>0.03</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3">
        <f t="shared" si="72"/>
        <v>0</v>
      </c>
      <c r="S349" s="802">
        <f t="shared" si="63"/>
        <v>0</v>
      </c>
    </row>
    <row r="350" spans="1:19">
      <c r="A350" s="965"/>
      <c r="B350" s="137"/>
      <c r="C350" s="53">
        <f t="shared" si="64"/>
        <v>1</v>
      </c>
      <c r="D350" s="963"/>
      <c r="E350" s="53">
        <f t="shared" si="65"/>
        <v>0.03</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3">
        <f t="shared" si="72"/>
        <v>0</v>
      </c>
      <c r="S350" s="802">
        <f t="shared" si="63"/>
        <v>0</v>
      </c>
    </row>
    <row r="351" spans="1:19">
      <c r="A351" s="965"/>
      <c r="B351" s="137"/>
      <c r="C351" s="53">
        <f t="shared" si="64"/>
        <v>1</v>
      </c>
      <c r="D351" s="963"/>
      <c r="E351" s="53">
        <f t="shared" si="65"/>
        <v>0.03</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3">
        <f t="shared" si="72"/>
        <v>0</v>
      </c>
      <c r="S351" s="802">
        <f t="shared" si="63"/>
        <v>0</v>
      </c>
    </row>
    <row r="352" spans="1:19">
      <c r="A352" s="965"/>
      <c r="B352" s="137"/>
      <c r="C352" s="53">
        <f t="shared" si="64"/>
        <v>1</v>
      </c>
      <c r="D352" s="963"/>
      <c r="E352" s="53">
        <f t="shared" si="65"/>
        <v>0.03</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3">
        <f t="shared" si="72"/>
        <v>0</v>
      </c>
      <c r="S352" s="802">
        <f t="shared" si="63"/>
        <v>0</v>
      </c>
    </row>
    <row r="353" spans="1:19">
      <c r="A353" s="965"/>
      <c r="B353" s="137"/>
      <c r="C353" s="53">
        <f t="shared" si="64"/>
        <v>1</v>
      </c>
      <c r="D353" s="963"/>
      <c r="E353" s="53">
        <f t="shared" si="65"/>
        <v>0.03</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3">
        <f t="shared" si="72"/>
        <v>0</v>
      </c>
      <c r="S353" s="802">
        <f t="shared" si="63"/>
        <v>0</v>
      </c>
    </row>
    <row r="354" spans="1:19">
      <c r="A354" s="965"/>
      <c r="B354" s="137"/>
      <c r="C354" s="53">
        <f t="shared" si="64"/>
        <v>1</v>
      </c>
      <c r="D354" s="963"/>
      <c r="E354" s="53">
        <f t="shared" si="65"/>
        <v>0.03</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3">
        <f t="shared" si="72"/>
        <v>0</v>
      </c>
      <c r="S354" s="802">
        <f t="shared" si="63"/>
        <v>0</v>
      </c>
    </row>
    <row r="355" spans="1:19">
      <c r="A355" s="965"/>
      <c r="B355" s="137"/>
      <c r="C355" s="53">
        <f t="shared" si="64"/>
        <v>1</v>
      </c>
      <c r="D355" s="963"/>
      <c r="E355" s="53">
        <f t="shared" si="65"/>
        <v>0.03</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3">
        <f t="shared" si="72"/>
        <v>0</v>
      </c>
      <c r="S355" s="802">
        <f t="shared" si="63"/>
        <v>0</v>
      </c>
    </row>
    <row r="356" spans="1:19">
      <c r="A356" s="965"/>
      <c r="B356" s="137"/>
      <c r="C356" s="53">
        <f t="shared" si="64"/>
        <v>1</v>
      </c>
      <c r="D356" s="963"/>
      <c r="E356" s="53">
        <f t="shared" si="65"/>
        <v>0.03</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3">
        <f t="shared" si="72"/>
        <v>0</v>
      </c>
      <c r="S356" s="802">
        <f t="shared" si="63"/>
        <v>0</v>
      </c>
    </row>
    <row r="357" spans="1:19">
      <c r="A357" s="965"/>
      <c r="B357" s="137"/>
      <c r="C357" s="53">
        <f t="shared" si="64"/>
        <v>1</v>
      </c>
      <c r="D357" s="963"/>
      <c r="E357" s="53">
        <f t="shared" si="65"/>
        <v>0.03</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3">
        <f t="shared" si="72"/>
        <v>0</v>
      </c>
      <c r="S357" s="802">
        <f t="shared" si="63"/>
        <v>0</v>
      </c>
    </row>
    <row r="358" spans="1:19">
      <c r="A358" s="965"/>
      <c r="B358" s="137"/>
      <c r="C358" s="53">
        <f t="shared" si="64"/>
        <v>1</v>
      </c>
      <c r="D358" s="963"/>
      <c r="E358" s="53">
        <f t="shared" si="65"/>
        <v>0.03</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3">
        <f t="shared" si="72"/>
        <v>0</v>
      </c>
      <c r="S358" s="802">
        <f t="shared" si="63"/>
        <v>0</v>
      </c>
    </row>
    <row r="359" spans="1:19">
      <c r="A359" s="965"/>
      <c r="B359" s="137"/>
      <c r="C359" s="53">
        <f t="shared" si="64"/>
        <v>1</v>
      </c>
      <c r="D359" s="963"/>
      <c r="E359" s="53">
        <f t="shared" si="65"/>
        <v>0.03</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3">
        <f t="shared" si="72"/>
        <v>0</v>
      </c>
      <c r="S359" s="802">
        <f t="shared" si="63"/>
        <v>0</v>
      </c>
    </row>
    <row r="360" spans="1:19">
      <c r="A360" s="965"/>
      <c r="B360" s="137"/>
      <c r="C360" s="53">
        <f t="shared" si="64"/>
        <v>1</v>
      </c>
      <c r="D360" s="963"/>
      <c r="E360" s="53">
        <f t="shared" si="65"/>
        <v>0.03</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3">
        <f t="shared" si="72"/>
        <v>0</v>
      </c>
      <c r="S360" s="802">
        <f t="shared" si="63"/>
        <v>0</v>
      </c>
    </row>
    <row r="361" spans="1:19">
      <c r="A361" s="965"/>
      <c r="B361" s="137"/>
      <c r="C361" s="53">
        <f t="shared" si="64"/>
        <v>1</v>
      </c>
      <c r="D361" s="963"/>
      <c r="E361" s="53">
        <f t="shared" si="65"/>
        <v>0.03</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3">
        <f t="shared" si="72"/>
        <v>0</v>
      </c>
      <c r="S361" s="802">
        <f t="shared" si="63"/>
        <v>0</v>
      </c>
    </row>
    <row r="362" spans="1:19">
      <c r="A362" s="965"/>
      <c r="B362" s="137"/>
      <c r="C362" s="53">
        <f t="shared" si="64"/>
        <v>1</v>
      </c>
      <c r="D362" s="963"/>
      <c r="E362" s="53">
        <f t="shared" si="65"/>
        <v>0.03</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3">
        <f t="shared" si="72"/>
        <v>0</v>
      </c>
      <c r="S362" s="802">
        <f t="shared" si="63"/>
        <v>0</v>
      </c>
    </row>
    <row r="363" spans="1:19">
      <c r="A363" s="965"/>
      <c r="B363" s="137"/>
      <c r="C363" s="53">
        <f t="shared" si="64"/>
        <v>1</v>
      </c>
      <c r="D363" s="963"/>
      <c r="E363" s="53">
        <f t="shared" si="65"/>
        <v>0.03</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3">
        <f t="shared" si="72"/>
        <v>0</v>
      </c>
      <c r="S363" s="802">
        <f t="shared" si="63"/>
        <v>0</v>
      </c>
    </row>
    <row r="364" spans="1:19">
      <c r="A364" s="965"/>
      <c r="B364" s="137"/>
      <c r="C364" s="53">
        <f t="shared" si="64"/>
        <v>1</v>
      </c>
      <c r="D364" s="963"/>
      <c r="E364" s="53">
        <f t="shared" si="65"/>
        <v>0.03</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3">
        <f t="shared" si="72"/>
        <v>0</v>
      </c>
      <c r="S364" s="802">
        <f t="shared" si="63"/>
        <v>0</v>
      </c>
    </row>
    <row r="365" spans="1:19">
      <c r="A365" s="965"/>
      <c r="B365" s="137"/>
      <c r="C365" s="53">
        <f t="shared" si="64"/>
        <v>1</v>
      </c>
      <c r="D365" s="963"/>
      <c r="E365" s="53">
        <f t="shared" si="65"/>
        <v>0.03</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3">
        <f t="shared" si="72"/>
        <v>0</v>
      </c>
      <c r="S365" s="802">
        <f t="shared" si="63"/>
        <v>0</v>
      </c>
    </row>
    <row r="366" spans="1:19">
      <c r="A366" s="965"/>
      <c r="B366" s="137"/>
      <c r="C366" s="53">
        <f t="shared" si="64"/>
        <v>1</v>
      </c>
      <c r="D366" s="963"/>
      <c r="E366" s="53">
        <f t="shared" si="65"/>
        <v>0.03</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3">
        <f t="shared" si="72"/>
        <v>0</v>
      </c>
      <c r="S366" s="802">
        <f t="shared" si="63"/>
        <v>0</v>
      </c>
    </row>
    <row r="367" spans="1:19">
      <c r="A367" s="965"/>
      <c r="B367" s="137"/>
      <c r="C367" s="53">
        <f t="shared" si="64"/>
        <v>1</v>
      </c>
      <c r="D367" s="963"/>
      <c r="E367" s="53">
        <f t="shared" si="65"/>
        <v>0.03</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3">
        <f t="shared" si="72"/>
        <v>0</v>
      </c>
      <c r="S367" s="802">
        <f t="shared" si="63"/>
        <v>0</v>
      </c>
    </row>
    <row r="368" spans="1:19">
      <c r="A368" s="965"/>
      <c r="B368" s="137"/>
      <c r="C368" s="53">
        <f t="shared" si="64"/>
        <v>1</v>
      </c>
      <c r="D368" s="963"/>
      <c r="E368" s="53">
        <f t="shared" si="65"/>
        <v>0.03</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3">
        <f t="shared" si="72"/>
        <v>0</v>
      </c>
      <c r="S368" s="802">
        <f t="shared" si="63"/>
        <v>0</v>
      </c>
    </row>
    <row r="369" spans="1:19">
      <c r="A369" s="965"/>
      <c r="B369" s="137"/>
      <c r="C369" s="53">
        <f t="shared" si="64"/>
        <v>1</v>
      </c>
      <c r="D369" s="963"/>
      <c r="E369" s="53">
        <f t="shared" si="65"/>
        <v>0.03</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3">
        <f t="shared" si="72"/>
        <v>0</v>
      </c>
      <c r="S369" s="802">
        <f t="shared" si="63"/>
        <v>0</v>
      </c>
    </row>
    <row r="370" spans="1:19">
      <c r="A370" s="965"/>
      <c r="B370" s="137"/>
      <c r="C370" s="53">
        <f t="shared" si="64"/>
        <v>1</v>
      </c>
      <c r="D370" s="963"/>
      <c r="E370" s="53">
        <f t="shared" si="65"/>
        <v>0.03</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3">
        <f t="shared" si="72"/>
        <v>0</v>
      </c>
      <c r="S370" s="802">
        <f t="shared" si="63"/>
        <v>0</v>
      </c>
    </row>
    <row r="371" spans="1:19">
      <c r="A371" s="965"/>
      <c r="B371" s="137"/>
      <c r="C371" s="53">
        <f t="shared" si="64"/>
        <v>1</v>
      </c>
      <c r="D371" s="963"/>
      <c r="E371" s="53">
        <f t="shared" si="65"/>
        <v>0.03</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3">
        <f t="shared" si="72"/>
        <v>0</v>
      </c>
      <c r="S371" s="802">
        <f t="shared" si="63"/>
        <v>0</v>
      </c>
    </row>
    <row r="372" spans="1:19">
      <c r="A372" s="965"/>
      <c r="B372" s="137"/>
      <c r="C372" s="53">
        <f t="shared" si="64"/>
        <v>1</v>
      </c>
      <c r="D372" s="963"/>
      <c r="E372" s="53">
        <f t="shared" si="65"/>
        <v>0.03</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3">
        <f t="shared" si="72"/>
        <v>0</v>
      </c>
      <c r="S372" s="802">
        <f t="shared" si="63"/>
        <v>0</v>
      </c>
    </row>
    <row r="373" spans="1:19">
      <c r="A373" s="965"/>
      <c r="B373" s="137"/>
      <c r="C373" s="53">
        <f t="shared" si="64"/>
        <v>1</v>
      </c>
      <c r="D373" s="963"/>
      <c r="E373" s="53">
        <f t="shared" si="65"/>
        <v>0.03</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3">
        <f t="shared" si="72"/>
        <v>0</v>
      </c>
      <c r="S373" s="802">
        <f t="shared" si="63"/>
        <v>0</v>
      </c>
    </row>
    <row r="374" spans="1:19">
      <c r="A374" s="965"/>
      <c r="B374" s="137"/>
      <c r="C374" s="53">
        <f t="shared" si="64"/>
        <v>1</v>
      </c>
      <c r="D374" s="963"/>
      <c r="E374" s="53">
        <f t="shared" si="65"/>
        <v>0.03</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3">
        <f t="shared" si="72"/>
        <v>0</v>
      </c>
      <c r="S374" s="802">
        <f t="shared" si="63"/>
        <v>0</v>
      </c>
    </row>
    <row r="375" spans="1:19">
      <c r="A375" s="965"/>
      <c r="B375" s="137"/>
      <c r="C375" s="53">
        <f t="shared" si="64"/>
        <v>1</v>
      </c>
      <c r="D375" s="963"/>
      <c r="E375" s="53">
        <f t="shared" si="65"/>
        <v>0.03</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3">
        <f t="shared" si="72"/>
        <v>0</v>
      </c>
      <c r="S375" s="802">
        <f t="shared" si="63"/>
        <v>0</v>
      </c>
    </row>
    <row r="376" spans="1:19">
      <c r="A376" s="965"/>
      <c r="B376" s="137"/>
      <c r="C376" s="53">
        <f t="shared" si="64"/>
        <v>1</v>
      </c>
      <c r="D376" s="963"/>
      <c r="E376" s="53">
        <f t="shared" si="65"/>
        <v>0.03</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3">
        <f t="shared" si="72"/>
        <v>0</v>
      </c>
      <c r="S376" s="802">
        <f t="shared" si="63"/>
        <v>0</v>
      </c>
    </row>
    <row r="377" spans="1:19">
      <c r="A377" s="965"/>
      <c r="B377" s="137"/>
      <c r="C377" s="53">
        <f t="shared" si="64"/>
        <v>1</v>
      </c>
      <c r="D377" s="963"/>
      <c r="E377" s="53">
        <f t="shared" si="65"/>
        <v>0.03</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3">
        <f t="shared" si="72"/>
        <v>0</v>
      </c>
      <c r="S377" s="802">
        <f t="shared" si="63"/>
        <v>0</v>
      </c>
    </row>
    <row r="378" spans="1:19">
      <c r="A378" s="965"/>
      <c r="B378" s="137"/>
      <c r="C378" s="53">
        <f t="shared" si="64"/>
        <v>1</v>
      </c>
      <c r="D378" s="963"/>
      <c r="E378" s="53">
        <f t="shared" si="65"/>
        <v>0.03</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3">
        <f t="shared" si="72"/>
        <v>0</v>
      </c>
      <c r="S378" s="802">
        <f t="shared" si="63"/>
        <v>0</v>
      </c>
    </row>
    <row r="379" spans="1:19">
      <c r="A379" s="965"/>
      <c r="B379" s="137"/>
      <c r="C379" s="53">
        <f t="shared" si="64"/>
        <v>1</v>
      </c>
      <c r="D379" s="963"/>
      <c r="E379" s="53">
        <f t="shared" si="65"/>
        <v>0.03</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3">
        <f t="shared" si="72"/>
        <v>0</v>
      </c>
      <c r="S379" s="802">
        <f t="shared" si="63"/>
        <v>0</v>
      </c>
    </row>
    <row r="380" spans="1:19">
      <c r="A380" s="965"/>
      <c r="B380" s="137"/>
      <c r="C380" s="53">
        <f t="shared" si="64"/>
        <v>1</v>
      </c>
      <c r="D380" s="963"/>
      <c r="E380" s="53">
        <f t="shared" si="65"/>
        <v>0.03</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3">
        <f t="shared" si="72"/>
        <v>0</v>
      </c>
      <c r="S380" s="802">
        <f t="shared" si="63"/>
        <v>0</v>
      </c>
    </row>
    <row r="381" spans="1:19">
      <c r="A381" s="965"/>
      <c r="B381" s="137"/>
      <c r="C381" s="53">
        <f t="shared" si="64"/>
        <v>1</v>
      </c>
      <c r="D381" s="963"/>
      <c r="E381" s="53">
        <f t="shared" si="65"/>
        <v>0.03</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3">
        <f t="shared" si="72"/>
        <v>0</v>
      </c>
      <c r="S381" s="802">
        <f t="shared" si="63"/>
        <v>0</v>
      </c>
    </row>
    <row r="382" spans="1:19">
      <c r="A382" s="965"/>
      <c r="B382" s="137"/>
      <c r="C382" s="53">
        <f t="shared" si="64"/>
        <v>1</v>
      </c>
      <c r="D382" s="963"/>
      <c r="E382" s="53">
        <f t="shared" si="65"/>
        <v>0.03</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3">
        <f t="shared" si="72"/>
        <v>0</v>
      </c>
      <c r="S382" s="802">
        <f t="shared" si="63"/>
        <v>0</v>
      </c>
    </row>
    <row r="383" spans="1:19">
      <c r="A383" s="965"/>
      <c r="B383" s="137"/>
      <c r="C383" s="53">
        <f t="shared" si="64"/>
        <v>1</v>
      </c>
      <c r="D383" s="963"/>
      <c r="E383" s="53">
        <f t="shared" si="65"/>
        <v>0.03</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3">
        <f t="shared" si="72"/>
        <v>0</v>
      </c>
      <c r="S383" s="802">
        <f t="shared" si="63"/>
        <v>0</v>
      </c>
    </row>
    <row r="384" spans="1:19">
      <c r="A384" s="965"/>
      <c r="B384" s="137"/>
      <c r="C384" s="53">
        <f t="shared" si="64"/>
        <v>1</v>
      </c>
      <c r="D384" s="963"/>
      <c r="E384" s="53">
        <f t="shared" si="65"/>
        <v>0.03</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3">
        <f t="shared" si="72"/>
        <v>0</v>
      </c>
      <c r="S384" s="802">
        <f t="shared" si="63"/>
        <v>0</v>
      </c>
    </row>
    <row r="385" spans="1:19">
      <c r="A385" s="965"/>
      <c r="B385" s="137"/>
      <c r="C385" s="53">
        <f t="shared" si="64"/>
        <v>1</v>
      </c>
      <c r="D385" s="963"/>
      <c r="E385" s="53">
        <f t="shared" si="65"/>
        <v>0.03</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3">
        <f t="shared" si="72"/>
        <v>0</v>
      </c>
      <c r="S385" s="802">
        <f t="shared" ref="S385:S422" si="73">ROUND(R385*B385/10000,0)</f>
        <v>0</v>
      </c>
    </row>
    <row r="386" spans="1:19">
      <c r="A386" s="965"/>
      <c r="B386" s="137"/>
      <c r="C386" s="53">
        <f t="shared" si="64"/>
        <v>1</v>
      </c>
      <c r="D386" s="963"/>
      <c r="E386" s="53">
        <f t="shared" si="65"/>
        <v>0.03</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3">
        <f t="shared" si="72"/>
        <v>0</v>
      </c>
      <c r="S386" s="802">
        <f t="shared" si="73"/>
        <v>0</v>
      </c>
    </row>
    <row r="387" spans="1:19">
      <c r="A387" s="965"/>
      <c r="B387" s="137"/>
      <c r="C387" s="53">
        <f t="shared" si="64"/>
        <v>1</v>
      </c>
      <c r="D387" s="963"/>
      <c r="E387" s="53">
        <f t="shared" si="65"/>
        <v>0.03</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3">
        <f t="shared" si="72"/>
        <v>0</v>
      </c>
      <c r="S387" s="802">
        <f t="shared" si="73"/>
        <v>0</v>
      </c>
    </row>
    <row r="388" spans="1:19">
      <c r="A388" s="965"/>
      <c r="B388" s="137"/>
      <c r="C388" s="53">
        <f t="shared" si="64"/>
        <v>1</v>
      </c>
      <c r="D388" s="963"/>
      <c r="E388" s="53">
        <f t="shared" si="65"/>
        <v>0.03</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3">
        <f t="shared" si="72"/>
        <v>0</v>
      </c>
      <c r="S388" s="802">
        <f t="shared" si="73"/>
        <v>0</v>
      </c>
    </row>
    <row r="389" spans="1:19">
      <c r="A389" s="965"/>
      <c r="B389" s="137"/>
      <c r="C389" s="53">
        <f t="shared" si="64"/>
        <v>1</v>
      </c>
      <c r="D389" s="963"/>
      <c r="E389" s="53">
        <f t="shared" si="65"/>
        <v>0.03</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3">
        <f t="shared" si="72"/>
        <v>0</v>
      </c>
      <c r="S389" s="802">
        <f t="shared" si="73"/>
        <v>0</v>
      </c>
    </row>
    <row r="390" spans="1:19">
      <c r="A390" s="965"/>
      <c r="B390" s="137"/>
      <c r="C390" s="53">
        <f t="shared" si="64"/>
        <v>1</v>
      </c>
      <c r="D390" s="963"/>
      <c r="E390" s="53">
        <f t="shared" si="65"/>
        <v>0.03</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3">
        <f t="shared" si="72"/>
        <v>0</v>
      </c>
      <c r="S390" s="802">
        <f t="shared" si="73"/>
        <v>0</v>
      </c>
    </row>
    <row r="391" spans="1:19">
      <c r="A391" s="965"/>
      <c r="B391" s="137"/>
      <c r="C391" s="53">
        <f t="shared" si="64"/>
        <v>1</v>
      </c>
      <c r="D391" s="963"/>
      <c r="E391" s="53">
        <f t="shared" si="65"/>
        <v>0.03</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3">
        <f t="shared" si="72"/>
        <v>0</v>
      </c>
      <c r="S391" s="802">
        <f t="shared" si="73"/>
        <v>0</v>
      </c>
    </row>
    <row r="392" spans="1:19">
      <c r="A392" s="965"/>
      <c r="B392" s="137"/>
      <c r="C392" s="53">
        <f t="shared" si="64"/>
        <v>1</v>
      </c>
      <c r="D392" s="963"/>
      <c r="E392" s="53">
        <f t="shared" si="65"/>
        <v>0.03</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3">
        <f t="shared" si="72"/>
        <v>0</v>
      </c>
      <c r="S392" s="802">
        <f t="shared" si="73"/>
        <v>0</v>
      </c>
    </row>
    <row r="393" spans="1:19">
      <c r="A393" s="965"/>
      <c r="B393" s="137"/>
      <c r="C393" s="53">
        <f t="shared" si="64"/>
        <v>1</v>
      </c>
      <c r="D393" s="963"/>
      <c r="E393" s="53">
        <f t="shared" si="65"/>
        <v>0.03</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3">
        <f t="shared" si="72"/>
        <v>0</v>
      </c>
      <c r="S393" s="802">
        <f t="shared" si="73"/>
        <v>0</v>
      </c>
    </row>
    <row r="394" spans="1:19">
      <c r="A394" s="965"/>
      <c r="B394" s="137"/>
      <c r="C394" s="53">
        <f t="shared" si="64"/>
        <v>1</v>
      </c>
      <c r="D394" s="963"/>
      <c r="E394" s="53">
        <f t="shared" si="65"/>
        <v>0.03</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3">
        <f t="shared" si="72"/>
        <v>0</v>
      </c>
      <c r="S394" s="802">
        <f t="shared" si="73"/>
        <v>0</v>
      </c>
    </row>
    <row r="395" spans="1:19">
      <c r="A395" s="965"/>
      <c r="B395" s="137"/>
      <c r="C395" s="53">
        <f t="shared" si="64"/>
        <v>1</v>
      </c>
      <c r="D395" s="963"/>
      <c r="E395" s="53">
        <f t="shared" si="65"/>
        <v>0.03</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3">
        <f t="shared" si="72"/>
        <v>0</v>
      </c>
      <c r="S395" s="802">
        <f t="shared" si="73"/>
        <v>0</v>
      </c>
    </row>
    <row r="396" spans="1:19">
      <c r="A396" s="965"/>
      <c r="B396" s="137"/>
      <c r="C396" s="53">
        <f t="shared" si="64"/>
        <v>1</v>
      </c>
      <c r="D396" s="963"/>
      <c r="E396" s="53">
        <f t="shared" si="65"/>
        <v>0.03</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3">
        <f t="shared" si="72"/>
        <v>0</v>
      </c>
      <c r="S396" s="802">
        <f t="shared" si="73"/>
        <v>0</v>
      </c>
    </row>
    <row r="397" spans="1:19">
      <c r="A397" s="965"/>
      <c r="B397" s="137"/>
      <c r="C397" s="53">
        <f t="shared" si="64"/>
        <v>1</v>
      </c>
      <c r="D397" s="963"/>
      <c r="E397" s="53">
        <f t="shared" si="65"/>
        <v>0.03</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3">
        <f t="shared" si="72"/>
        <v>0</v>
      </c>
      <c r="S397" s="802">
        <f t="shared" si="73"/>
        <v>0</v>
      </c>
    </row>
    <row r="398" spans="1:19">
      <c r="A398" s="965"/>
      <c r="B398" s="137"/>
      <c r="C398" s="53">
        <f t="shared" si="64"/>
        <v>1</v>
      </c>
      <c r="D398" s="963"/>
      <c r="E398" s="53">
        <f t="shared" si="65"/>
        <v>0.03</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3">
        <f t="shared" si="72"/>
        <v>0</v>
      </c>
      <c r="S398" s="802">
        <f t="shared" si="73"/>
        <v>0</v>
      </c>
    </row>
    <row r="399" spans="1:19">
      <c r="A399" s="965"/>
      <c r="B399" s="137"/>
      <c r="C399" s="53">
        <f t="shared" si="64"/>
        <v>1</v>
      </c>
      <c r="D399" s="963"/>
      <c r="E399" s="53">
        <f t="shared" si="65"/>
        <v>0.03</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3">
        <f t="shared" si="72"/>
        <v>0</v>
      </c>
      <c r="S399" s="802">
        <f t="shared" si="73"/>
        <v>0</v>
      </c>
    </row>
    <row r="400" spans="1:19">
      <c r="A400" s="965"/>
      <c r="B400" s="137"/>
      <c r="C400" s="53">
        <f t="shared" si="64"/>
        <v>1</v>
      </c>
      <c r="D400" s="963"/>
      <c r="E400" s="53">
        <f t="shared" si="65"/>
        <v>0.03</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3">
        <f t="shared" si="72"/>
        <v>0</v>
      </c>
      <c r="S400" s="802">
        <f t="shared" si="73"/>
        <v>0</v>
      </c>
    </row>
    <row r="401" spans="1:19">
      <c r="A401" s="965"/>
      <c r="B401" s="137"/>
      <c r="C401" s="53">
        <f t="shared" si="64"/>
        <v>1</v>
      </c>
      <c r="D401" s="963"/>
      <c r="E401" s="53">
        <f t="shared" si="65"/>
        <v>0.03</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3">
        <f t="shared" si="72"/>
        <v>0</v>
      </c>
      <c r="S401" s="802">
        <f t="shared" si="73"/>
        <v>0</v>
      </c>
    </row>
    <row r="402" spans="1:19">
      <c r="A402" s="965"/>
      <c r="B402" s="137"/>
      <c r="C402" s="53">
        <f t="shared" si="64"/>
        <v>1</v>
      </c>
      <c r="D402" s="963"/>
      <c r="E402" s="53">
        <f t="shared" si="65"/>
        <v>0.03</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3">
        <f t="shared" si="72"/>
        <v>0</v>
      </c>
      <c r="S402" s="802">
        <f t="shared" si="73"/>
        <v>0</v>
      </c>
    </row>
    <row r="403" spans="1:19">
      <c r="A403" s="965"/>
      <c r="B403" s="137"/>
      <c r="C403" s="53">
        <f t="shared" si="64"/>
        <v>1</v>
      </c>
      <c r="D403" s="963"/>
      <c r="E403" s="53">
        <f t="shared" si="65"/>
        <v>0.03</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3">
        <f t="shared" si="72"/>
        <v>0</v>
      </c>
      <c r="S403" s="802">
        <f t="shared" si="73"/>
        <v>0</v>
      </c>
    </row>
    <row r="404" spans="1:19">
      <c r="A404" s="965"/>
      <c r="B404" s="137"/>
      <c r="C404" s="53">
        <f t="shared" si="64"/>
        <v>1</v>
      </c>
      <c r="D404" s="963"/>
      <c r="E404" s="53">
        <f t="shared" si="65"/>
        <v>0.03</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3">
        <f t="shared" si="72"/>
        <v>0</v>
      </c>
      <c r="S404" s="802">
        <f t="shared" si="73"/>
        <v>0</v>
      </c>
    </row>
    <row r="405" spans="1:19">
      <c r="A405" s="965"/>
      <c r="B405" s="137"/>
      <c r="C405" s="53">
        <f t="shared" si="64"/>
        <v>1</v>
      </c>
      <c r="D405" s="963"/>
      <c r="E405" s="53">
        <f t="shared" si="65"/>
        <v>0.03</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3">
        <f t="shared" si="72"/>
        <v>0</v>
      </c>
      <c r="S405" s="802">
        <f t="shared" si="73"/>
        <v>0</v>
      </c>
    </row>
    <row r="406" spans="1:19">
      <c r="A406" s="965"/>
      <c r="B406" s="137"/>
      <c r="C406" s="53">
        <f t="shared" si="64"/>
        <v>1</v>
      </c>
      <c r="D406" s="963"/>
      <c r="E406" s="53">
        <f t="shared" si="65"/>
        <v>0.03</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3">
        <f t="shared" si="72"/>
        <v>0</v>
      </c>
      <c r="S406" s="802">
        <f t="shared" si="73"/>
        <v>0</v>
      </c>
    </row>
    <row r="407" spans="1:19">
      <c r="A407" s="965"/>
      <c r="B407" s="137"/>
      <c r="C407" s="53">
        <f t="shared" si="64"/>
        <v>1</v>
      </c>
      <c r="D407" s="963"/>
      <c r="E407" s="53">
        <f t="shared" si="65"/>
        <v>0.03</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3">
        <f t="shared" si="72"/>
        <v>0</v>
      </c>
      <c r="S407" s="802">
        <f t="shared" si="73"/>
        <v>0</v>
      </c>
    </row>
    <row r="408" spans="1:19">
      <c r="A408" s="965"/>
      <c r="B408" s="137"/>
      <c r="C408" s="53">
        <f t="shared" si="64"/>
        <v>1</v>
      </c>
      <c r="D408" s="963"/>
      <c r="E408" s="53">
        <f t="shared" si="65"/>
        <v>0.03</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3">
        <f t="shared" si="72"/>
        <v>0</v>
      </c>
      <c r="S408" s="802">
        <f t="shared" si="73"/>
        <v>0</v>
      </c>
    </row>
    <row r="409" spans="1:19">
      <c r="A409" s="965"/>
      <c r="B409" s="137"/>
      <c r="C409" s="53">
        <f t="shared" si="64"/>
        <v>1</v>
      </c>
      <c r="D409" s="963"/>
      <c r="E409" s="53">
        <f t="shared" si="65"/>
        <v>0.03</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3">
        <f t="shared" si="72"/>
        <v>0</v>
      </c>
      <c r="S409" s="802">
        <f t="shared" si="73"/>
        <v>0</v>
      </c>
    </row>
    <row r="410" spans="1:19">
      <c r="A410" s="965"/>
      <c r="B410" s="137"/>
      <c r="C410" s="53">
        <f t="shared" ref="C410:C473" si="74">IF(B410="",1,(LOOKUP(B410,$3:$3,$4:$4)-LOOKUP($B$24,$3:$3,$4:$4)+100)/100)</f>
        <v>1</v>
      </c>
      <c r="D410" s="963"/>
      <c r="E410" s="53">
        <f t="shared" ref="E410:E473" si="75">(SUMIF($5:$5,D410,$6:$6)-SUMIF($5:$5,$D$24,$6:$6)+100)/100</f>
        <v>0.03</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3">
        <f t="shared" ref="R410:R473" si="82">IF(B410="",0,ROUND($R$24*C410*E410*G410*I410*K410*M410*O410*Q410,0))</f>
        <v>0</v>
      </c>
      <c r="S410" s="802">
        <f t="shared" si="73"/>
        <v>0</v>
      </c>
    </row>
    <row r="411" spans="1:19">
      <c r="A411" s="965"/>
      <c r="B411" s="137"/>
      <c r="C411" s="53">
        <f t="shared" si="74"/>
        <v>1</v>
      </c>
      <c r="D411" s="963"/>
      <c r="E411" s="53">
        <f t="shared" si="75"/>
        <v>0.03</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3">
        <f t="shared" si="82"/>
        <v>0</v>
      </c>
      <c r="S411" s="802">
        <f t="shared" si="73"/>
        <v>0</v>
      </c>
    </row>
    <row r="412" spans="1:19">
      <c r="A412" s="965"/>
      <c r="B412" s="137"/>
      <c r="C412" s="53">
        <f t="shared" si="74"/>
        <v>1</v>
      </c>
      <c r="D412" s="963"/>
      <c r="E412" s="53">
        <f t="shared" si="75"/>
        <v>0.03</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3">
        <f t="shared" si="82"/>
        <v>0</v>
      </c>
      <c r="S412" s="802">
        <f t="shared" si="73"/>
        <v>0</v>
      </c>
    </row>
    <row r="413" spans="1:19">
      <c r="A413" s="965"/>
      <c r="B413" s="137"/>
      <c r="C413" s="53">
        <f t="shared" si="74"/>
        <v>1</v>
      </c>
      <c r="D413" s="963"/>
      <c r="E413" s="53">
        <f t="shared" si="75"/>
        <v>0.03</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3">
        <f t="shared" si="82"/>
        <v>0</v>
      </c>
      <c r="S413" s="802">
        <f t="shared" si="73"/>
        <v>0</v>
      </c>
    </row>
    <row r="414" spans="1:19">
      <c r="A414" s="965"/>
      <c r="B414" s="137"/>
      <c r="C414" s="53">
        <f t="shared" si="74"/>
        <v>1</v>
      </c>
      <c r="D414" s="963"/>
      <c r="E414" s="53">
        <f t="shared" si="75"/>
        <v>0.03</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3">
        <f t="shared" si="82"/>
        <v>0</v>
      </c>
      <c r="S414" s="802">
        <f t="shared" si="73"/>
        <v>0</v>
      </c>
    </row>
    <row r="415" spans="1:19">
      <c r="A415" s="965"/>
      <c r="B415" s="137"/>
      <c r="C415" s="53">
        <f t="shared" si="74"/>
        <v>1</v>
      </c>
      <c r="D415" s="963"/>
      <c r="E415" s="53">
        <f t="shared" si="75"/>
        <v>0.03</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3">
        <f t="shared" si="82"/>
        <v>0</v>
      </c>
      <c r="S415" s="802">
        <f t="shared" si="73"/>
        <v>0</v>
      </c>
    </row>
    <row r="416" spans="1:19">
      <c r="A416" s="965"/>
      <c r="B416" s="137"/>
      <c r="C416" s="53">
        <f t="shared" si="74"/>
        <v>1</v>
      </c>
      <c r="D416" s="963"/>
      <c r="E416" s="53">
        <f t="shared" si="75"/>
        <v>0.03</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3">
        <f t="shared" si="82"/>
        <v>0</v>
      </c>
      <c r="S416" s="802">
        <f t="shared" si="73"/>
        <v>0</v>
      </c>
    </row>
    <row r="417" spans="1:19">
      <c r="A417" s="965"/>
      <c r="B417" s="137"/>
      <c r="C417" s="53">
        <f t="shared" si="74"/>
        <v>1</v>
      </c>
      <c r="D417" s="963"/>
      <c r="E417" s="53">
        <f t="shared" si="75"/>
        <v>0.03</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3">
        <f t="shared" si="82"/>
        <v>0</v>
      </c>
      <c r="S417" s="802">
        <f t="shared" si="73"/>
        <v>0</v>
      </c>
    </row>
    <row r="418" spans="1:19">
      <c r="A418" s="965"/>
      <c r="B418" s="137"/>
      <c r="C418" s="53">
        <f t="shared" si="74"/>
        <v>1</v>
      </c>
      <c r="D418" s="963"/>
      <c r="E418" s="53">
        <f t="shared" si="75"/>
        <v>0.03</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3">
        <f t="shared" si="82"/>
        <v>0</v>
      </c>
      <c r="S418" s="802">
        <f t="shared" si="73"/>
        <v>0</v>
      </c>
    </row>
    <row r="419" spans="1:19">
      <c r="A419" s="965"/>
      <c r="B419" s="137"/>
      <c r="C419" s="53">
        <f t="shared" si="74"/>
        <v>1</v>
      </c>
      <c r="D419" s="963"/>
      <c r="E419" s="53">
        <f t="shared" si="75"/>
        <v>0.03</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3">
        <f t="shared" si="82"/>
        <v>0</v>
      </c>
      <c r="S419" s="802">
        <f t="shared" si="73"/>
        <v>0</v>
      </c>
    </row>
    <row r="420" spans="1:19">
      <c r="A420" s="965"/>
      <c r="B420" s="137"/>
      <c r="C420" s="53">
        <f t="shared" si="74"/>
        <v>1</v>
      </c>
      <c r="D420" s="963"/>
      <c r="E420" s="53">
        <f t="shared" si="75"/>
        <v>0.03</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3">
        <f t="shared" si="82"/>
        <v>0</v>
      </c>
      <c r="S420" s="802">
        <f t="shared" si="73"/>
        <v>0</v>
      </c>
    </row>
    <row r="421" spans="1:19">
      <c r="A421" s="965"/>
      <c r="B421" s="137"/>
      <c r="C421" s="53">
        <f t="shared" si="74"/>
        <v>1</v>
      </c>
      <c r="D421" s="963"/>
      <c r="E421" s="53">
        <f t="shared" si="75"/>
        <v>0.03</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3">
        <f t="shared" si="82"/>
        <v>0</v>
      </c>
      <c r="S421" s="802">
        <f t="shared" si="73"/>
        <v>0</v>
      </c>
    </row>
    <row r="422" spans="1:19">
      <c r="A422" s="965"/>
      <c r="B422" s="137"/>
      <c r="C422" s="53">
        <f t="shared" si="74"/>
        <v>1</v>
      </c>
      <c r="D422" s="963"/>
      <c r="E422" s="53">
        <f t="shared" si="75"/>
        <v>0.03</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3">
        <f t="shared" si="82"/>
        <v>0</v>
      </c>
      <c r="S422" s="802">
        <f t="shared" si="73"/>
        <v>0</v>
      </c>
    </row>
    <row r="423" spans="1:19">
      <c r="A423" s="965"/>
      <c r="B423" s="137"/>
      <c r="C423" s="53">
        <f t="shared" si="74"/>
        <v>1</v>
      </c>
      <c r="D423" s="963"/>
      <c r="E423" s="53">
        <f t="shared" si="75"/>
        <v>0.03</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3">
        <f t="shared" si="82"/>
        <v>0</v>
      </c>
      <c r="S423" s="802">
        <f t="shared" ref="S423:S467" si="83">ROUND(R423*B423/10000,0)</f>
        <v>0</v>
      </c>
    </row>
    <row r="424" spans="1:19">
      <c r="A424" s="965"/>
      <c r="B424" s="137"/>
      <c r="C424" s="53">
        <f t="shared" si="74"/>
        <v>1</v>
      </c>
      <c r="D424" s="963"/>
      <c r="E424" s="53">
        <f t="shared" si="75"/>
        <v>0.03</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3">
        <f t="shared" si="82"/>
        <v>0</v>
      </c>
      <c r="S424" s="802">
        <f t="shared" si="83"/>
        <v>0</v>
      </c>
    </row>
    <row r="425" spans="1:19">
      <c r="A425" s="965"/>
      <c r="B425" s="137"/>
      <c r="C425" s="53">
        <f t="shared" si="74"/>
        <v>1</v>
      </c>
      <c r="D425" s="963"/>
      <c r="E425" s="53">
        <f t="shared" si="75"/>
        <v>0.03</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3">
        <f t="shared" si="82"/>
        <v>0</v>
      </c>
      <c r="S425" s="802">
        <f t="shared" si="83"/>
        <v>0</v>
      </c>
    </row>
    <row r="426" spans="1:19">
      <c r="A426" s="965"/>
      <c r="B426" s="137"/>
      <c r="C426" s="53">
        <f t="shared" si="74"/>
        <v>1</v>
      </c>
      <c r="D426" s="963"/>
      <c r="E426" s="53">
        <f t="shared" si="75"/>
        <v>0.03</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3">
        <f t="shared" si="82"/>
        <v>0</v>
      </c>
      <c r="S426" s="802">
        <f t="shared" si="83"/>
        <v>0</v>
      </c>
    </row>
    <row r="427" spans="1:19">
      <c r="A427" s="965"/>
      <c r="B427" s="137"/>
      <c r="C427" s="53">
        <f t="shared" si="74"/>
        <v>1</v>
      </c>
      <c r="D427" s="963"/>
      <c r="E427" s="53">
        <f t="shared" si="75"/>
        <v>0.03</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3">
        <f t="shared" si="82"/>
        <v>0</v>
      </c>
      <c r="S427" s="802">
        <f t="shared" si="83"/>
        <v>0</v>
      </c>
    </row>
    <row r="428" spans="1:19">
      <c r="A428" s="965"/>
      <c r="B428" s="137"/>
      <c r="C428" s="53">
        <f t="shared" si="74"/>
        <v>1</v>
      </c>
      <c r="D428" s="963"/>
      <c r="E428" s="53">
        <f t="shared" si="75"/>
        <v>0.03</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3">
        <f t="shared" si="82"/>
        <v>0</v>
      </c>
      <c r="S428" s="802">
        <f t="shared" si="83"/>
        <v>0</v>
      </c>
    </row>
    <row r="429" spans="1:19">
      <c r="A429" s="965"/>
      <c r="B429" s="137"/>
      <c r="C429" s="53">
        <f t="shared" si="74"/>
        <v>1</v>
      </c>
      <c r="D429" s="963"/>
      <c r="E429" s="53">
        <f t="shared" si="75"/>
        <v>0.03</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3">
        <f t="shared" si="82"/>
        <v>0</v>
      </c>
      <c r="S429" s="802">
        <f t="shared" si="83"/>
        <v>0</v>
      </c>
    </row>
    <row r="430" spans="1:19">
      <c r="A430" s="965"/>
      <c r="B430" s="137"/>
      <c r="C430" s="53">
        <f t="shared" si="74"/>
        <v>1</v>
      </c>
      <c r="D430" s="963"/>
      <c r="E430" s="53">
        <f t="shared" si="75"/>
        <v>0.03</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3">
        <f t="shared" si="82"/>
        <v>0</v>
      </c>
      <c r="S430" s="802">
        <f t="shared" si="83"/>
        <v>0</v>
      </c>
    </row>
    <row r="431" spans="1:19">
      <c r="A431" s="965"/>
      <c r="B431" s="137"/>
      <c r="C431" s="53">
        <f t="shared" si="74"/>
        <v>1</v>
      </c>
      <c r="D431" s="963"/>
      <c r="E431" s="53">
        <f t="shared" si="75"/>
        <v>0.03</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3">
        <f t="shared" si="82"/>
        <v>0</v>
      </c>
      <c r="S431" s="802">
        <f t="shared" si="83"/>
        <v>0</v>
      </c>
    </row>
    <row r="432" spans="1:19">
      <c r="A432" s="965"/>
      <c r="B432" s="137"/>
      <c r="C432" s="53">
        <f t="shared" si="74"/>
        <v>1</v>
      </c>
      <c r="D432" s="963"/>
      <c r="E432" s="53">
        <f t="shared" si="75"/>
        <v>0.03</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3">
        <f t="shared" si="82"/>
        <v>0</v>
      </c>
      <c r="S432" s="802">
        <f t="shared" si="83"/>
        <v>0</v>
      </c>
    </row>
    <row r="433" spans="1:19">
      <c r="A433" s="965"/>
      <c r="B433" s="137"/>
      <c r="C433" s="53">
        <f t="shared" si="74"/>
        <v>1</v>
      </c>
      <c r="D433" s="963"/>
      <c r="E433" s="53">
        <f t="shared" si="75"/>
        <v>0.03</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3">
        <f t="shared" si="82"/>
        <v>0</v>
      </c>
      <c r="S433" s="802">
        <f t="shared" si="83"/>
        <v>0</v>
      </c>
    </row>
    <row r="434" spans="1:19">
      <c r="A434" s="965"/>
      <c r="B434" s="137"/>
      <c r="C434" s="53">
        <f t="shared" si="74"/>
        <v>1</v>
      </c>
      <c r="D434" s="963"/>
      <c r="E434" s="53">
        <f t="shared" si="75"/>
        <v>0.03</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3">
        <f t="shared" si="82"/>
        <v>0</v>
      </c>
      <c r="S434" s="802">
        <f t="shared" si="83"/>
        <v>0</v>
      </c>
    </row>
    <row r="435" spans="1:19">
      <c r="A435" s="965"/>
      <c r="B435" s="137"/>
      <c r="C435" s="53">
        <f t="shared" si="74"/>
        <v>1</v>
      </c>
      <c r="D435" s="963"/>
      <c r="E435" s="53">
        <f t="shared" si="75"/>
        <v>0.03</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3">
        <f t="shared" si="82"/>
        <v>0</v>
      </c>
      <c r="S435" s="802">
        <f t="shared" si="83"/>
        <v>0</v>
      </c>
    </row>
    <row r="436" spans="1:19">
      <c r="A436" s="965"/>
      <c r="B436" s="137"/>
      <c r="C436" s="53">
        <f t="shared" si="74"/>
        <v>1</v>
      </c>
      <c r="D436" s="963"/>
      <c r="E436" s="53">
        <f t="shared" si="75"/>
        <v>0.03</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3">
        <f t="shared" si="82"/>
        <v>0</v>
      </c>
      <c r="S436" s="802">
        <f t="shared" si="83"/>
        <v>0</v>
      </c>
    </row>
    <row r="437" spans="1:19">
      <c r="A437" s="965"/>
      <c r="B437" s="137"/>
      <c r="C437" s="53">
        <f t="shared" si="74"/>
        <v>1</v>
      </c>
      <c r="D437" s="963"/>
      <c r="E437" s="53">
        <f t="shared" si="75"/>
        <v>0.03</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3">
        <f t="shared" si="82"/>
        <v>0</v>
      </c>
      <c r="S437" s="802">
        <f t="shared" si="83"/>
        <v>0</v>
      </c>
    </row>
    <row r="438" spans="1:19">
      <c r="A438" s="965"/>
      <c r="B438" s="137"/>
      <c r="C438" s="53">
        <f t="shared" si="74"/>
        <v>1</v>
      </c>
      <c r="D438" s="963"/>
      <c r="E438" s="53">
        <f t="shared" si="75"/>
        <v>0.03</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3">
        <f t="shared" si="82"/>
        <v>0</v>
      </c>
      <c r="S438" s="802">
        <f t="shared" si="83"/>
        <v>0</v>
      </c>
    </row>
    <row r="439" spans="1:19">
      <c r="A439" s="965"/>
      <c r="B439" s="137"/>
      <c r="C439" s="53">
        <f t="shared" si="74"/>
        <v>1</v>
      </c>
      <c r="D439" s="963"/>
      <c r="E439" s="53">
        <f t="shared" si="75"/>
        <v>0.03</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3">
        <f t="shared" si="82"/>
        <v>0</v>
      </c>
      <c r="S439" s="802">
        <f t="shared" si="83"/>
        <v>0</v>
      </c>
    </row>
    <row r="440" spans="1:19">
      <c r="A440" s="965"/>
      <c r="B440" s="137"/>
      <c r="C440" s="53">
        <f t="shared" si="74"/>
        <v>1</v>
      </c>
      <c r="D440" s="963"/>
      <c r="E440" s="53">
        <f t="shared" si="75"/>
        <v>0.03</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3">
        <f t="shared" si="82"/>
        <v>0</v>
      </c>
      <c r="S440" s="802">
        <f t="shared" si="83"/>
        <v>0</v>
      </c>
    </row>
    <row r="441" spans="1:19">
      <c r="A441" s="965"/>
      <c r="B441" s="137"/>
      <c r="C441" s="53">
        <f t="shared" si="74"/>
        <v>1</v>
      </c>
      <c r="D441" s="963"/>
      <c r="E441" s="53">
        <f t="shared" si="75"/>
        <v>0.03</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3">
        <f t="shared" si="82"/>
        <v>0</v>
      </c>
      <c r="S441" s="802">
        <f t="shared" si="83"/>
        <v>0</v>
      </c>
    </row>
    <row r="442" spans="1:19">
      <c r="A442" s="965"/>
      <c r="B442" s="137"/>
      <c r="C442" s="53">
        <f t="shared" si="74"/>
        <v>1</v>
      </c>
      <c r="D442" s="963"/>
      <c r="E442" s="53">
        <f t="shared" si="75"/>
        <v>0.03</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3">
        <f t="shared" si="82"/>
        <v>0</v>
      </c>
      <c r="S442" s="802">
        <f t="shared" si="83"/>
        <v>0</v>
      </c>
    </row>
    <row r="443" spans="1:19">
      <c r="A443" s="965"/>
      <c r="B443" s="137"/>
      <c r="C443" s="53">
        <f t="shared" si="74"/>
        <v>1</v>
      </c>
      <c r="D443" s="963"/>
      <c r="E443" s="53">
        <f t="shared" si="75"/>
        <v>0.03</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3">
        <f t="shared" si="82"/>
        <v>0</v>
      </c>
      <c r="S443" s="802">
        <f t="shared" si="83"/>
        <v>0</v>
      </c>
    </row>
    <row r="444" spans="1:19">
      <c r="A444" s="965"/>
      <c r="B444" s="137"/>
      <c r="C444" s="53">
        <f t="shared" si="74"/>
        <v>1</v>
      </c>
      <c r="D444" s="963"/>
      <c r="E444" s="53">
        <f t="shared" si="75"/>
        <v>0.03</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3">
        <f t="shared" si="82"/>
        <v>0</v>
      </c>
      <c r="S444" s="802">
        <f t="shared" si="83"/>
        <v>0</v>
      </c>
    </row>
    <row r="445" spans="1:19">
      <c r="A445" s="965"/>
      <c r="B445" s="137"/>
      <c r="C445" s="53">
        <f t="shared" si="74"/>
        <v>1</v>
      </c>
      <c r="D445" s="963"/>
      <c r="E445" s="53">
        <f t="shared" si="75"/>
        <v>0.03</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3">
        <f t="shared" si="82"/>
        <v>0</v>
      </c>
      <c r="S445" s="802">
        <f t="shared" si="83"/>
        <v>0</v>
      </c>
    </row>
    <row r="446" spans="1:19">
      <c r="A446" s="965"/>
      <c r="B446" s="137"/>
      <c r="C446" s="53">
        <f t="shared" si="74"/>
        <v>1</v>
      </c>
      <c r="D446" s="963"/>
      <c r="E446" s="53">
        <f t="shared" si="75"/>
        <v>0.03</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3">
        <f t="shared" si="82"/>
        <v>0</v>
      </c>
      <c r="S446" s="802">
        <f t="shared" si="83"/>
        <v>0</v>
      </c>
    </row>
    <row r="447" spans="1:19">
      <c r="A447" s="965"/>
      <c r="B447" s="137"/>
      <c r="C447" s="53">
        <f t="shared" si="74"/>
        <v>1</v>
      </c>
      <c r="D447" s="963"/>
      <c r="E447" s="53">
        <f t="shared" si="75"/>
        <v>0.03</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3">
        <f t="shared" si="82"/>
        <v>0</v>
      </c>
      <c r="S447" s="802">
        <f t="shared" si="83"/>
        <v>0</v>
      </c>
    </row>
    <row r="448" spans="1:19">
      <c r="A448" s="965"/>
      <c r="B448" s="137"/>
      <c r="C448" s="53">
        <f t="shared" si="74"/>
        <v>1</v>
      </c>
      <c r="D448" s="963"/>
      <c r="E448" s="53">
        <f t="shared" si="75"/>
        <v>0.03</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3">
        <f t="shared" si="82"/>
        <v>0</v>
      </c>
      <c r="S448" s="802">
        <f t="shared" si="83"/>
        <v>0</v>
      </c>
    </row>
    <row r="449" spans="1:19">
      <c r="A449" s="965"/>
      <c r="B449" s="137"/>
      <c r="C449" s="53">
        <f t="shared" si="74"/>
        <v>1</v>
      </c>
      <c r="D449" s="963"/>
      <c r="E449" s="53">
        <f t="shared" si="75"/>
        <v>0.03</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3">
        <f t="shared" si="82"/>
        <v>0</v>
      </c>
      <c r="S449" s="802">
        <f t="shared" si="83"/>
        <v>0</v>
      </c>
    </row>
    <row r="450" spans="1:19">
      <c r="A450" s="965"/>
      <c r="B450" s="137"/>
      <c r="C450" s="53">
        <f t="shared" si="74"/>
        <v>1</v>
      </c>
      <c r="D450" s="963"/>
      <c r="E450" s="53">
        <f t="shared" si="75"/>
        <v>0.03</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3">
        <f t="shared" si="82"/>
        <v>0</v>
      </c>
      <c r="S450" s="802">
        <f t="shared" si="83"/>
        <v>0</v>
      </c>
    </row>
    <row r="451" spans="1:19">
      <c r="A451" s="965"/>
      <c r="B451" s="137"/>
      <c r="C451" s="53">
        <f t="shared" si="74"/>
        <v>1</v>
      </c>
      <c r="D451" s="963"/>
      <c r="E451" s="53">
        <f t="shared" si="75"/>
        <v>0.03</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3">
        <f t="shared" si="82"/>
        <v>0</v>
      </c>
      <c r="S451" s="802">
        <f t="shared" si="83"/>
        <v>0</v>
      </c>
    </row>
    <row r="452" spans="1:19">
      <c r="A452" s="965"/>
      <c r="B452" s="137"/>
      <c r="C452" s="53">
        <f t="shared" si="74"/>
        <v>1</v>
      </c>
      <c r="D452" s="963"/>
      <c r="E452" s="53">
        <f t="shared" si="75"/>
        <v>0.03</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3">
        <f t="shared" si="82"/>
        <v>0</v>
      </c>
      <c r="S452" s="802">
        <f t="shared" si="83"/>
        <v>0</v>
      </c>
    </row>
    <row r="453" spans="1:19">
      <c r="A453" s="965"/>
      <c r="B453" s="137"/>
      <c r="C453" s="53">
        <f t="shared" si="74"/>
        <v>1</v>
      </c>
      <c r="D453" s="963"/>
      <c r="E453" s="53">
        <f t="shared" si="75"/>
        <v>0.03</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3">
        <f t="shared" si="82"/>
        <v>0</v>
      </c>
      <c r="S453" s="802">
        <f t="shared" si="83"/>
        <v>0</v>
      </c>
    </row>
    <row r="454" spans="1:19">
      <c r="A454" s="965"/>
      <c r="B454" s="137"/>
      <c r="C454" s="53">
        <f t="shared" si="74"/>
        <v>1</v>
      </c>
      <c r="D454" s="963"/>
      <c r="E454" s="53">
        <f t="shared" si="75"/>
        <v>0.03</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3">
        <f t="shared" si="82"/>
        <v>0</v>
      </c>
      <c r="S454" s="802">
        <f t="shared" si="83"/>
        <v>0</v>
      </c>
    </row>
    <row r="455" spans="1:19">
      <c r="A455" s="965"/>
      <c r="B455" s="137"/>
      <c r="C455" s="53">
        <f t="shared" si="74"/>
        <v>1</v>
      </c>
      <c r="D455" s="963"/>
      <c r="E455" s="53">
        <f t="shared" si="75"/>
        <v>0.03</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3">
        <f t="shared" si="82"/>
        <v>0</v>
      </c>
      <c r="S455" s="802">
        <f t="shared" si="83"/>
        <v>0</v>
      </c>
    </row>
    <row r="456" spans="1:19">
      <c r="A456" s="965"/>
      <c r="B456" s="137"/>
      <c r="C456" s="53">
        <f t="shared" si="74"/>
        <v>1</v>
      </c>
      <c r="D456" s="963"/>
      <c r="E456" s="53">
        <f t="shared" si="75"/>
        <v>0.03</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3">
        <f t="shared" si="82"/>
        <v>0</v>
      </c>
      <c r="S456" s="802">
        <f t="shared" si="83"/>
        <v>0</v>
      </c>
    </row>
    <row r="457" spans="1:19">
      <c r="A457" s="965"/>
      <c r="B457" s="137"/>
      <c r="C457" s="53">
        <f t="shared" si="74"/>
        <v>1</v>
      </c>
      <c r="D457" s="963"/>
      <c r="E457" s="53">
        <f t="shared" si="75"/>
        <v>0.03</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3">
        <f t="shared" si="82"/>
        <v>0</v>
      </c>
      <c r="S457" s="802">
        <f t="shared" si="83"/>
        <v>0</v>
      </c>
    </row>
    <row r="458" spans="1:19">
      <c r="A458" s="965"/>
      <c r="B458" s="137"/>
      <c r="C458" s="53">
        <f t="shared" si="74"/>
        <v>1</v>
      </c>
      <c r="D458" s="963"/>
      <c r="E458" s="53">
        <f t="shared" si="75"/>
        <v>0.03</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3">
        <f t="shared" si="82"/>
        <v>0</v>
      </c>
      <c r="S458" s="802">
        <f t="shared" si="83"/>
        <v>0</v>
      </c>
    </row>
    <row r="459" spans="1:19">
      <c r="A459" s="965"/>
      <c r="B459" s="137"/>
      <c r="C459" s="53">
        <f t="shared" si="74"/>
        <v>1</v>
      </c>
      <c r="D459" s="963"/>
      <c r="E459" s="53">
        <f t="shared" si="75"/>
        <v>0.03</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3">
        <f t="shared" si="82"/>
        <v>0</v>
      </c>
      <c r="S459" s="802">
        <f t="shared" si="83"/>
        <v>0</v>
      </c>
    </row>
    <row r="460" spans="1:19">
      <c r="A460" s="965"/>
      <c r="B460" s="137"/>
      <c r="C460" s="53">
        <f t="shared" si="74"/>
        <v>1</v>
      </c>
      <c r="D460" s="963"/>
      <c r="E460" s="53">
        <f t="shared" si="75"/>
        <v>0.03</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3">
        <f t="shared" si="82"/>
        <v>0</v>
      </c>
      <c r="S460" s="802">
        <f t="shared" si="83"/>
        <v>0</v>
      </c>
    </row>
    <row r="461" spans="1:19">
      <c r="A461" s="965"/>
      <c r="B461" s="137"/>
      <c r="C461" s="53">
        <f t="shared" si="74"/>
        <v>1</v>
      </c>
      <c r="D461" s="963"/>
      <c r="E461" s="53">
        <f t="shared" si="75"/>
        <v>0.03</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3">
        <f t="shared" si="82"/>
        <v>0</v>
      </c>
      <c r="S461" s="802">
        <f t="shared" si="83"/>
        <v>0</v>
      </c>
    </row>
    <row r="462" spans="1:19">
      <c r="A462" s="965"/>
      <c r="B462" s="137"/>
      <c r="C462" s="53">
        <f t="shared" si="74"/>
        <v>1</v>
      </c>
      <c r="D462" s="963"/>
      <c r="E462" s="53">
        <f t="shared" si="75"/>
        <v>0.03</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3">
        <f t="shared" si="82"/>
        <v>0</v>
      </c>
      <c r="S462" s="802">
        <f t="shared" si="83"/>
        <v>0</v>
      </c>
    </row>
    <row r="463" spans="1:19">
      <c r="A463" s="965"/>
      <c r="B463" s="137"/>
      <c r="C463" s="53">
        <f t="shared" si="74"/>
        <v>1</v>
      </c>
      <c r="D463" s="963"/>
      <c r="E463" s="53">
        <f t="shared" si="75"/>
        <v>0.03</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3">
        <f t="shared" si="82"/>
        <v>0</v>
      </c>
      <c r="S463" s="802">
        <f t="shared" si="83"/>
        <v>0</v>
      </c>
    </row>
    <row r="464" spans="1:19">
      <c r="A464" s="965"/>
      <c r="B464" s="137"/>
      <c r="C464" s="53">
        <f t="shared" si="74"/>
        <v>1</v>
      </c>
      <c r="D464" s="963"/>
      <c r="E464" s="53">
        <f t="shared" si="75"/>
        <v>0.03</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3">
        <f t="shared" si="82"/>
        <v>0</v>
      </c>
      <c r="S464" s="802">
        <f t="shared" si="83"/>
        <v>0</v>
      </c>
    </row>
    <row r="465" spans="1:19">
      <c r="A465" s="965"/>
      <c r="B465" s="137"/>
      <c r="C465" s="53">
        <f t="shared" si="74"/>
        <v>1</v>
      </c>
      <c r="D465" s="963"/>
      <c r="E465" s="53">
        <f t="shared" si="75"/>
        <v>0.03</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3">
        <f t="shared" si="82"/>
        <v>0</v>
      </c>
      <c r="S465" s="802">
        <f t="shared" si="83"/>
        <v>0</v>
      </c>
    </row>
    <row r="466" spans="1:19">
      <c r="A466" s="965"/>
      <c r="B466" s="137"/>
      <c r="C466" s="53">
        <f t="shared" si="74"/>
        <v>1</v>
      </c>
      <c r="D466" s="963"/>
      <c r="E466" s="53">
        <f t="shared" si="75"/>
        <v>0.03</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3">
        <f t="shared" si="82"/>
        <v>0</v>
      </c>
      <c r="S466" s="802">
        <f t="shared" si="83"/>
        <v>0</v>
      </c>
    </row>
    <row r="467" spans="1:19">
      <c r="A467" s="965"/>
      <c r="B467" s="137"/>
      <c r="C467" s="53">
        <f t="shared" si="74"/>
        <v>1</v>
      </c>
      <c r="D467" s="963"/>
      <c r="E467" s="53">
        <f t="shared" si="75"/>
        <v>0.03</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3">
        <f t="shared" si="82"/>
        <v>0</v>
      </c>
      <c r="S467" s="802">
        <f t="shared" si="83"/>
        <v>0</v>
      </c>
    </row>
    <row r="468" spans="1:19">
      <c r="A468" s="965"/>
      <c r="B468" s="137"/>
      <c r="C468" s="53">
        <f t="shared" si="74"/>
        <v>1</v>
      </c>
      <c r="D468" s="963"/>
      <c r="E468" s="53">
        <f t="shared" si="75"/>
        <v>0.03</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3">
        <f t="shared" si="82"/>
        <v>0</v>
      </c>
      <c r="S468" s="802">
        <f t="shared" ref="S468:S497" si="84">ROUND(R468*B468/10000,0)</f>
        <v>0</v>
      </c>
    </row>
    <row r="469" spans="1:19">
      <c r="A469" s="965"/>
      <c r="B469" s="137"/>
      <c r="C469" s="53">
        <f t="shared" si="74"/>
        <v>1</v>
      </c>
      <c r="D469" s="963"/>
      <c r="E469" s="53">
        <f t="shared" si="75"/>
        <v>0.03</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3">
        <f t="shared" si="82"/>
        <v>0</v>
      </c>
      <c r="S469" s="802">
        <f t="shared" si="84"/>
        <v>0</v>
      </c>
    </row>
    <row r="470" spans="1:19">
      <c r="A470" s="965"/>
      <c r="B470" s="137"/>
      <c r="C470" s="53">
        <f t="shared" si="74"/>
        <v>1</v>
      </c>
      <c r="D470" s="963"/>
      <c r="E470" s="53">
        <f t="shared" si="75"/>
        <v>0.03</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3">
        <f t="shared" si="82"/>
        <v>0</v>
      </c>
      <c r="S470" s="802">
        <f t="shared" si="84"/>
        <v>0</v>
      </c>
    </row>
    <row r="471" spans="1:19">
      <c r="A471" s="965"/>
      <c r="B471" s="137"/>
      <c r="C471" s="53">
        <f t="shared" si="74"/>
        <v>1</v>
      </c>
      <c r="D471" s="963"/>
      <c r="E471" s="53">
        <f t="shared" si="75"/>
        <v>0.03</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3">
        <f t="shared" si="82"/>
        <v>0</v>
      </c>
      <c r="S471" s="802">
        <f t="shared" si="84"/>
        <v>0</v>
      </c>
    </row>
    <row r="472" spans="1:19">
      <c r="A472" s="965"/>
      <c r="B472" s="137"/>
      <c r="C472" s="53">
        <f t="shared" si="74"/>
        <v>1</v>
      </c>
      <c r="D472" s="963"/>
      <c r="E472" s="53">
        <f t="shared" si="75"/>
        <v>0.03</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3">
        <f t="shared" si="82"/>
        <v>0</v>
      </c>
      <c r="S472" s="802">
        <f t="shared" si="84"/>
        <v>0</v>
      </c>
    </row>
    <row r="473" spans="1:19">
      <c r="A473" s="965"/>
      <c r="B473" s="137"/>
      <c r="C473" s="53">
        <f t="shared" si="74"/>
        <v>1</v>
      </c>
      <c r="D473" s="963"/>
      <c r="E473" s="53">
        <f t="shared" si="75"/>
        <v>0.03</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3">
        <f t="shared" si="82"/>
        <v>0</v>
      </c>
      <c r="S473" s="802">
        <f t="shared" si="84"/>
        <v>0</v>
      </c>
    </row>
    <row r="474" spans="1:19">
      <c r="A474" s="965"/>
      <c r="B474" s="137"/>
      <c r="C474" s="53">
        <f t="shared" ref="C474:C524" si="85">IF(B474="",1,(LOOKUP(B474,$3:$3,$4:$4)-LOOKUP($B$24,$3:$3,$4:$4)+100)/100)</f>
        <v>1</v>
      </c>
      <c r="D474" s="963"/>
      <c r="E474" s="53">
        <f t="shared" ref="E474:E524" si="86">(SUMIF($5:$5,D474,$6:$6)-SUMIF($5:$5,$D$24,$6:$6)+100)/100</f>
        <v>0.03</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3">
        <f t="shared" ref="R474:R524" si="93">IF(B474="",0,ROUND($R$24*C474*E474*G474*I474*K474*M474*O474*Q474,0))</f>
        <v>0</v>
      </c>
      <c r="S474" s="802">
        <f t="shared" si="84"/>
        <v>0</v>
      </c>
    </row>
    <row r="475" spans="1:19">
      <c r="A475" s="965"/>
      <c r="B475" s="137"/>
      <c r="C475" s="53">
        <f t="shared" si="85"/>
        <v>1</v>
      </c>
      <c r="D475" s="963"/>
      <c r="E475" s="53">
        <f t="shared" si="86"/>
        <v>0.03</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3">
        <f t="shared" si="93"/>
        <v>0</v>
      </c>
      <c r="S475" s="802">
        <f t="shared" si="84"/>
        <v>0</v>
      </c>
    </row>
    <row r="476" spans="1:19">
      <c r="A476" s="965"/>
      <c r="B476" s="137"/>
      <c r="C476" s="53">
        <f t="shared" si="85"/>
        <v>1</v>
      </c>
      <c r="D476" s="963"/>
      <c r="E476" s="53">
        <f t="shared" si="86"/>
        <v>0.03</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3">
        <f t="shared" si="93"/>
        <v>0</v>
      </c>
      <c r="S476" s="802">
        <f t="shared" si="84"/>
        <v>0</v>
      </c>
    </row>
    <row r="477" spans="1:19">
      <c r="A477" s="965"/>
      <c r="B477" s="137"/>
      <c r="C477" s="53">
        <f t="shared" si="85"/>
        <v>1</v>
      </c>
      <c r="D477" s="963"/>
      <c r="E477" s="53">
        <f t="shared" si="86"/>
        <v>0.03</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3">
        <f t="shared" si="93"/>
        <v>0</v>
      </c>
      <c r="S477" s="802">
        <f t="shared" si="84"/>
        <v>0</v>
      </c>
    </row>
    <row r="478" spans="1:19">
      <c r="A478" s="965"/>
      <c r="B478" s="137"/>
      <c r="C478" s="53">
        <f t="shared" si="85"/>
        <v>1</v>
      </c>
      <c r="D478" s="963"/>
      <c r="E478" s="53">
        <f t="shared" si="86"/>
        <v>0.03</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3">
        <f t="shared" si="93"/>
        <v>0</v>
      </c>
      <c r="S478" s="802">
        <f t="shared" si="84"/>
        <v>0</v>
      </c>
    </row>
    <row r="479" spans="1:19">
      <c r="A479" s="965"/>
      <c r="B479" s="137"/>
      <c r="C479" s="53">
        <f t="shared" si="85"/>
        <v>1</v>
      </c>
      <c r="D479" s="963"/>
      <c r="E479" s="53">
        <f t="shared" si="86"/>
        <v>0.03</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3">
        <f t="shared" si="93"/>
        <v>0</v>
      </c>
      <c r="S479" s="802">
        <f t="shared" si="84"/>
        <v>0</v>
      </c>
    </row>
    <row r="480" spans="1:19">
      <c r="A480" s="965"/>
      <c r="B480" s="137"/>
      <c r="C480" s="53">
        <f t="shared" si="85"/>
        <v>1</v>
      </c>
      <c r="D480" s="963"/>
      <c r="E480" s="53">
        <f t="shared" si="86"/>
        <v>0.03</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3">
        <f t="shared" si="93"/>
        <v>0</v>
      </c>
      <c r="S480" s="802">
        <f t="shared" si="84"/>
        <v>0</v>
      </c>
    </row>
    <row r="481" spans="1:19">
      <c r="A481" s="965"/>
      <c r="B481" s="137"/>
      <c r="C481" s="53">
        <f t="shared" si="85"/>
        <v>1</v>
      </c>
      <c r="D481" s="963"/>
      <c r="E481" s="53">
        <f t="shared" si="86"/>
        <v>0.03</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3">
        <f t="shared" si="93"/>
        <v>0</v>
      </c>
      <c r="S481" s="802">
        <f t="shared" si="84"/>
        <v>0</v>
      </c>
    </row>
    <row r="482" spans="1:19">
      <c r="A482" s="965"/>
      <c r="B482" s="137"/>
      <c r="C482" s="53">
        <f t="shared" si="85"/>
        <v>1</v>
      </c>
      <c r="D482" s="963"/>
      <c r="E482" s="53">
        <f t="shared" si="86"/>
        <v>0.03</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3">
        <f t="shared" si="93"/>
        <v>0</v>
      </c>
      <c r="S482" s="802">
        <f t="shared" si="84"/>
        <v>0</v>
      </c>
    </row>
    <row r="483" spans="1:19">
      <c r="A483" s="965"/>
      <c r="B483" s="137"/>
      <c r="C483" s="53">
        <f t="shared" si="85"/>
        <v>1</v>
      </c>
      <c r="D483" s="963"/>
      <c r="E483" s="53">
        <f t="shared" si="86"/>
        <v>0.03</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3">
        <f t="shared" si="93"/>
        <v>0</v>
      </c>
      <c r="S483" s="802">
        <f t="shared" si="84"/>
        <v>0</v>
      </c>
    </row>
    <row r="484" spans="1:19">
      <c r="A484" s="965"/>
      <c r="B484" s="137"/>
      <c r="C484" s="53">
        <f t="shared" si="85"/>
        <v>1</v>
      </c>
      <c r="D484" s="963"/>
      <c r="E484" s="53">
        <f t="shared" si="86"/>
        <v>0.03</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3">
        <f t="shared" si="93"/>
        <v>0</v>
      </c>
      <c r="S484" s="802">
        <f t="shared" si="84"/>
        <v>0</v>
      </c>
    </row>
    <row r="485" spans="1:19">
      <c r="A485" s="965"/>
      <c r="B485" s="137"/>
      <c r="C485" s="53">
        <f t="shared" si="85"/>
        <v>1</v>
      </c>
      <c r="D485" s="963"/>
      <c r="E485" s="53">
        <f t="shared" si="86"/>
        <v>0.03</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3">
        <f t="shared" si="93"/>
        <v>0</v>
      </c>
      <c r="S485" s="802">
        <f t="shared" si="84"/>
        <v>0</v>
      </c>
    </row>
    <row r="486" spans="1:19">
      <c r="A486" s="965"/>
      <c r="B486" s="137"/>
      <c r="C486" s="53">
        <f t="shared" si="85"/>
        <v>1</v>
      </c>
      <c r="D486" s="963"/>
      <c r="E486" s="53">
        <f t="shared" si="86"/>
        <v>0.03</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3">
        <f t="shared" si="93"/>
        <v>0</v>
      </c>
      <c r="S486" s="802">
        <f t="shared" si="84"/>
        <v>0</v>
      </c>
    </row>
    <row r="487" spans="1:19">
      <c r="A487" s="965"/>
      <c r="B487" s="137"/>
      <c r="C487" s="53">
        <f t="shared" si="85"/>
        <v>1</v>
      </c>
      <c r="D487" s="963"/>
      <c r="E487" s="53">
        <f t="shared" si="86"/>
        <v>0.03</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3">
        <f t="shared" si="93"/>
        <v>0</v>
      </c>
      <c r="S487" s="802">
        <f t="shared" si="84"/>
        <v>0</v>
      </c>
    </row>
    <row r="488" spans="1:19">
      <c r="A488" s="965"/>
      <c r="B488" s="137"/>
      <c r="C488" s="53">
        <f t="shared" si="85"/>
        <v>1</v>
      </c>
      <c r="D488" s="963"/>
      <c r="E488" s="53">
        <f t="shared" si="86"/>
        <v>0.03</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3">
        <f t="shared" si="93"/>
        <v>0</v>
      </c>
      <c r="S488" s="802">
        <f t="shared" si="84"/>
        <v>0</v>
      </c>
    </row>
    <row r="489" spans="1:19">
      <c r="A489" s="965"/>
      <c r="B489" s="137"/>
      <c r="C489" s="53">
        <f t="shared" si="85"/>
        <v>1</v>
      </c>
      <c r="D489" s="963"/>
      <c r="E489" s="53">
        <f t="shared" si="86"/>
        <v>0.03</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3">
        <f t="shared" si="93"/>
        <v>0</v>
      </c>
      <c r="S489" s="802">
        <f t="shared" si="84"/>
        <v>0</v>
      </c>
    </row>
    <row r="490" spans="1:19">
      <c r="A490" s="965"/>
      <c r="B490" s="137"/>
      <c r="C490" s="53">
        <f t="shared" si="85"/>
        <v>1</v>
      </c>
      <c r="D490" s="963"/>
      <c r="E490" s="53">
        <f t="shared" si="86"/>
        <v>0.03</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3">
        <f t="shared" si="93"/>
        <v>0</v>
      </c>
      <c r="S490" s="802">
        <f t="shared" si="84"/>
        <v>0</v>
      </c>
    </row>
    <row r="491" spans="1:19">
      <c r="A491" s="965"/>
      <c r="B491" s="137"/>
      <c r="C491" s="53">
        <f t="shared" si="85"/>
        <v>1</v>
      </c>
      <c r="D491" s="963"/>
      <c r="E491" s="53">
        <f t="shared" si="86"/>
        <v>0.03</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3">
        <f t="shared" si="93"/>
        <v>0</v>
      </c>
      <c r="S491" s="802">
        <f t="shared" si="84"/>
        <v>0</v>
      </c>
    </row>
    <row r="492" spans="1:19">
      <c r="A492" s="965"/>
      <c r="B492" s="137"/>
      <c r="C492" s="53">
        <f t="shared" si="85"/>
        <v>1</v>
      </c>
      <c r="D492" s="963"/>
      <c r="E492" s="53">
        <f t="shared" si="86"/>
        <v>0.03</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3">
        <f t="shared" si="93"/>
        <v>0</v>
      </c>
      <c r="S492" s="802">
        <f t="shared" si="84"/>
        <v>0</v>
      </c>
    </row>
    <row r="493" spans="1:19">
      <c r="A493" s="965"/>
      <c r="B493" s="137"/>
      <c r="C493" s="53">
        <f t="shared" si="85"/>
        <v>1</v>
      </c>
      <c r="D493" s="963"/>
      <c r="E493" s="53">
        <f t="shared" si="86"/>
        <v>0.03</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3">
        <f t="shared" si="93"/>
        <v>0</v>
      </c>
      <c r="S493" s="802">
        <f t="shared" si="84"/>
        <v>0</v>
      </c>
    </row>
    <row r="494" spans="1:19">
      <c r="A494" s="965"/>
      <c r="B494" s="137"/>
      <c r="C494" s="53">
        <f t="shared" si="85"/>
        <v>1</v>
      </c>
      <c r="D494" s="963"/>
      <c r="E494" s="53">
        <f t="shared" si="86"/>
        <v>0.03</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3">
        <f t="shared" si="93"/>
        <v>0</v>
      </c>
      <c r="S494" s="802">
        <f t="shared" si="84"/>
        <v>0</v>
      </c>
    </row>
    <row r="495" spans="1:19">
      <c r="A495" s="965"/>
      <c r="B495" s="137"/>
      <c r="C495" s="53">
        <f t="shared" si="85"/>
        <v>1</v>
      </c>
      <c r="D495" s="963"/>
      <c r="E495" s="53">
        <f t="shared" si="86"/>
        <v>0.03</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3">
        <f t="shared" si="93"/>
        <v>0</v>
      </c>
      <c r="S495" s="802">
        <f t="shared" si="84"/>
        <v>0</v>
      </c>
    </row>
    <row r="496" spans="1:19">
      <c r="A496" s="965"/>
      <c r="B496" s="137"/>
      <c r="C496" s="53">
        <f t="shared" si="85"/>
        <v>1</v>
      </c>
      <c r="D496" s="963"/>
      <c r="E496" s="53">
        <f t="shared" si="86"/>
        <v>0.03</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3">
        <f t="shared" si="93"/>
        <v>0</v>
      </c>
      <c r="S496" s="802">
        <f t="shared" si="84"/>
        <v>0</v>
      </c>
    </row>
    <row r="497" spans="1:19">
      <c r="A497" s="965"/>
      <c r="B497" s="137"/>
      <c r="C497" s="53">
        <f t="shared" si="85"/>
        <v>1</v>
      </c>
      <c r="D497" s="963"/>
      <c r="E497" s="53">
        <f t="shared" si="86"/>
        <v>0.03</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3">
        <f t="shared" si="93"/>
        <v>0</v>
      </c>
      <c r="S497" s="802">
        <f t="shared" si="84"/>
        <v>0</v>
      </c>
    </row>
    <row r="498" spans="1:19">
      <c r="A498" s="965"/>
      <c r="B498" s="137"/>
      <c r="C498" s="53">
        <f t="shared" si="85"/>
        <v>1</v>
      </c>
      <c r="D498" s="963"/>
      <c r="E498" s="53">
        <f t="shared" si="86"/>
        <v>0.03</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3">
        <f t="shared" si="93"/>
        <v>0</v>
      </c>
      <c r="S498" s="802">
        <f t="shared" ref="S498:S524" si="94">ROUND(R498*B498/10000,0)</f>
        <v>0</v>
      </c>
    </row>
    <row r="499" spans="1:19">
      <c r="A499" s="965"/>
      <c r="B499" s="137"/>
      <c r="C499" s="53">
        <f t="shared" si="85"/>
        <v>1</v>
      </c>
      <c r="D499" s="963"/>
      <c r="E499" s="53">
        <f t="shared" si="86"/>
        <v>0.03</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3">
        <f t="shared" si="93"/>
        <v>0</v>
      </c>
      <c r="S499" s="802">
        <f t="shared" si="94"/>
        <v>0</v>
      </c>
    </row>
    <row r="500" spans="1:19">
      <c r="A500" s="965"/>
      <c r="B500" s="137"/>
      <c r="C500" s="53">
        <f t="shared" si="85"/>
        <v>1</v>
      </c>
      <c r="D500" s="963"/>
      <c r="E500" s="53">
        <f t="shared" si="86"/>
        <v>0.03</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3">
        <f t="shared" si="93"/>
        <v>0</v>
      </c>
      <c r="S500" s="802">
        <f t="shared" si="94"/>
        <v>0</v>
      </c>
    </row>
    <row r="501" spans="1:19">
      <c r="A501" s="965"/>
      <c r="B501" s="137"/>
      <c r="C501" s="53">
        <f t="shared" si="85"/>
        <v>1</v>
      </c>
      <c r="D501" s="963"/>
      <c r="E501" s="53">
        <f t="shared" si="86"/>
        <v>0.03</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3">
        <f t="shared" si="93"/>
        <v>0</v>
      </c>
      <c r="S501" s="802">
        <f t="shared" si="94"/>
        <v>0</v>
      </c>
    </row>
    <row r="502" spans="1:19">
      <c r="A502" s="965"/>
      <c r="B502" s="137"/>
      <c r="C502" s="53">
        <f t="shared" si="85"/>
        <v>1</v>
      </c>
      <c r="D502" s="963"/>
      <c r="E502" s="53">
        <f t="shared" si="86"/>
        <v>0.03</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3">
        <f t="shared" si="93"/>
        <v>0</v>
      </c>
      <c r="S502" s="802">
        <f t="shared" si="94"/>
        <v>0</v>
      </c>
    </row>
    <row r="503" spans="1:19">
      <c r="A503" s="965"/>
      <c r="B503" s="137"/>
      <c r="C503" s="53">
        <f t="shared" si="85"/>
        <v>1</v>
      </c>
      <c r="D503" s="963"/>
      <c r="E503" s="53">
        <f t="shared" si="86"/>
        <v>0.03</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3">
        <f t="shared" si="93"/>
        <v>0</v>
      </c>
      <c r="S503" s="802">
        <f t="shared" si="94"/>
        <v>0</v>
      </c>
    </row>
    <row r="504" spans="1:19">
      <c r="A504" s="965"/>
      <c r="B504" s="137"/>
      <c r="C504" s="53">
        <f t="shared" si="85"/>
        <v>1</v>
      </c>
      <c r="D504" s="963"/>
      <c r="E504" s="53">
        <f t="shared" si="86"/>
        <v>0.03</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3">
        <f t="shared" si="93"/>
        <v>0</v>
      </c>
      <c r="S504" s="802">
        <f t="shared" si="94"/>
        <v>0</v>
      </c>
    </row>
    <row r="505" spans="1:19">
      <c r="A505" s="965"/>
      <c r="B505" s="137"/>
      <c r="C505" s="53">
        <f t="shared" si="85"/>
        <v>1</v>
      </c>
      <c r="D505" s="963"/>
      <c r="E505" s="53">
        <f t="shared" si="86"/>
        <v>0.03</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3">
        <f t="shared" si="93"/>
        <v>0</v>
      </c>
      <c r="S505" s="802">
        <f t="shared" si="94"/>
        <v>0</v>
      </c>
    </row>
    <row r="506" spans="1:19">
      <c r="A506" s="965"/>
      <c r="B506" s="137"/>
      <c r="C506" s="53">
        <f t="shared" si="85"/>
        <v>1</v>
      </c>
      <c r="D506" s="963"/>
      <c r="E506" s="53">
        <f t="shared" si="86"/>
        <v>0.03</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3">
        <f t="shared" si="93"/>
        <v>0</v>
      </c>
      <c r="S506" s="802">
        <f t="shared" si="94"/>
        <v>0</v>
      </c>
    </row>
    <row r="507" spans="1:19">
      <c r="A507" s="965"/>
      <c r="B507" s="137"/>
      <c r="C507" s="53">
        <f t="shared" si="85"/>
        <v>1</v>
      </c>
      <c r="D507" s="963"/>
      <c r="E507" s="53">
        <f t="shared" si="86"/>
        <v>0.03</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3">
        <f t="shared" si="93"/>
        <v>0</v>
      </c>
      <c r="S507" s="802">
        <f t="shared" si="94"/>
        <v>0</v>
      </c>
    </row>
    <row r="508" spans="1:19">
      <c r="A508" s="965"/>
      <c r="B508" s="137"/>
      <c r="C508" s="53">
        <f t="shared" si="85"/>
        <v>1</v>
      </c>
      <c r="D508" s="963"/>
      <c r="E508" s="53">
        <f t="shared" si="86"/>
        <v>0.03</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3">
        <f t="shared" si="93"/>
        <v>0</v>
      </c>
      <c r="S508" s="802">
        <f t="shared" si="94"/>
        <v>0</v>
      </c>
    </row>
    <row r="509" spans="1:19">
      <c r="A509" s="965"/>
      <c r="B509" s="137"/>
      <c r="C509" s="53">
        <f t="shared" si="85"/>
        <v>1</v>
      </c>
      <c r="D509" s="963"/>
      <c r="E509" s="53">
        <f t="shared" si="86"/>
        <v>0.03</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3">
        <f t="shared" si="93"/>
        <v>0</v>
      </c>
      <c r="S509" s="802">
        <f t="shared" si="94"/>
        <v>0</v>
      </c>
    </row>
    <row r="510" spans="1:19">
      <c r="A510" s="965"/>
      <c r="B510" s="137"/>
      <c r="C510" s="53">
        <f t="shared" si="85"/>
        <v>1</v>
      </c>
      <c r="D510" s="963"/>
      <c r="E510" s="53">
        <f t="shared" si="86"/>
        <v>0.03</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3">
        <f t="shared" si="93"/>
        <v>0</v>
      </c>
      <c r="S510" s="802">
        <f t="shared" si="94"/>
        <v>0</v>
      </c>
    </row>
    <row r="511" spans="1:19">
      <c r="A511" s="965"/>
      <c r="B511" s="137"/>
      <c r="C511" s="53">
        <f t="shared" si="85"/>
        <v>1</v>
      </c>
      <c r="D511" s="963"/>
      <c r="E511" s="53">
        <f t="shared" si="86"/>
        <v>0.03</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3">
        <f t="shared" si="93"/>
        <v>0</v>
      </c>
      <c r="S511" s="802">
        <f t="shared" si="94"/>
        <v>0</v>
      </c>
    </row>
    <row r="512" spans="1:19">
      <c r="A512" s="965"/>
      <c r="B512" s="137"/>
      <c r="C512" s="53">
        <f t="shared" si="85"/>
        <v>1</v>
      </c>
      <c r="D512" s="963"/>
      <c r="E512" s="53">
        <f t="shared" si="86"/>
        <v>0.03</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3">
        <f t="shared" si="93"/>
        <v>0</v>
      </c>
      <c r="S512" s="802">
        <f t="shared" si="94"/>
        <v>0</v>
      </c>
    </row>
    <row r="513" spans="1:19">
      <c r="A513" s="965"/>
      <c r="B513" s="137"/>
      <c r="C513" s="53">
        <f t="shared" si="85"/>
        <v>1</v>
      </c>
      <c r="D513" s="963"/>
      <c r="E513" s="53">
        <f t="shared" si="86"/>
        <v>0.03</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3">
        <f t="shared" si="93"/>
        <v>0</v>
      </c>
      <c r="S513" s="802">
        <f t="shared" si="94"/>
        <v>0</v>
      </c>
    </row>
    <row r="514" spans="1:19">
      <c r="A514" s="965"/>
      <c r="B514" s="137"/>
      <c r="C514" s="53">
        <f t="shared" si="85"/>
        <v>1</v>
      </c>
      <c r="D514" s="963"/>
      <c r="E514" s="53">
        <f t="shared" si="86"/>
        <v>0.03</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3">
        <f t="shared" si="93"/>
        <v>0</v>
      </c>
      <c r="S514" s="802">
        <f t="shared" si="94"/>
        <v>0</v>
      </c>
    </row>
    <row r="515" spans="1:19">
      <c r="A515" s="965"/>
      <c r="B515" s="137"/>
      <c r="C515" s="53">
        <f t="shared" si="85"/>
        <v>1</v>
      </c>
      <c r="D515" s="963"/>
      <c r="E515" s="53">
        <f t="shared" si="86"/>
        <v>0.03</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3">
        <f t="shared" si="93"/>
        <v>0</v>
      </c>
      <c r="S515" s="802">
        <f t="shared" si="94"/>
        <v>0</v>
      </c>
    </row>
    <row r="516" spans="1:19">
      <c r="A516" s="965"/>
      <c r="B516" s="137"/>
      <c r="C516" s="53">
        <f t="shared" si="85"/>
        <v>1</v>
      </c>
      <c r="D516" s="963"/>
      <c r="E516" s="53">
        <f t="shared" si="86"/>
        <v>0.03</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3">
        <f t="shared" si="93"/>
        <v>0</v>
      </c>
      <c r="S516" s="802">
        <f t="shared" si="94"/>
        <v>0</v>
      </c>
    </row>
    <row r="517" spans="1:19">
      <c r="A517" s="965"/>
      <c r="B517" s="137"/>
      <c r="C517" s="53">
        <f t="shared" si="85"/>
        <v>1</v>
      </c>
      <c r="D517" s="963"/>
      <c r="E517" s="53">
        <f t="shared" si="86"/>
        <v>0.03</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3">
        <f t="shared" si="93"/>
        <v>0</v>
      </c>
      <c r="S517" s="802">
        <f t="shared" si="94"/>
        <v>0</v>
      </c>
    </row>
    <row r="518" spans="1:19">
      <c r="A518" s="965"/>
      <c r="B518" s="137"/>
      <c r="C518" s="53">
        <f t="shared" si="85"/>
        <v>1</v>
      </c>
      <c r="D518" s="963"/>
      <c r="E518" s="53">
        <f t="shared" si="86"/>
        <v>0.03</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3">
        <f t="shared" si="93"/>
        <v>0</v>
      </c>
      <c r="S518" s="802">
        <f t="shared" si="94"/>
        <v>0</v>
      </c>
    </row>
    <row r="519" spans="1:19">
      <c r="A519" s="965"/>
      <c r="B519" s="137"/>
      <c r="C519" s="53">
        <f t="shared" si="85"/>
        <v>1</v>
      </c>
      <c r="D519" s="963"/>
      <c r="E519" s="53">
        <f t="shared" si="86"/>
        <v>0.03</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3">
        <f t="shared" si="93"/>
        <v>0</v>
      </c>
      <c r="S519" s="802">
        <f t="shared" si="94"/>
        <v>0</v>
      </c>
    </row>
    <row r="520" spans="1:19">
      <c r="A520" s="965"/>
      <c r="B520" s="137"/>
      <c r="C520" s="53">
        <f t="shared" si="85"/>
        <v>1</v>
      </c>
      <c r="D520" s="963"/>
      <c r="E520" s="53">
        <f t="shared" si="86"/>
        <v>0.03</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3">
        <f t="shared" si="93"/>
        <v>0</v>
      </c>
      <c r="S520" s="802">
        <f t="shared" si="94"/>
        <v>0</v>
      </c>
    </row>
    <row r="521" spans="1:19">
      <c r="A521" s="965"/>
      <c r="B521" s="137"/>
      <c r="C521" s="53">
        <f t="shared" si="85"/>
        <v>1</v>
      </c>
      <c r="D521" s="963"/>
      <c r="E521" s="53">
        <f t="shared" si="86"/>
        <v>0.03</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3">
        <f t="shared" si="93"/>
        <v>0</v>
      </c>
      <c r="S521" s="802">
        <f t="shared" si="94"/>
        <v>0</v>
      </c>
    </row>
    <row r="522" spans="1:19">
      <c r="A522" s="965"/>
      <c r="B522" s="137"/>
      <c r="C522" s="53">
        <f t="shared" si="85"/>
        <v>1</v>
      </c>
      <c r="D522" s="963"/>
      <c r="E522" s="53">
        <f t="shared" si="86"/>
        <v>0.03</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3">
        <f t="shared" si="93"/>
        <v>0</v>
      </c>
      <c r="S522" s="802">
        <f t="shared" si="94"/>
        <v>0</v>
      </c>
    </row>
    <row r="523" spans="1:19">
      <c r="A523" s="965"/>
      <c r="B523" s="137"/>
      <c r="C523" s="53">
        <f t="shared" si="85"/>
        <v>1</v>
      </c>
      <c r="D523" s="963"/>
      <c r="E523" s="53">
        <f t="shared" si="86"/>
        <v>0.03</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3">
        <f t="shared" si="93"/>
        <v>0</v>
      </c>
      <c r="S523" s="802">
        <f t="shared" si="94"/>
        <v>0</v>
      </c>
    </row>
    <row r="524" spans="1:19">
      <c r="A524" s="965"/>
      <c r="B524" s="137"/>
      <c r="C524" s="53">
        <f t="shared" si="85"/>
        <v>1</v>
      </c>
      <c r="D524" s="963"/>
      <c r="E524" s="53">
        <f t="shared" si="86"/>
        <v>0.03</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42915</v>
      </c>
      <c r="H1" s="2973">
        <f>IF(C1&gt;C13,0,MATCH(C1,C$13:C$100,-1))+IF(SUMIF(C13:C100,C1,D13:D100)=0,13,12)</f>
        <v>13</v>
      </c>
      <c r="I1" s="2973">
        <f ca="1">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3</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D4" sqref="D4"/>
    </sheetView>
  </sheetViews>
  <sheetFormatPr defaultRowHeight="13.5"/>
  <cols>
    <col min="3" max="3" width="16.125" bestFit="1" customWidth="1"/>
    <col min="4" max="4" width="10.5" bestFit="1" customWidth="1"/>
    <col min="6" max="6" width="51" bestFit="1" customWidth="1"/>
    <col min="8" max="8" width="13" bestFit="1" customWidth="1"/>
  </cols>
  <sheetData>
    <row r="1" spans="1:14">
      <c r="A1" s="3544" t="s">
        <v>3150</v>
      </c>
      <c r="B1" s="3545"/>
      <c r="C1" s="3545"/>
      <c r="D1" s="3545"/>
      <c r="E1" s="3545"/>
      <c r="F1" s="3546"/>
      <c r="G1" s="3207"/>
      <c r="H1" s="3208"/>
      <c r="I1" s="3208"/>
      <c r="J1" s="3208"/>
      <c r="K1" s="3208"/>
      <c r="L1" s="3208"/>
      <c r="M1" s="3208"/>
      <c r="N1" s="3208"/>
    </row>
    <row r="2" spans="1:14">
      <c r="A2" s="3547" t="s">
        <v>3134</v>
      </c>
      <c r="B2" s="3548"/>
      <c r="C2" s="3548"/>
      <c r="D2" s="3171" t="s">
        <v>3135</v>
      </c>
      <c r="E2" s="3172" t="s">
        <v>3136</v>
      </c>
      <c r="F2" s="3173" t="s">
        <v>3137</v>
      </c>
      <c r="G2" s="3208"/>
      <c r="H2" s="3208"/>
      <c r="I2" s="3208"/>
      <c r="J2" s="3208"/>
      <c r="K2" s="3208"/>
      <c r="L2" s="3208"/>
      <c r="M2" s="3208"/>
      <c r="N2" s="3209">
        <f>D4-D35</f>
        <v>134410.87744000001</v>
      </c>
    </row>
    <row r="3" spans="1:14">
      <c r="A3" s="3549" t="s">
        <v>3138</v>
      </c>
      <c r="B3" s="3548"/>
      <c r="C3" s="3548"/>
      <c r="D3" s="3174">
        <v>47552.63</v>
      </c>
      <c r="E3" s="3175" t="s">
        <v>3139</v>
      </c>
      <c r="F3" s="3176"/>
      <c r="G3" s="3208"/>
      <c r="H3" s="3208"/>
      <c r="I3" s="3208"/>
      <c r="J3" s="3208"/>
      <c r="K3" s="3208"/>
      <c r="L3" s="3208"/>
      <c r="M3" s="3208"/>
      <c r="N3" s="3208"/>
    </row>
    <row r="4" spans="1:14">
      <c r="A4" s="3549" t="s">
        <v>3140</v>
      </c>
      <c r="B4" s="3548"/>
      <c r="C4" s="3548"/>
      <c r="D4" s="3177">
        <f>D5+D22</f>
        <v>154560.87744000001</v>
      </c>
      <c r="E4" s="3175" t="s">
        <v>3139</v>
      </c>
      <c r="F4" s="3176"/>
      <c r="G4" s="3208"/>
      <c r="H4" s="3208"/>
      <c r="I4" s="3208"/>
      <c r="J4" s="3208"/>
      <c r="K4" s="3208"/>
      <c r="L4" s="3208"/>
      <c r="M4" s="3208"/>
      <c r="N4" s="3208"/>
    </row>
    <row r="5" spans="1:14">
      <c r="A5" s="3549" t="s">
        <v>3151</v>
      </c>
      <c r="B5" s="3548"/>
      <c r="C5" s="3548"/>
      <c r="D5" s="3177">
        <f>SUM(D6,D7,D8,D13)</f>
        <v>115077.36</v>
      </c>
      <c r="E5" s="3175" t="s">
        <v>3139</v>
      </c>
      <c r="F5" s="3176"/>
      <c r="G5" s="3208"/>
      <c r="H5" s="3208"/>
      <c r="I5" s="3208"/>
      <c r="J5" s="3208"/>
      <c r="K5" s="3208"/>
      <c r="L5" s="3208"/>
      <c r="M5" s="3208"/>
      <c r="N5" s="3208"/>
    </row>
    <row r="6" spans="1:14" ht="13.5" customHeight="1">
      <c r="A6" s="3550" t="s">
        <v>3152</v>
      </c>
      <c r="B6" s="3551" t="s">
        <v>3153</v>
      </c>
      <c r="C6" s="3551"/>
      <c r="D6" s="3177">
        <v>79200</v>
      </c>
      <c r="E6" s="3175" t="s">
        <v>3139</v>
      </c>
      <c r="F6" s="3178" t="s">
        <v>3154</v>
      </c>
      <c r="G6" s="3208"/>
      <c r="H6" s="3208"/>
      <c r="I6" s="3208"/>
      <c r="J6" s="3208"/>
      <c r="K6" s="3208"/>
      <c r="L6" s="3208"/>
      <c r="M6" s="3208"/>
      <c r="N6" s="3208"/>
    </row>
    <row r="7" spans="1:14">
      <c r="A7" s="3550"/>
      <c r="B7" s="3552" t="s">
        <v>3155</v>
      </c>
      <c r="C7" s="3552"/>
      <c r="D7" s="3177">
        <v>6477.36</v>
      </c>
      <c r="E7" s="3175" t="s">
        <v>3139</v>
      </c>
      <c r="F7" s="3179" t="s">
        <v>3156</v>
      </c>
      <c r="G7" s="3209"/>
      <c r="H7" s="3208"/>
      <c r="I7" s="3208"/>
      <c r="J7" s="3208"/>
      <c r="K7" s="3208"/>
      <c r="L7" s="3208"/>
      <c r="M7" s="3208"/>
      <c r="N7" s="3208"/>
    </row>
    <row r="8" spans="1:14">
      <c r="A8" s="3550"/>
      <c r="B8" s="3552" t="s">
        <v>3157</v>
      </c>
      <c r="C8" s="3552"/>
      <c r="D8" s="3177">
        <f>SUM(D9:D12)</f>
        <v>24200</v>
      </c>
      <c r="E8" s="3175" t="s">
        <v>3139</v>
      </c>
      <c r="F8" s="3179"/>
      <c r="G8" s="3209"/>
      <c r="H8" s="3208"/>
      <c r="I8" s="3208"/>
      <c r="J8" s="3208"/>
      <c r="K8" s="3208"/>
      <c r="L8" s="3208"/>
      <c r="M8" s="3208"/>
      <c r="N8" s="3208"/>
    </row>
    <row r="9" spans="1:14">
      <c r="A9" s="3550"/>
      <c r="B9" s="3553" t="s">
        <v>3158</v>
      </c>
      <c r="C9" s="3180" t="s">
        <v>3159</v>
      </c>
      <c r="D9" s="3177">
        <f>13000</f>
        <v>13000</v>
      </c>
      <c r="E9" s="3175" t="s">
        <v>3139</v>
      </c>
      <c r="F9" s="3178"/>
      <c r="G9" s="3210">
        <f>SUM(H9:M9)</f>
        <v>12996.9</v>
      </c>
      <c r="H9" s="3208">
        <v>1955.6</v>
      </c>
      <c r="I9" s="3208">
        <v>2543.3000000000002</v>
      </c>
      <c r="J9" s="3208">
        <v>3672</v>
      </c>
      <c r="K9" s="3208">
        <v>2491</v>
      </c>
      <c r="L9" s="3208">
        <v>2335</v>
      </c>
      <c r="M9" s="3208"/>
      <c r="N9" s="3209">
        <f>D26+D27-D35</f>
        <v>14833.517440000003</v>
      </c>
    </row>
    <row r="10" spans="1:14">
      <c r="A10" s="3550"/>
      <c r="B10" s="3554"/>
      <c r="C10" s="3180" t="s">
        <v>3160</v>
      </c>
      <c r="D10" s="3177">
        <f>7200-500</f>
        <v>6700</v>
      </c>
      <c r="E10" s="3175" t="s">
        <v>3139</v>
      </c>
      <c r="F10" s="3178"/>
      <c r="G10" s="3210">
        <f>SUM(H10:M10)</f>
        <v>6355.2</v>
      </c>
      <c r="H10" s="3208">
        <v>1591</v>
      </c>
      <c r="I10" s="3208">
        <v>1596</v>
      </c>
      <c r="J10" s="3208">
        <v>1614</v>
      </c>
      <c r="K10" s="3208">
        <v>522.70000000000005</v>
      </c>
      <c r="L10" s="3208">
        <v>1031.5</v>
      </c>
      <c r="M10" s="3208"/>
      <c r="N10" s="3208"/>
    </row>
    <row r="11" spans="1:14">
      <c r="A11" s="3550"/>
      <c r="B11" s="3554"/>
      <c r="C11" s="3180" t="s">
        <v>3161</v>
      </c>
      <c r="D11" s="3177">
        <v>4000</v>
      </c>
      <c r="E11" s="3175" t="s">
        <v>3139</v>
      </c>
      <c r="F11" s="3178"/>
      <c r="G11" s="3211"/>
      <c r="H11" s="3208"/>
      <c r="I11" s="3208"/>
      <c r="J11" s="3208"/>
      <c r="K11" s="3208"/>
      <c r="L11" s="3208"/>
      <c r="M11" s="3208"/>
      <c r="N11" s="3208"/>
    </row>
    <row r="12" spans="1:14">
      <c r="A12" s="3550"/>
      <c r="B12" s="3555"/>
      <c r="C12" s="3180" t="s">
        <v>3162</v>
      </c>
      <c r="D12" s="3177">
        <v>500</v>
      </c>
      <c r="E12" s="3175" t="s">
        <v>3163</v>
      </c>
      <c r="F12" s="3178" t="s">
        <v>3164</v>
      </c>
      <c r="G12" s="3211"/>
      <c r="H12" s="3208"/>
      <c r="I12" s="3208"/>
      <c r="J12" s="3208"/>
      <c r="K12" s="3208"/>
      <c r="L12" s="3208"/>
      <c r="M12" s="3208"/>
      <c r="N12" s="3208"/>
    </row>
    <row r="13" spans="1:14">
      <c r="A13" s="3550"/>
      <c r="B13" s="3556" t="s">
        <v>3165</v>
      </c>
      <c r="C13" s="3556"/>
      <c r="D13" s="3177">
        <f>SUM(D14:D21)</f>
        <v>5200</v>
      </c>
      <c r="E13" s="3175" t="s">
        <v>3139</v>
      </c>
      <c r="F13" s="3178"/>
      <c r="G13" s="3211"/>
      <c r="H13" s="3208"/>
      <c r="I13" s="3208"/>
      <c r="J13" s="3208"/>
      <c r="K13" s="3208"/>
      <c r="L13" s="3208"/>
      <c r="M13" s="3208"/>
      <c r="N13" s="3208"/>
    </row>
    <row r="14" spans="1:14">
      <c r="A14" s="3550"/>
      <c r="B14" s="3557" t="s">
        <v>3158</v>
      </c>
      <c r="C14" s="3180" t="s">
        <v>3166</v>
      </c>
      <c r="D14" s="3177">
        <v>3900</v>
      </c>
      <c r="E14" s="3175" t="s">
        <v>3139</v>
      </c>
      <c r="F14" s="3178" t="s">
        <v>3167</v>
      </c>
      <c r="G14" s="3211"/>
      <c r="H14" s="3208"/>
      <c r="I14" s="3208"/>
      <c r="J14" s="3208"/>
      <c r="K14" s="3208"/>
      <c r="L14" s="3208"/>
      <c r="M14" s="3208"/>
      <c r="N14" s="3208"/>
    </row>
    <row r="15" spans="1:14">
      <c r="A15" s="3550"/>
      <c r="B15" s="3557"/>
      <c r="C15" s="3180" t="s">
        <v>3141</v>
      </c>
      <c r="D15" s="3177">
        <v>50</v>
      </c>
      <c r="E15" s="3175" t="s">
        <v>3139</v>
      </c>
      <c r="F15" s="3178" t="s">
        <v>3168</v>
      </c>
      <c r="G15" s="3211"/>
      <c r="H15" s="3209">
        <f>SUM(D6,D7,D8,D24,D14)</f>
        <v>118277.36</v>
      </c>
      <c r="I15" s="3208"/>
      <c r="J15" s="3207"/>
      <c r="K15" s="3208"/>
      <c r="L15" s="3208"/>
      <c r="M15" s="3208"/>
      <c r="N15" s="3208"/>
    </row>
    <row r="16" spans="1:14">
      <c r="A16" s="3550"/>
      <c r="B16" s="3557"/>
      <c r="C16" s="3180" t="s">
        <v>3142</v>
      </c>
      <c r="D16" s="3177">
        <v>100</v>
      </c>
      <c r="E16" s="3175" t="s">
        <v>3139</v>
      </c>
      <c r="F16" s="3178" t="s">
        <v>3169</v>
      </c>
      <c r="G16" s="3211"/>
      <c r="H16" s="3208"/>
      <c r="I16" s="3208"/>
      <c r="J16" s="3208"/>
      <c r="K16" s="3208"/>
      <c r="L16" s="3208"/>
      <c r="M16" s="3208"/>
      <c r="N16" s="3208"/>
    </row>
    <row r="17" spans="1:14">
      <c r="A17" s="3550"/>
      <c r="B17" s="3557"/>
      <c r="C17" s="3180" t="s">
        <v>3143</v>
      </c>
      <c r="D17" s="3177">
        <v>200</v>
      </c>
      <c r="E17" s="3175" t="s">
        <v>3139</v>
      </c>
      <c r="F17" s="3178" t="s">
        <v>3169</v>
      </c>
      <c r="G17" s="3209"/>
      <c r="H17" s="3208"/>
      <c r="I17" s="3208"/>
      <c r="J17" s="3208"/>
      <c r="K17" s="3208"/>
      <c r="L17" s="3208"/>
      <c r="M17" s="3208"/>
      <c r="N17" s="3208"/>
    </row>
    <row r="18" spans="1:14">
      <c r="A18" s="3550"/>
      <c r="B18" s="3557"/>
      <c r="C18" s="3180" t="s">
        <v>3144</v>
      </c>
      <c r="D18" s="3177">
        <v>500</v>
      </c>
      <c r="E18" s="3175" t="s">
        <v>3139</v>
      </c>
      <c r="F18" s="3178" t="s">
        <v>3170</v>
      </c>
      <c r="G18" s="3211"/>
      <c r="H18" s="3209">
        <f>D9+D11+D13-2600+D12</f>
        <v>20100</v>
      </c>
      <c r="I18" s="3208"/>
      <c r="J18" s="3208"/>
      <c r="K18" s="3208"/>
      <c r="L18" s="3208"/>
      <c r="M18" s="3208"/>
      <c r="N18" s="3208"/>
    </row>
    <row r="19" spans="1:14">
      <c r="A19" s="3550"/>
      <c r="B19" s="3557"/>
      <c r="C19" s="3180" t="s">
        <v>3145</v>
      </c>
      <c r="D19" s="3177">
        <v>300</v>
      </c>
      <c r="E19" s="3175" t="s">
        <v>3139</v>
      </c>
      <c r="F19" s="3178" t="s">
        <v>3169</v>
      </c>
      <c r="G19" s="3211"/>
      <c r="H19" s="3208"/>
      <c r="I19" s="3208"/>
      <c r="J19" s="3208"/>
      <c r="K19" s="3208"/>
      <c r="L19" s="3208"/>
      <c r="M19" s="3208"/>
      <c r="N19" s="3208"/>
    </row>
    <row r="20" spans="1:14">
      <c r="A20" s="3550"/>
      <c r="B20" s="3557"/>
      <c r="C20" s="3181" t="s">
        <v>3146</v>
      </c>
      <c r="D20" s="3177">
        <v>100</v>
      </c>
      <c r="E20" s="3175" t="s">
        <v>3139</v>
      </c>
      <c r="F20" s="3182" t="s">
        <v>3169</v>
      </c>
      <c r="G20" s="3211"/>
      <c r="H20" s="3208"/>
      <c r="I20" s="3208"/>
      <c r="J20" s="3208"/>
      <c r="K20" s="3208"/>
      <c r="L20" s="3208"/>
      <c r="M20" s="3208"/>
      <c r="N20" s="3208"/>
    </row>
    <row r="21" spans="1:14">
      <c r="A21" s="3550"/>
      <c r="B21" s="3557"/>
      <c r="C21" s="3182" t="s">
        <v>3147</v>
      </c>
      <c r="D21" s="3183">
        <v>50</v>
      </c>
      <c r="E21" s="3175" t="s">
        <v>3139</v>
      </c>
      <c r="F21" s="3184"/>
      <c r="G21" s="3212"/>
      <c r="H21" s="3208"/>
      <c r="I21" s="3208"/>
      <c r="J21" s="3208"/>
      <c r="K21" s="3208"/>
      <c r="L21" s="3208"/>
      <c r="M21" s="3208"/>
      <c r="N21" s="3208"/>
    </row>
    <row r="22" spans="1:14">
      <c r="A22" s="3185"/>
      <c r="B22" s="3558" t="s">
        <v>3171</v>
      </c>
      <c r="C22" s="3558"/>
      <c r="D22" s="3177">
        <f>D23+D24</f>
        <v>39483.517440000003</v>
      </c>
      <c r="E22" s="3175" t="s">
        <v>3139</v>
      </c>
      <c r="F22" s="3186"/>
      <c r="G22" s="3213"/>
      <c r="H22" s="3208"/>
      <c r="I22" s="3208"/>
      <c r="J22" s="3208"/>
      <c r="K22" s="3208"/>
      <c r="L22" s="3208"/>
      <c r="M22" s="3208"/>
      <c r="N22" s="3208"/>
    </row>
    <row r="23" spans="1:14">
      <c r="A23" s="3185"/>
      <c r="B23" s="3558" t="s">
        <v>3158</v>
      </c>
      <c r="C23" s="3185" t="s">
        <v>3172</v>
      </c>
      <c r="D23" s="3177">
        <f>D25*38</f>
        <v>34983.517440000003</v>
      </c>
      <c r="E23" s="3175" t="s">
        <v>3139</v>
      </c>
      <c r="F23" s="3187" t="s">
        <v>3173</v>
      </c>
      <c r="G23" s="3213"/>
      <c r="H23" s="3208"/>
      <c r="I23" s="3208"/>
      <c r="J23" s="3208"/>
      <c r="K23" s="3208"/>
      <c r="L23" s="3208"/>
      <c r="M23" s="3208"/>
      <c r="N23" s="3208"/>
    </row>
    <row r="24" spans="1:14">
      <c r="A24" s="3185"/>
      <c r="B24" s="3558"/>
      <c r="C24" s="3185" t="s">
        <v>3162</v>
      </c>
      <c r="D24" s="3177">
        <v>4500</v>
      </c>
      <c r="E24" s="3175" t="s">
        <v>3139</v>
      </c>
      <c r="F24" s="3187"/>
      <c r="G24" s="3213"/>
      <c r="H24" s="3208"/>
      <c r="I24" s="3208"/>
      <c r="J24" s="3208"/>
      <c r="K24" s="3208"/>
      <c r="L24" s="3208"/>
      <c r="M24" s="3208"/>
      <c r="N24" s="3208"/>
    </row>
    <row r="25" spans="1:14" ht="25.5" customHeight="1">
      <c r="A25" s="3185"/>
      <c r="B25" s="3185"/>
      <c r="C25" s="3185" t="s">
        <v>3174</v>
      </c>
      <c r="D25" s="3177">
        <f>D5*0.8/100</f>
        <v>920.6188800000001</v>
      </c>
      <c r="E25" s="3175" t="s">
        <v>3175</v>
      </c>
      <c r="F25" s="3188" t="s">
        <v>3176</v>
      </c>
      <c r="G25" s="3213"/>
      <c r="H25" s="3207" t="s">
        <v>3177</v>
      </c>
      <c r="I25" s="3208">
        <f>D29</f>
        <v>20150</v>
      </c>
      <c r="J25" s="3208"/>
      <c r="K25" s="3208"/>
      <c r="L25" s="3208"/>
      <c r="M25" s="3208"/>
      <c r="N25" s="3208"/>
    </row>
    <row r="26" spans="1:14">
      <c r="A26" s="3185"/>
      <c r="B26" s="3558" t="s">
        <v>3158</v>
      </c>
      <c r="C26" s="3185" t="s">
        <v>3178</v>
      </c>
      <c r="D26" s="3177">
        <v>6000</v>
      </c>
      <c r="E26" s="3175" t="s">
        <v>3163</v>
      </c>
      <c r="F26" s="3189">
        <f>D26/G26</f>
        <v>171.42857142857142</v>
      </c>
      <c r="G26" s="3214">
        <v>35</v>
      </c>
      <c r="H26" s="3208"/>
      <c r="I26" s="3208"/>
      <c r="J26" s="3208"/>
      <c r="K26" s="3208"/>
      <c r="L26" s="3208"/>
      <c r="M26" s="3208"/>
      <c r="N26" s="3208"/>
    </row>
    <row r="27" spans="1:14">
      <c r="A27" s="3185"/>
      <c r="B27" s="3558"/>
      <c r="C27" s="3185" t="s">
        <v>3179</v>
      </c>
      <c r="D27" s="3177">
        <f>D23-D26</f>
        <v>28983.517440000003</v>
      </c>
      <c r="E27" s="3175" t="s">
        <v>3163</v>
      </c>
      <c r="F27" s="3190">
        <f>D25-F26</f>
        <v>749.19030857142866</v>
      </c>
      <c r="G27" s="3215">
        <f>D27/(D25-F26)</f>
        <v>38.686455375092031</v>
      </c>
      <c r="H27" s="3208"/>
      <c r="I27" s="3208"/>
      <c r="J27" s="3208"/>
      <c r="K27" s="3208"/>
      <c r="L27" s="3208"/>
      <c r="M27" s="3208"/>
      <c r="N27" s="3208"/>
    </row>
    <row r="28" spans="1:14">
      <c r="A28" s="3541" t="s">
        <v>3180</v>
      </c>
      <c r="B28" s="3542"/>
      <c r="C28" s="3543"/>
      <c r="D28" s="3177">
        <f>D5/D3</f>
        <v>2.4199999032650772</v>
      </c>
      <c r="E28" s="3175"/>
      <c r="F28" s="3191"/>
      <c r="G28" s="3216"/>
      <c r="H28" s="3208"/>
      <c r="I28" s="3208"/>
      <c r="J28" s="3208"/>
      <c r="K28" s="3208"/>
      <c r="L28" s="3208"/>
      <c r="M28" s="3208"/>
      <c r="N28" s="3208"/>
    </row>
    <row r="29" spans="1:14">
      <c r="A29" s="3192"/>
      <c r="B29" s="3193"/>
      <c r="C29" s="3194" t="s">
        <v>3181</v>
      </c>
      <c r="D29" s="3195">
        <v>20150</v>
      </c>
      <c r="E29" s="3175" t="s">
        <v>3139</v>
      </c>
      <c r="F29" s="3177">
        <f>D9+D11+300*3+D14</f>
        <v>21800</v>
      </c>
      <c r="G29" s="3217"/>
      <c r="H29" s="3208"/>
      <c r="I29" s="3208"/>
      <c r="J29" s="3208"/>
      <c r="K29" s="3208"/>
      <c r="L29" s="3208"/>
      <c r="M29" s="3208"/>
      <c r="N29" s="3208"/>
    </row>
    <row r="30" spans="1:14" ht="14.25" thickBot="1">
      <c r="A30" s="3559" t="s">
        <v>3182</v>
      </c>
      <c r="B30" s="3560"/>
      <c r="C30" s="3561"/>
      <c r="D30" s="3196">
        <f>D29/D3</f>
        <v>0.42374102126422875</v>
      </c>
      <c r="E30" s="3197"/>
      <c r="F30" s="3191" t="s">
        <v>3183</v>
      </c>
      <c r="G30" s="3216"/>
      <c r="H30" s="3208">
        <f>5200+17000</f>
        <v>22200</v>
      </c>
      <c r="I30" s="3208"/>
      <c r="J30" s="3208"/>
      <c r="K30" s="3208"/>
      <c r="L30" s="3208"/>
      <c r="M30" s="3208"/>
      <c r="N30" s="3208"/>
    </row>
    <row r="31" spans="1:14">
      <c r="A31" s="3562" t="s">
        <v>3184</v>
      </c>
      <c r="B31" s="3563"/>
      <c r="C31" s="3564"/>
      <c r="D31" s="3178">
        <v>720</v>
      </c>
      <c r="E31" s="3175" t="s">
        <v>3148</v>
      </c>
      <c r="F31" s="3198"/>
      <c r="G31" s="3211"/>
      <c r="H31" s="3208">
        <f>H30/D3</f>
        <v>0.46685114997845545</v>
      </c>
      <c r="I31" s="3208"/>
      <c r="J31" s="3208"/>
      <c r="K31" s="3208"/>
      <c r="L31" s="3208"/>
      <c r="M31" s="3208"/>
      <c r="N31" s="3208"/>
    </row>
    <row r="32" spans="1:14">
      <c r="A32" s="3541" t="s">
        <v>3185</v>
      </c>
      <c r="B32" s="3542"/>
      <c r="C32" s="3543"/>
      <c r="D32" s="3199">
        <f>D31*3.5</f>
        <v>2520</v>
      </c>
      <c r="E32" s="3175" t="s">
        <v>3149</v>
      </c>
      <c r="F32" s="3178" t="s">
        <v>3186</v>
      </c>
      <c r="G32" s="3211"/>
      <c r="H32" s="3208"/>
      <c r="I32" s="3208"/>
      <c r="J32" s="3208"/>
      <c r="K32" s="3208"/>
      <c r="L32" s="3208"/>
      <c r="M32" s="3208"/>
      <c r="N32" s="3208"/>
    </row>
    <row r="33" spans="1:14">
      <c r="A33" s="3541" t="s">
        <v>3187</v>
      </c>
      <c r="B33" s="3542"/>
      <c r="C33" s="3543"/>
      <c r="D33" s="3200">
        <v>100</v>
      </c>
      <c r="E33" s="3175" t="s">
        <v>3188</v>
      </c>
      <c r="F33" s="3201"/>
      <c r="G33" s="3216"/>
      <c r="H33" s="3208"/>
      <c r="I33" s="3208"/>
      <c r="J33" s="3208"/>
      <c r="K33" s="3208"/>
      <c r="L33" s="3208"/>
      <c r="M33" s="3208"/>
      <c r="N33" s="3208"/>
    </row>
    <row r="34" spans="1:14">
      <c r="A34" s="3541" t="s">
        <v>3189</v>
      </c>
      <c r="B34" s="3542"/>
      <c r="C34" s="3543"/>
      <c r="D34" s="3202">
        <v>0.25319999999999998</v>
      </c>
      <c r="E34" s="3175"/>
      <c r="F34" s="3201" t="s">
        <v>3190</v>
      </c>
      <c r="G34" s="3216"/>
      <c r="H34" s="3208"/>
      <c r="I34" s="3208"/>
      <c r="J34" s="3208"/>
      <c r="K34" s="3208"/>
      <c r="L34" s="3208"/>
      <c r="M34" s="3208"/>
      <c r="N34" s="3208"/>
    </row>
    <row r="35" spans="1:14">
      <c r="A35" s="3203"/>
      <c r="B35" s="3203"/>
      <c r="C35" s="3204" t="s">
        <v>3177</v>
      </c>
      <c r="D35" s="3205">
        <f>D29</f>
        <v>20150</v>
      </c>
      <c r="E35" s="3185" t="s">
        <v>3191</v>
      </c>
      <c r="F35" s="3203"/>
      <c r="G35" s="3208"/>
      <c r="H35" s="3208"/>
      <c r="I35" s="3208"/>
      <c r="J35" s="3208"/>
      <c r="K35" s="3208"/>
      <c r="L35" s="3208"/>
      <c r="M35" s="3208"/>
      <c r="N35" s="3208"/>
    </row>
    <row r="36" spans="1:14">
      <c r="A36" s="3203"/>
      <c r="B36" s="3203"/>
      <c r="C36" s="3204" t="s">
        <v>3192</v>
      </c>
      <c r="D36" s="3206">
        <f>D23-D35</f>
        <v>14833.517440000003</v>
      </c>
      <c r="E36" s="3185" t="s">
        <v>3191</v>
      </c>
      <c r="F36" s="3203"/>
      <c r="G36" s="3211"/>
      <c r="H36" s="3208"/>
      <c r="I36" s="3208"/>
      <c r="J36" s="3208"/>
      <c r="K36" s="3208"/>
      <c r="L36" s="3208"/>
      <c r="M36" s="3208"/>
      <c r="N36" s="3208"/>
    </row>
    <row r="37" spans="1:14">
      <c r="A37" s="3208"/>
      <c r="B37" s="3208"/>
      <c r="C37" s="3208"/>
      <c r="D37" s="3218"/>
      <c r="E37" s="3219"/>
      <c r="F37" s="3208"/>
      <c r="G37" s="3211"/>
      <c r="H37" s="3208"/>
      <c r="I37" s="3208"/>
      <c r="J37" s="3208"/>
      <c r="K37" s="3208"/>
      <c r="L37" s="3208"/>
      <c r="M37" s="3208"/>
      <c r="N37" s="3208"/>
    </row>
    <row r="38" spans="1:14">
      <c r="A38" s="3208"/>
      <c r="B38" s="3208"/>
      <c r="C38" s="3208"/>
      <c r="D38" s="3218"/>
      <c r="E38" s="3219"/>
      <c r="F38" s="3208"/>
      <c r="G38" s="3216"/>
      <c r="H38" s="3208"/>
      <c r="I38" s="3208"/>
      <c r="J38" s="3208"/>
      <c r="K38" s="3208"/>
      <c r="L38" s="3208"/>
      <c r="M38" s="3208"/>
      <c r="N38" s="3208"/>
    </row>
    <row r="39" spans="1:14">
      <c r="A39" s="3208"/>
      <c r="B39" s="3208"/>
      <c r="C39" s="3208"/>
      <c r="D39" s="3218"/>
      <c r="E39" s="3219"/>
      <c r="F39" s="3208"/>
      <c r="G39" s="3216"/>
      <c r="H39" s="3208"/>
      <c r="I39" s="3208"/>
      <c r="J39" s="3208"/>
      <c r="K39" s="3208"/>
      <c r="L39" s="3208"/>
      <c r="M39" s="3208"/>
      <c r="N39" s="3208"/>
    </row>
  </sheetData>
  <mergeCells count="21">
    <mergeCell ref="A30:C30"/>
    <mergeCell ref="A31:C31"/>
    <mergeCell ref="A32:C32"/>
    <mergeCell ref="A33:C33"/>
    <mergeCell ref="A34:C34"/>
    <mergeCell ref="A28:C28"/>
    <mergeCell ref="A1:F1"/>
    <mergeCell ref="A2:C2"/>
    <mergeCell ref="A3:C3"/>
    <mergeCell ref="A4:C4"/>
    <mergeCell ref="A5:C5"/>
    <mergeCell ref="A6:A21"/>
    <mergeCell ref="B6:C6"/>
    <mergeCell ref="B7:C7"/>
    <mergeCell ref="B8:C8"/>
    <mergeCell ref="B9:B12"/>
    <mergeCell ref="B13:C13"/>
    <mergeCell ref="B14:B21"/>
    <mergeCell ref="B22:C22"/>
    <mergeCell ref="B23:B24"/>
    <mergeCell ref="B26:B27"/>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workbookViewId="0">
      <selection activeCell="B4" sqref="B4:D9"/>
    </sheetView>
  </sheetViews>
  <sheetFormatPr defaultRowHeight="13.5"/>
  <sheetData>
    <row r="3" spans="2:7" ht="14.25" thickBot="1">
      <c r="B3" s="3226" t="s">
        <v>3208</v>
      </c>
    </row>
    <row r="4" spans="2:7">
      <c r="B4" s="3249" t="s">
        <v>3209</v>
      </c>
      <c r="C4" s="3249" t="s">
        <v>3210</v>
      </c>
      <c r="D4" s="3249" t="s">
        <v>2662</v>
      </c>
      <c r="E4" s="3245" t="s">
        <v>3211</v>
      </c>
      <c r="F4" s="3229" t="s">
        <v>926</v>
      </c>
      <c r="G4" s="3230" t="s">
        <v>985</v>
      </c>
    </row>
    <row r="5" spans="2:7">
      <c r="B5" s="3249">
        <v>2017</v>
      </c>
      <c r="C5" s="3249">
        <v>2</v>
      </c>
      <c r="D5" s="3249" t="s">
        <v>3212</v>
      </c>
      <c r="E5" s="3246" t="s">
        <v>3212</v>
      </c>
      <c r="F5" s="3228" t="s">
        <v>3212</v>
      </c>
      <c r="G5" s="3231" t="s">
        <v>3212</v>
      </c>
    </row>
    <row r="6" spans="2:7">
      <c r="B6" s="3249">
        <v>2017</v>
      </c>
      <c r="C6" s="3249">
        <v>1</v>
      </c>
      <c r="D6" s="3249">
        <v>1.05</v>
      </c>
      <c r="E6" s="3247">
        <v>1.5</v>
      </c>
      <c r="F6" s="3227">
        <v>0.97</v>
      </c>
      <c r="G6" s="3232">
        <v>0.39</v>
      </c>
    </row>
    <row r="7" spans="2:7">
      <c r="B7" s="3249">
        <v>2016</v>
      </c>
      <c r="C7" s="3249">
        <v>4</v>
      </c>
      <c r="D7" s="3249">
        <v>2.2599999999999998</v>
      </c>
      <c r="E7" s="3246">
        <v>1.19</v>
      </c>
      <c r="F7" s="3228">
        <v>2.52</v>
      </c>
      <c r="G7" s="3231">
        <v>0.53</v>
      </c>
    </row>
    <row r="8" spans="2:7">
      <c r="B8" s="3249">
        <v>2016</v>
      </c>
      <c r="C8" s="3249">
        <v>3</v>
      </c>
      <c r="D8" s="3249">
        <v>4.01</v>
      </c>
      <c r="E8" s="3247">
        <v>1.75</v>
      </c>
      <c r="F8" s="3227">
        <v>4.5599999999999996</v>
      </c>
      <c r="G8" s="3232">
        <v>0.4</v>
      </c>
    </row>
    <row r="9" spans="2:7" ht="14.25" thickBot="1">
      <c r="B9" s="3249">
        <v>2016</v>
      </c>
      <c r="C9" s="3249">
        <v>2</v>
      </c>
      <c r="D9" s="3249">
        <v>3.63</v>
      </c>
      <c r="E9" s="3248">
        <v>1.48</v>
      </c>
      <c r="F9" s="3233">
        <v>4.16</v>
      </c>
      <c r="G9" s="3234">
        <v>0.53</v>
      </c>
    </row>
    <row r="10" spans="2:7">
      <c r="D10">
        <f>AVERAGE(D6:D9)</f>
        <v>2.7374999999999998</v>
      </c>
      <c r="F10">
        <f>AVERAGE(F6:F9)</f>
        <v>3.0525000000000002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0" workbookViewId="0">
      <selection activeCell="P75" sqref="P7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abSelected="1" workbookViewId="0">
      <selection activeCell="A5" sqref="A5"/>
    </sheetView>
  </sheetViews>
  <sheetFormatPr defaultRowHeight="13.5"/>
  <cols>
    <col min="1" max="1" width="15.375" customWidth="1"/>
  </cols>
  <sheetData>
    <row r="1" spans="1:3">
      <c r="A1" t="s">
        <v>3283</v>
      </c>
      <c r="C1" t="s">
        <v>3286</v>
      </c>
    </row>
    <row r="2" spans="1:3">
      <c r="A2" t="s">
        <v>3284</v>
      </c>
      <c r="C2" t="s">
        <v>3287</v>
      </c>
    </row>
    <row r="3" spans="1:3">
      <c r="A3" t="s">
        <v>3285</v>
      </c>
    </row>
    <row r="4" spans="1:3">
      <c r="A4" t="s">
        <v>3288</v>
      </c>
    </row>
    <row r="5" spans="1:3">
      <c r="A5" t="s">
        <v>3289</v>
      </c>
    </row>
  </sheetData>
  <phoneticPr fontId="2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2048</v>
      </c>
      <c r="B1" s="3251"/>
      <c r="C1" s="3251"/>
      <c r="D1" s="3251"/>
      <c r="E1" s="3251"/>
      <c r="F1" s="3251"/>
      <c r="G1" s="3251"/>
      <c r="H1" s="3251"/>
      <c r="I1" s="3251"/>
      <c r="J1" s="3251"/>
      <c r="K1" s="3251"/>
      <c r="L1" s="3251"/>
      <c r="M1" s="3251"/>
      <c r="N1" s="3251"/>
      <c r="O1" s="3251"/>
      <c r="P1" s="3251"/>
      <c r="Q1" s="3251"/>
      <c r="R1" s="3251"/>
    </row>
    <row r="2" spans="1:18">
      <c r="A2" s="1810" t="s">
        <v>2050</v>
      </c>
      <c r="B2" s="1810"/>
      <c r="C2" s="1810"/>
      <c r="D2" s="1810"/>
      <c r="E2" s="1810"/>
      <c r="F2" s="1810"/>
      <c r="G2" s="1810"/>
      <c r="H2" s="1810"/>
      <c r="I2" s="1811"/>
      <c r="J2" s="1811"/>
      <c r="K2" s="1812" t="str">
        <f>"估价期日："&amp;TEXT(项目基本情况!D3,"yyyy年m月d日;;")</f>
        <v>估价期日：2017年6月29日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52" t="s">
        <v>2039</v>
      </c>
      <c r="B3" s="3252" t="s">
        <v>2746</v>
      </c>
      <c r="C3" s="3253" t="s">
        <v>2040</v>
      </c>
      <c r="D3" s="3252" t="s">
        <v>2750</v>
      </c>
      <c r="E3" s="3255" t="s">
        <v>2041</v>
      </c>
      <c r="F3" s="3255"/>
      <c r="G3" s="3255"/>
      <c r="H3" s="3255" t="s">
        <v>2042</v>
      </c>
      <c r="I3" s="3255"/>
      <c r="J3" s="3255"/>
      <c r="K3" s="3253" t="s">
        <v>2043</v>
      </c>
      <c r="L3" s="3253" t="s">
        <v>2044</v>
      </c>
      <c r="M3" s="3252" t="s">
        <v>2747</v>
      </c>
      <c r="N3" s="3254" t="str">
        <f>"（分摊）"&amp;项目基本情况!B16&amp;"国有建设用地使用权面积/㎡"</f>
        <v>（分摊）出让国有建设用地使用权面积/㎡</v>
      </c>
      <c r="O3" s="3252" t="s">
        <v>2073</v>
      </c>
      <c r="P3" s="3253" t="s">
        <v>2053</v>
      </c>
      <c r="Q3" s="3253" t="s">
        <v>2074</v>
      </c>
      <c r="R3" s="3253" t="s">
        <v>2045</v>
      </c>
    </row>
    <row r="4" spans="1:18" ht="36.75" customHeight="1">
      <c r="A4" s="3252"/>
      <c r="B4" s="3252"/>
      <c r="C4" s="3253"/>
      <c r="D4" s="3252"/>
      <c r="E4" s="2681" t="s">
        <v>2052</v>
      </c>
      <c r="F4" s="2681" t="s">
        <v>2759</v>
      </c>
      <c r="G4" s="2681" t="s">
        <v>2046</v>
      </c>
      <c r="H4" s="2681" t="s">
        <v>2047</v>
      </c>
      <c r="I4" s="2681" t="s">
        <v>2760</v>
      </c>
      <c r="J4" s="2681" t="s">
        <v>2046</v>
      </c>
      <c r="K4" s="3253"/>
      <c r="L4" s="3253"/>
      <c r="M4" s="3252"/>
      <c r="N4" s="3254"/>
      <c r="O4" s="3252"/>
      <c r="P4" s="3253"/>
      <c r="Q4" s="3253"/>
      <c r="R4" s="3253"/>
    </row>
    <row r="5" spans="1:18" ht="135" customHeight="1">
      <c r="A5" s="1946" t="s">
        <v>2670</v>
      </c>
      <c r="B5" s="2902" t="s">
        <v>2668</v>
      </c>
      <c r="C5" s="2680">
        <v>22</v>
      </c>
      <c r="D5" s="2679" t="s">
        <v>2669</v>
      </c>
      <c r="E5" s="1813" t="str">
        <f>项目基本情况!B12</f>
        <v>普通商品住房商服用地</v>
      </c>
      <c r="F5" s="2679">
        <v>258</v>
      </c>
      <c r="G5" s="1813" t="str">
        <f>项目基本情况!B13</f>
        <v>住宅、商业、地下车库</v>
      </c>
      <c r="H5" s="2679">
        <v>1.5</v>
      </c>
      <c r="I5" s="2679">
        <v>1.5</v>
      </c>
      <c r="J5" s="2679">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红线外七通、宗地红线内场地平整</v>
      </c>
      <c r="M5" s="1813" t="str">
        <f>IF(项目基本情况!B16="出让",项目基本情况!D20,"——")</f>
        <v>特158号地块住宅66.5年、商业36.5年、地下车库46.5年；特108号地块住宅66.8年、商业36.7年、地下车库46.8年</v>
      </c>
      <c r="N5" s="1813">
        <f>项目基本情况!C22</f>
        <v>47552.7</v>
      </c>
      <c r="O5" s="1813">
        <f>项目基本情况!C21</f>
        <v>134410.88</v>
      </c>
      <c r="P5" s="1813">
        <f ca="1">结果表!E42</f>
        <v>24301</v>
      </c>
      <c r="Q5" s="1813">
        <f ca="1">结果表!D42</f>
        <v>8597</v>
      </c>
      <c r="R5" s="1814">
        <f ca="1">结果表!C42</f>
        <v>115557</v>
      </c>
    </row>
    <row r="6" spans="1:18">
      <c r="A6" s="3256" t="s">
        <v>2006</v>
      </c>
      <c r="B6" s="3257"/>
      <c r="C6" s="3257"/>
      <c r="D6" s="3257"/>
      <c r="E6" s="3257"/>
      <c r="F6" s="3257"/>
      <c r="G6" s="3257"/>
      <c r="H6" s="3257"/>
      <c r="I6" s="3257"/>
      <c r="J6" s="3257"/>
      <c r="K6" s="3257"/>
      <c r="L6" s="3257"/>
      <c r="M6" s="3257"/>
      <c r="N6" s="3257"/>
      <c r="O6" s="3257"/>
      <c r="P6" s="3257"/>
      <c r="Q6" s="3258"/>
      <c r="R6" s="1815">
        <f ca="1">结果表!O39</f>
        <v>115557</v>
      </c>
    </row>
    <row r="7" spans="1:18">
      <c r="A7" s="3256" t="str">
        <f>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15" t="str">
        <f>结果表!O40</f>
        <v>——</v>
      </c>
    </row>
    <row r="8" spans="1:18">
      <c r="A8" s="3256" t="str">
        <f>项目基本情况!E9</f>
        <v>——</v>
      </c>
      <c r="B8" s="3257"/>
      <c r="C8" s="3257"/>
      <c r="D8" s="3257"/>
      <c r="E8" s="3257"/>
      <c r="F8" s="3257"/>
      <c r="G8" s="3257"/>
      <c r="H8" s="3257"/>
      <c r="I8" s="3257"/>
      <c r="J8" s="3257"/>
      <c r="K8" s="3257"/>
      <c r="L8" s="3257"/>
      <c r="M8" s="3257"/>
      <c r="N8" s="3257"/>
      <c r="O8" s="3257"/>
      <c r="P8" s="3257"/>
      <c r="Q8" s="3258"/>
      <c r="R8" s="1815" t="str">
        <f>结果表!O41</f>
        <v>——</v>
      </c>
    </row>
    <row r="9" spans="1:18">
      <c r="A9" s="1816" t="s">
        <v>2051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59" t="s">
        <v>2075</v>
      </c>
      <c r="B1" s="3259"/>
      <c r="C1" s="3259"/>
      <c r="D1" s="3259"/>
    </row>
    <row r="2" spans="1:4" ht="47.25" customHeight="1">
      <c r="A2" s="3263" t="str">
        <f>"1.权利限制："&amp;项目基本情况!L24&amp;"未设定租赁等其他他项权利。"</f>
        <v>1.权利限制：根据估价对象《国有土地使用权》原件、，截至估价期日，估价对象抵押权未见登记。未设定租赁等其他他项权利。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59"/>
      <c r="C3" s="3259"/>
      <c r="D3" s="3259"/>
    </row>
    <row r="4" spans="1:4" ht="36.75" customHeight="1">
      <c r="A4" s="3259" t="str">
        <f>"3.估价规划限制条件：详见"&amp;项目基本情况!E21&amp;"。"</f>
        <v>3.估价规划限制条件：详见《规划指标》。</v>
      </c>
      <c r="B4" s="3259"/>
      <c r="C4" s="3259"/>
      <c r="D4" s="3259"/>
    </row>
    <row r="5" spans="1:4">
      <c r="A5" s="3262" t="s">
        <v>2076</v>
      </c>
      <c r="B5" s="3262"/>
      <c r="C5" s="3262"/>
      <c r="D5" s="3262"/>
    </row>
    <row r="6" spans="1:4">
      <c r="A6" s="3259" t="s">
        <v>2054</v>
      </c>
      <c r="B6" s="3259"/>
      <c r="C6" s="3259"/>
      <c r="D6" s="3259"/>
    </row>
    <row r="7" spans="1:4" ht="33" customHeight="1">
      <c r="A7" s="3259" t="s">
        <v>2587</v>
      </c>
      <c r="B7" s="3259"/>
      <c r="C7" s="3259"/>
      <c r="D7" s="3259"/>
    </row>
    <row r="8" spans="1:4" ht="32.25" customHeight="1">
      <c r="A8" s="3259" t="str">
        <f>IF(项目基本情况!B8="抵押","2.本《评估意见函》仅供金融机构进行内部审核使用，不做其他目的之用。","")</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（1）根据估价对象《国有土地使用权》原件、，截至估价期日，估价对象抵押权未见登记。</v>
      </c>
      <c r="B11" s="3261"/>
      <c r="C11" s="3261"/>
      <c r="D11" s="3261"/>
    </row>
    <row r="12" spans="1:4" ht="168" customHeight="1">
      <c r="A12" s="3262" t="s">
        <v>2078</v>
      </c>
      <c r="B12" s="3262"/>
      <c r="C12" s="3262"/>
      <c r="D12" s="3262"/>
    </row>
    <row r="13" spans="1:4">
      <c r="A13" s="3260" t="s">
        <v>2761</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2717</v>
      </c>
      <c r="B17" s="3259"/>
      <c r="C17" s="3259"/>
      <c r="D17" s="3259"/>
    </row>
    <row r="18" spans="1:4">
      <c r="A18" s="3259" t="s">
        <v>2709</v>
      </c>
      <c r="B18" s="3259"/>
      <c r="C18" s="3259"/>
      <c r="D18" s="3259"/>
    </row>
    <row r="19" spans="1:4">
      <c r="A19" s="2903" t="s">
        <v>2710</v>
      </c>
      <c r="B19" s="2903" t="s">
        <v>2711</v>
      </c>
      <c r="C19" s="2903" t="s">
        <v>2712</v>
      </c>
      <c r="D19" s="2903" t="s">
        <v>2713</v>
      </c>
    </row>
    <row r="20" spans="1:4">
      <c r="A20" s="2903" t="str">
        <f>项目基本情况!B4</f>
        <v>刘梅</v>
      </c>
      <c r="B20" s="2903">
        <f ca="1">项目基本情况!C4</f>
        <v>2008110059</v>
      </c>
      <c r="C20" s="2905"/>
      <c r="D20" s="1803" t="s">
        <v>2718</v>
      </c>
    </row>
    <row r="21" spans="1:4">
      <c r="A21" s="2903" t="str">
        <f>项目基本情况!D4</f>
        <v>吴薇</v>
      </c>
      <c r="B21" s="2903">
        <f ca="1">项目基本情况!E4</f>
        <v>2002110125</v>
      </c>
      <c r="C21" s="2905"/>
      <c r="D21" s="1803" t="s">
        <v>2719</v>
      </c>
    </row>
    <row r="23" spans="1:4">
      <c r="A23" s="3259" t="s">
        <v>2714</v>
      </c>
      <c r="B23" s="3259"/>
      <c r="C23" s="3259"/>
      <c r="D23" s="3259"/>
    </row>
    <row r="24" spans="1:4">
      <c r="A24" s="2903" t="s">
        <v>2710</v>
      </c>
      <c r="B24" s="2903" t="s">
        <v>2715</v>
      </c>
      <c r="C24" s="2903" t="s">
        <v>2712</v>
      </c>
      <c r="D24" s="2903" t="s">
        <v>2713</v>
      </c>
    </row>
    <row r="25" spans="1:4">
      <c r="A25" s="2906" t="s">
        <v>2716</v>
      </c>
      <c r="B25" s="2903" t="s">
        <v>955</v>
      </c>
      <c r="C25" s="2905"/>
      <c r="D25" s="1803" t="s">
        <v>2719</v>
      </c>
    </row>
    <row r="29" spans="1:4">
      <c r="D29" s="2904" t="s">
        <v>2049</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71" t="s">
        <v>53</v>
      </c>
      <c r="B15" s="3272" t="s">
        <v>849</v>
      </c>
      <c r="C15" s="3268"/>
    </row>
    <row r="16" spans="1:7" ht="14.25">
      <c r="A16" s="3271"/>
      <c r="B16" s="3269" t="s">
        <v>54</v>
      </c>
      <c r="C16" s="1172" t="s">
        <v>53</v>
      </c>
    </row>
    <row r="17" spans="1:3" ht="14.25">
      <c r="A17" s="3271"/>
      <c r="B17" s="3269"/>
      <c r="C17" s="1172" t="s">
        <v>55</v>
      </c>
    </row>
    <row r="18" spans="1:3" ht="14.25">
      <c r="A18" s="3271"/>
      <c r="B18" s="3269"/>
      <c r="C18" s="1172" t="s">
        <v>56</v>
      </c>
    </row>
    <row r="19" spans="1:3" ht="14.25">
      <c r="A19" s="3271"/>
      <c r="B19" s="3267" t="s">
        <v>57</v>
      </c>
      <c r="C19" s="3268"/>
    </row>
    <row r="20" spans="1:3" ht="14.25">
      <c r="A20" s="1173" t="s">
        <v>58</v>
      </c>
      <c r="B20" s="1174"/>
      <c r="C20" s="1175"/>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6" t="s">
        <v>840</v>
      </c>
    </row>
    <row r="25" spans="1:3" ht="14.25">
      <c r="A25" s="3270"/>
      <c r="B25" s="3274"/>
      <c r="C25" s="1176" t="s">
        <v>841</v>
      </c>
    </row>
    <row r="26" spans="1:3" ht="14.25">
      <c r="A26" s="3270"/>
      <c r="B26" s="3274"/>
      <c r="C26" s="1176" t="s">
        <v>842</v>
      </c>
    </row>
    <row r="27" spans="1:3" ht="14.25">
      <c r="A27" s="3270"/>
      <c r="B27" s="3274"/>
      <c r="C27" s="1176" t="s">
        <v>843</v>
      </c>
    </row>
    <row r="28" spans="1:3" ht="14.25">
      <c r="A28" s="3270"/>
      <c r="B28" s="3274"/>
      <c r="C28" s="1176" t="s">
        <v>844</v>
      </c>
    </row>
    <row r="29" spans="1:3" ht="14.25">
      <c r="A29" s="3270"/>
      <c r="B29" s="3274"/>
      <c r="C29" s="1176" t="s">
        <v>845</v>
      </c>
    </row>
    <row r="30" spans="1:3" ht="14.25">
      <c r="A30" s="3270"/>
      <c r="B30" s="3274"/>
      <c r="C30" s="1176" t="s">
        <v>846</v>
      </c>
    </row>
    <row r="31" spans="1:3" ht="14.25">
      <c r="A31" s="3270"/>
      <c r="B31" s="3274"/>
      <c r="C31" s="1176" t="s">
        <v>847</v>
      </c>
    </row>
    <row r="32" spans="1:3" ht="14.25">
      <c r="A32" s="3270"/>
      <c r="B32" s="3274"/>
      <c r="C32" s="1176" t="s">
        <v>1650</v>
      </c>
    </row>
    <row r="33" spans="1:3" ht="14.25">
      <c r="A33" s="3270"/>
      <c r="B33" s="3264" t="s">
        <v>1656</v>
      </c>
      <c r="C33" s="1176" t="s">
        <v>1651</v>
      </c>
    </row>
    <row r="34" spans="1:3" ht="14.25">
      <c r="A34" s="3270"/>
      <c r="B34" s="3265"/>
      <c r="C34" s="1181" t="s">
        <v>1652</v>
      </c>
    </row>
    <row r="35" spans="1:3" ht="14.25">
      <c r="A35" s="3270"/>
      <c r="B35" s="3265"/>
      <c r="C35" s="1182" t="s">
        <v>1653</v>
      </c>
    </row>
    <row r="36" spans="1:3" ht="14.25">
      <c r="A36" s="3270"/>
      <c r="B36" s="3265"/>
      <c r="C36" s="1182" t="s">
        <v>1654</v>
      </c>
    </row>
    <row r="37" spans="1:3" ht="14.25">
      <c r="A37" s="3270"/>
      <c r="B37" s="3266"/>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42989</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t="str">
        <f ca="1">IF(C16&lt;B2,"已过期",1120140022)</f>
        <v>已过期</v>
      </c>
      <c r="C16" s="3041">
        <v>42987</v>
      </c>
      <c r="D16" s="2349" t="s">
        <v>1929</v>
      </c>
      <c r="E16" s="2349">
        <f ca="1">IF(F16&lt;B2,"已过期",2008110059)</f>
        <v>2008110059</v>
      </c>
      <c r="F16" s="3042">
        <v>47177</v>
      </c>
    </row>
    <row r="17" spans="1:7" ht="20.25" customHeight="1">
      <c r="A17" s="2349" t="s">
        <v>1930</v>
      </c>
      <c r="B17" s="2349" t="str">
        <f ca="1">IF(C17&lt;B2,"已过期",1120140020)</f>
        <v>已过期</v>
      </c>
      <c r="C17" s="3041">
        <v>42987</v>
      </c>
      <c r="D17" s="2349"/>
      <c r="E17" s="2349"/>
      <c r="F17" s="3042"/>
    </row>
    <row r="18" spans="1:7" ht="20.25" customHeight="1">
      <c r="A18" s="2349" t="s">
        <v>1931</v>
      </c>
      <c r="B18" s="2349" t="str">
        <f ca="1">IF(C18&lt;B2,"已过期",1120140024)</f>
        <v>已过期</v>
      </c>
      <c r="C18" s="3041">
        <v>42987</v>
      </c>
      <c r="D18" s="2349" t="s">
        <v>1931</v>
      </c>
      <c r="E18" s="2349">
        <f ca="1">IF(F18&lt;B2,"已过期",2011110048)</f>
        <v>2011110048</v>
      </c>
      <c r="F18" s="3042">
        <v>48302</v>
      </c>
    </row>
    <row r="19" spans="1:7" ht="20.25" customHeight="1">
      <c r="A19" s="2349" t="s">
        <v>1932</v>
      </c>
      <c r="B19" s="2349" t="str">
        <f ca="1">IF(C19&lt;B2,"已过期",1120140019)</f>
        <v>已过期</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2063</v>
      </c>
      <c r="B24" s="2351" t="s">
        <v>2063</v>
      </c>
      <c r="C24" s="3041"/>
      <c r="D24" s="3043" t="s">
        <v>2063</v>
      </c>
      <c r="E24" s="2351" t="s">
        <v>2063</v>
      </c>
      <c r="F24" s="2352"/>
    </row>
    <row r="25" spans="1:7" ht="20.25" customHeight="1">
      <c r="A25" s="3275" t="s">
        <v>1936</v>
      </c>
      <c r="B25" s="3275"/>
      <c r="C25" s="3275"/>
      <c r="D25" s="3275"/>
      <c r="E25" s="3275"/>
      <c r="F25" s="3275"/>
      <c r="G25" s="3275"/>
    </row>
    <row r="26" spans="1:7" ht="20.25" customHeight="1">
      <c r="A26" s="3276" t="s">
        <v>1937</v>
      </c>
      <c r="B26" s="3276"/>
      <c r="C26" s="3276"/>
      <c r="D26" s="3276" t="s">
        <v>1938</v>
      </c>
      <c r="E26" s="3276"/>
      <c r="F26" s="3276"/>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2313</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5" priority="71">
      <formula>AND($C24-TODAY()&lt;30,TODAY()&lt;$C24)</formula>
    </cfRule>
  </conditionalFormatting>
  <conditionalFormatting sqref="C28">
    <cfRule type="expression" dxfId="204" priority="70">
      <formula>AND($C28-TODAY()&lt;30,TODAY()&lt;$C28)</formula>
    </cfRule>
  </conditionalFormatting>
  <conditionalFormatting sqref="C28 F4">
    <cfRule type="cellIs" dxfId="203" priority="72" stopIfTrue="1" operator="lessThan">
      <formula>$B$2</formula>
    </cfRule>
  </conditionalFormatting>
  <conditionalFormatting sqref="F5">
    <cfRule type="cellIs" dxfId="202" priority="68" stopIfTrue="1" operator="lessThan">
      <formula>$B$2</formula>
    </cfRule>
  </conditionalFormatting>
  <conditionalFormatting sqref="F6 F8 F10">
    <cfRule type="cellIs" dxfId="201" priority="66" stopIfTrue="1" operator="lessThan">
      <formula>$B$2</formula>
    </cfRule>
  </conditionalFormatting>
  <conditionalFormatting sqref="C24:D24">
    <cfRule type="expression" dxfId="200" priority="64">
      <formula>AND($C24-TODAY()&lt;30,TODAY()&lt;$C24)</formula>
    </cfRule>
  </conditionalFormatting>
  <conditionalFormatting sqref="F7 F9 F11 C24:D24">
    <cfRule type="cellIs" dxfId="199" priority="65" stopIfTrue="1" operator="lessThan">
      <formula>$B$2</formula>
    </cfRule>
  </conditionalFormatting>
  <conditionalFormatting sqref="F16">
    <cfRule type="cellIs" dxfId="198" priority="38" stopIfTrue="1" operator="lessThan">
      <formula>$B$2</formula>
    </cfRule>
  </conditionalFormatting>
  <conditionalFormatting sqref="F18">
    <cfRule type="cellIs" dxfId="197" priority="37" stopIfTrue="1" operator="lessThan">
      <formula>$B$2</formula>
    </cfRule>
  </conditionalFormatting>
  <conditionalFormatting sqref="F22">
    <cfRule type="cellIs" dxfId="196" priority="36" stopIfTrue="1" operator="lessThan">
      <formula>$B$2</formula>
    </cfRule>
  </conditionalFormatting>
  <conditionalFormatting sqref="F21">
    <cfRule type="cellIs" dxfId="195" priority="35" stopIfTrue="1" operator="lessThan">
      <formula>$B$2</formula>
    </cfRule>
  </conditionalFormatting>
  <conditionalFormatting sqref="F17">
    <cfRule type="cellIs" dxfId="194" priority="34" stopIfTrue="1" operator="lessThan">
      <formula>$B$2</formula>
    </cfRule>
  </conditionalFormatting>
  <conditionalFormatting sqref="B4:B14 E4:E14 E16:E23 B16:B23">
    <cfRule type="cellIs" dxfId="193" priority="33" stopIfTrue="1" operator="equal">
      <formula>"已过期"</formula>
    </cfRule>
  </conditionalFormatting>
  <conditionalFormatting sqref="F28">
    <cfRule type="cellIs" dxfId="192" priority="30" stopIfTrue="1" operator="lessThan">
      <formula>$B$2</formula>
    </cfRule>
  </conditionalFormatting>
  <conditionalFormatting sqref="F29">
    <cfRule type="cellIs" dxfId="191" priority="28" stopIfTrue="1" operator="lessThan">
      <formula>$B$2</formula>
    </cfRule>
  </conditionalFormatting>
  <conditionalFormatting sqref="F28">
    <cfRule type="expression" dxfId="190" priority="74">
      <formula>AND($E28-TODAY()&lt;30,TODAY()&lt;$E28)</formula>
    </cfRule>
  </conditionalFormatting>
  <conditionalFormatting sqref="F29">
    <cfRule type="expression" dxfId="189" priority="75" stopIfTrue="1">
      <formula>AND($E29-TODAY()&lt;30,TODAY()&lt;$E29)</formula>
    </cfRule>
  </conditionalFormatting>
  <conditionalFormatting sqref="C5">
    <cfRule type="expression" dxfId="188" priority="25">
      <formula>AND($C5-TODAY()&lt;30,TODAY()&lt;$C5)</formula>
    </cfRule>
  </conditionalFormatting>
  <conditionalFormatting sqref="C5">
    <cfRule type="cellIs" dxfId="187" priority="26" stopIfTrue="1" operator="lessThan">
      <formula>$B$2</formula>
    </cfRule>
  </conditionalFormatting>
  <conditionalFormatting sqref="C4:C6">
    <cfRule type="expression" dxfId="186" priority="23">
      <formula>AND($C4-TODAY()&lt;30,TODAY()&lt;$C4)</formula>
    </cfRule>
  </conditionalFormatting>
  <conditionalFormatting sqref="C4:C6">
    <cfRule type="cellIs" dxfId="185" priority="24" stopIfTrue="1" operator="lessThan">
      <formula>$B$2</formula>
    </cfRule>
  </conditionalFormatting>
  <conditionalFormatting sqref="C8:C9">
    <cfRule type="expression" dxfId="184" priority="21">
      <formula>AND($C8-TODAY()&lt;30,TODAY()&lt;$C8)</formula>
    </cfRule>
  </conditionalFormatting>
  <conditionalFormatting sqref="C8:C9">
    <cfRule type="cellIs" dxfId="183" priority="22" stopIfTrue="1" operator="lessThan">
      <formula>$B$2</formula>
    </cfRule>
  </conditionalFormatting>
  <conditionalFormatting sqref="B15 E15">
    <cfRule type="cellIs" dxfId="182" priority="9" stopIfTrue="1" operator="equal">
      <formula>"已过期"</formula>
    </cfRule>
  </conditionalFormatting>
  <conditionalFormatting sqref="F15">
    <cfRule type="cellIs" dxfId="181" priority="6" stopIfTrue="1" operator="lessThan">
      <formula>$B$2</formula>
    </cfRule>
  </conditionalFormatting>
  <conditionalFormatting sqref="C7">
    <cfRule type="expression" dxfId="180" priority="4">
      <formula>AND($C7-TODAY()&lt;30,TODAY()&lt;$C7)</formula>
    </cfRule>
  </conditionalFormatting>
  <conditionalFormatting sqref="C7">
    <cfRule type="cellIs" dxfId="179" priority="5" stopIfTrue="1" operator="lessThan">
      <formula>$B$2</formula>
    </cfRule>
  </conditionalFormatting>
  <conditionalFormatting sqref="C10:C23">
    <cfRule type="expression" dxfId="178" priority="2">
      <formula>AND($C10-TODAY()&lt;30,TODAY()&lt;$C10)</formula>
    </cfRule>
  </conditionalFormatting>
  <conditionalFormatting sqref="C10:C23">
    <cfRule type="cellIs" dxfId="177" priority="3" stopIfTrue="1" operator="lessThan">
      <formula>$B$2</formula>
    </cfRule>
  </conditionalFormatting>
  <conditionalFormatting sqref="F13">
    <cfRule type="cellIs" dxfId="176"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4"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2552</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2553</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2554</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6" t="s">
        <v>547</v>
      </c>
      <c r="Q5" s="9" t="s">
        <v>97</v>
      </c>
      <c r="R5" s="1006" t="s">
        <v>2555</v>
      </c>
      <c r="S5" s="9" t="s">
        <v>97</v>
      </c>
      <c r="T5" s="9" t="s">
        <v>98</v>
      </c>
      <c r="U5" s="9" t="s">
        <v>97</v>
      </c>
      <c r="W5" s="9" t="s">
        <v>881</v>
      </c>
    </row>
    <row r="6" spans="1:23">
      <c r="A6" s="8" t="s">
        <v>99</v>
      </c>
      <c r="B6" s="1149" t="s">
        <v>1644</v>
      </c>
      <c r="C6" s="1555" t="s">
        <v>1717</v>
      </c>
      <c r="F6" s="9" t="s">
        <v>71</v>
      </c>
      <c r="H6" s="9" t="s">
        <v>72</v>
      </c>
      <c r="I6" s="9" t="s">
        <v>100</v>
      </c>
      <c r="K6" s="9" t="s">
        <v>101</v>
      </c>
      <c r="L6" s="9" t="s">
        <v>101</v>
      </c>
      <c r="M6" s="9" t="s">
        <v>101</v>
      </c>
      <c r="N6" s="9" t="s">
        <v>101</v>
      </c>
      <c r="O6" s="9" t="s">
        <v>101</v>
      </c>
      <c r="P6" s="1006" t="s">
        <v>884</v>
      </c>
      <c r="Q6" s="9" t="s">
        <v>101</v>
      </c>
      <c r="R6" s="1006" t="s">
        <v>2556</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8" t="s">
        <v>3202</v>
      </c>
      <c r="C18" s="1556"/>
    </row>
    <row r="19" spans="1:3">
      <c r="A19" s="8" t="s">
        <v>120</v>
      </c>
      <c r="B19" s="8" t="s">
        <v>3203</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骏成实业投资有限公司拟使用广东省东莞市东坑镇凤大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77"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c r="D53" s="1770"/>
      <c r="E53" s="1770"/>
    </row>
    <row r="54" spans="1:5">
      <c r="A54" s="3277"/>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7"/>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7"/>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7"/>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2059</v>
      </c>
      <c r="B58" s="1769"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酒店收入计算</vt:lpstr>
      <vt:lpstr>成本逼近法</vt:lpstr>
      <vt:lpstr>不动产收益法-公寓</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土地案例</vt:lpstr>
      <vt:lpstr>住宅、商业案例</vt:lpstr>
      <vt:lpstr>每宗地价值</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2017-08-03T02:46:08Z</cp:lastPrinted>
  <dcterms:created xsi:type="dcterms:W3CDTF">2015-07-13T07:17:23Z</dcterms:created>
  <dcterms:modified xsi:type="dcterms:W3CDTF">2017-09-11T05:55:55Z</dcterms:modified>
</cp:coreProperties>
</file>