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260" windowHeight="7845"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A1可研指标" sheetId="69" r:id="rId11"/>
    <sheet name="A3地块指标" sheetId="68"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收益法-车位"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0" r:id="rId44"/>
    <sheet name="Sheet2" sheetId="72" r:id="rId45"/>
  </sheets>
  <externalReferences>
    <externalReference r:id="rId46"/>
  </externalReferences>
  <definedNames>
    <definedName name="_xlnm._FilterDatabase" localSheetId="22"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4" i="1" l="1"/>
  <c r="L8" i="1"/>
  <c r="C40" i="39"/>
  <c r="G2" i="72"/>
  <c r="G1" i="72"/>
  <c r="B3" i="72"/>
  <c r="C3" i="72"/>
  <c r="D3" i="72"/>
  <c r="E3" i="72"/>
  <c r="F3" i="72"/>
  <c r="A3" i="72"/>
  <c r="G3" i="72" l="1"/>
  <c r="D3" i="4"/>
  <c r="AF13" i="3" l="1"/>
  <c r="AD13" i="3"/>
  <c r="M13" i="3"/>
  <c r="K13" i="3"/>
  <c r="I13" i="3"/>
  <c r="AH8" i="1"/>
  <c r="C3" i="65" l="1"/>
  <c r="H1" i="65"/>
  <c r="C1" i="65"/>
  <c r="N1" i="65"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B25" i="31"/>
  <c r="B24" i="31"/>
  <c r="P23" i="31"/>
  <c r="N23" i="31"/>
  <c r="L23" i="31"/>
  <c r="J23" i="31"/>
  <c r="H23" i="31"/>
  <c r="F23" i="31"/>
  <c r="D23" i="31"/>
  <c r="S12" i="31"/>
  <c r="K12" i="31"/>
  <c r="L12" i="31" s="1"/>
  <c r="M12" i="31" s="1"/>
  <c r="N12" i="31" s="1"/>
  <c r="O12" i="31" s="1"/>
  <c r="P12" i="31" s="1"/>
  <c r="Q12" i="31" s="1"/>
  <c r="R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J42" i="36"/>
  <c r="I42" i="36"/>
  <c r="H42" i="36"/>
  <c r="G42" i="36"/>
  <c r="F42" i="36"/>
  <c r="E42" i="36"/>
  <c r="P37" i="36"/>
  <c r="P36" i="36"/>
  <c r="V35" i="36"/>
  <c r="T35" i="36"/>
  <c r="R35" i="36"/>
  <c r="P35" i="36"/>
  <c r="Q34" i="36"/>
  <c r="Z34" i="36" s="1"/>
  <c r="J34" i="36"/>
  <c r="H34" i="36"/>
  <c r="AB34" i="36" s="1"/>
  <c r="F34" i="36"/>
  <c r="AA34" i="36" s="1"/>
  <c r="Q33" i="36"/>
  <c r="Z33" i="36" s="1"/>
  <c r="AC32" i="36"/>
  <c r="W32" i="36"/>
  <c r="Q32" i="36"/>
  <c r="Z32" i="36" s="1"/>
  <c r="J32" i="36"/>
  <c r="H32" i="36"/>
  <c r="AB32" i="36" s="1"/>
  <c r="F32" i="36"/>
  <c r="AA32" i="36" s="1"/>
  <c r="AB31" i="36"/>
  <c r="U31" i="36"/>
  <c r="Q31" i="36"/>
  <c r="Z31" i="36" s="1"/>
  <c r="J31" i="36"/>
  <c r="AC31" i="36" s="1"/>
  <c r="H31" i="36"/>
  <c r="F31" i="36"/>
  <c r="AA31" i="36" s="1"/>
  <c r="Q30" i="36"/>
  <c r="Z30" i="36" s="1"/>
  <c r="J30" i="36"/>
  <c r="H30" i="36"/>
  <c r="AB30" i="36" s="1"/>
  <c r="F30" i="36"/>
  <c r="AA30" i="36" s="1"/>
  <c r="Q29" i="36"/>
  <c r="Z29" i="36" s="1"/>
  <c r="J29" i="36"/>
  <c r="AC29" i="36" s="1"/>
  <c r="H29" i="36"/>
  <c r="F29" i="36"/>
  <c r="AA29" i="36" s="1"/>
  <c r="AC28" i="36"/>
  <c r="W28" i="36"/>
  <c r="Q28" i="36"/>
  <c r="Z28" i="36" s="1"/>
  <c r="J28" i="36"/>
  <c r="H28" i="36"/>
  <c r="AB28" i="36" s="1"/>
  <c r="F28" i="36"/>
  <c r="AA28" i="36" s="1"/>
  <c r="AB27" i="36"/>
  <c r="Q27" i="36"/>
  <c r="Z27" i="36" s="1"/>
  <c r="J27" i="36"/>
  <c r="H27" i="36"/>
  <c r="U27" i="36" s="1"/>
  <c r="F27" i="36"/>
  <c r="AA27" i="36" s="1"/>
  <c r="Z26" i="36"/>
  <c r="Q26" i="36"/>
  <c r="J26" i="36"/>
  <c r="AC26" i="36" s="1"/>
  <c r="H26" i="36"/>
  <c r="F26" i="36"/>
  <c r="AA26" i="36" s="1"/>
  <c r="AC25" i="36"/>
  <c r="W25" i="36"/>
  <c r="Q25" i="36"/>
  <c r="Z25" i="36" s="1"/>
  <c r="J25" i="36"/>
  <c r="H25" i="36"/>
  <c r="AB25" i="36" s="1"/>
  <c r="F25" i="36"/>
  <c r="AA25" i="36" s="1"/>
  <c r="AB24" i="36"/>
  <c r="U24" i="36"/>
  <c r="Q24" i="36"/>
  <c r="Z24" i="36" s="1"/>
  <c r="J24" i="36"/>
  <c r="AC24" i="36" s="1"/>
  <c r="H24" i="36"/>
  <c r="F24" i="36"/>
  <c r="AA24" i="36" s="1"/>
  <c r="Q23" i="36"/>
  <c r="Z23" i="36" s="1"/>
  <c r="J23" i="36"/>
  <c r="H23" i="36"/>
  <c r="AB23" i="36" s="1"/>
  <c r="F23" i="36"/>
  <c r="AA23" i="36" s="1"/>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H13" i="36"/>
  <c r="AB13" i="36" s="1"/>
  <c r="F13" i="36"/>
  <c r="AA13" i="36" s="1"/>
  <c r="AB12" i="36"/>
  <c r="U12" i="36"/>
  <c r="Q12" i="36"/>
  <c r="Z12" i="36" s="1"/>
  <c r="J12" i="36"/>
  <c r="AC12" i="36" s="1"/>
  <c r="H12" i="36"/>
  <c r="F12" i="36"/>
  <c r="AA12" i="36" s="1"/>
  <c r="AA11" i="36"/>
  <c r="Q11" i="36"/>
  <c r="Z11" i="36" s="1"/>
  <c r="J11" i="36"/>
  <c r="H11" i="36"/>
  <c r="AB11" i="36" s="1"/>
  <c r="F11" i="36"/>
  <c r="S11" i="36" s="1"/>
  <c r="Z10" i="36"/>
  <c r="Q10" i="36"/>
  <c r="J10" i="36"/>
  <c r="AC10" i="36" s="1"/>
  <c r="H10" i="36"/>
  <c r="F10" i="36"/>
  <c r="AA10" i="36" s="1"/>
  <c r="AC9" i="36"/>
  <c r="Z9" i="36"/>
  <c r="Q9" i="36"/>
  <c r="J9" i="36"/>
  <c r="W9" i="36" s="1"/>
  <c r="H9" i="36"/>
  <c r="F9" i="36"/>
  <c r="AA9" i="36" s="1"/>
  <c r="AC8" i="36"/>
  <c r="U8" i="36"/>
  <c r="J8" i="36"/>
  <c r="W8" i="36" s="1"/>
  <c r="H8" i="36"/>
  <c r="AB8" i="36" s="1"/>
  <c r="F8" i="36"/>
  <c r="S8" i="36" s="1"/>
  <c r="D3" i="36"/>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M89" i="35"/>
  <c r="E89" i="35"/>
  <c r="F89" i="35" s="1"/>
  <c r="G89" i="35" s="1"/>
  <c r="H89" i="35" s="1"/>
  <c r="I89" i="35" s="1"/>
  <c r="J89" i="35" s="1"/>
  <c r="K89" i="35" s="1"/>
  <c r="L89" i="35" s="1"/>
  <c r="D89" i="35"/>
  <c r="E87" i="35"/>
  <c r="F87" i="35" s="1"/>
  <c r="G87" i="35" s="1"/>
  <c r="H87" i="35" s="1"/>
  <c r="I87" i="35" s="1"/>
  <c r="J87" i="35" s="1"/>
  <c r="K87" i="35" s="1"/>
  <c r="L87" i="35" s="1"/>
  <c r="M87" i="35" s="1"/>
  <c r="D87" i="35"/>
  <c r="G85" i="35"/>
  <c r="F85" i="35"/>
  <c r="E85" i="35"/>
  <c r="D85" i="35"/>
  <c r="C85" i="35"/>
  <c r="F84" i="35"/>
  <c r="G84" i="35" s="1"/>
  <c r="H84" i="35" s="1"/>
  <c r="I84" i="35" s="1"/>
  <c r="J84" i="35" s="1"/>
  <c r="K84" i="35" s="1"/>
  <c r="L84" i="35" s="1"/>
  <c r="M84" i="35" s="1"/>
  <c r="D84" i="35"/>
  <c r="E84" i="35" s="1"/>
  <c r="D80" i="35"/>
  <c r="E80" i="35" s="1"/>
  <c r="F80" i="35" s="1"/>
  <c r="G80" i="35" s="1"/>
  <c r="H80" i="35" s="1"/>
  <c r="I80" i="35" s="1"/>
  <c r="J80" i="35" s="1"/>
  <c r="K80" i="35" s="1"/>
  <c r="L80" i="35" s="1"/>
  <c r="M80" i="35" s="1"/>
  <c r="B77" i="35"/>
  <c r="B75" i="35"/>
  <c r="B73" i="35"/>
  <c r="F72" i="35"/>
  <c r="G72" i="35" s="1"/>
  <c r="D72" i="35"/>
  <c r="E72" i="35" s="1"/>
  <c r="F70" i="35"/>
  <c r="G70" i="35" s="1"/>
  <c r="D70" i="35"/>
  <c r="E70" i="35" s="1"/>
  <c r="F68" i="35"/>
  <c r="G68" i="35" s="1"/>
  <c r="D68" i="35"/>
  <c r="E68" i="35" s="1"/>
  <c r="F66" i="35"/>
  <c r="G66" i="35" s="1"/>
  <c r="D66" i="35"/>
  <c r="E66" i="35" s="1"/>
  <c r="F64" i="35"/>
  <c r="G64" i="35" s="1"/>
  <c r="D64" i="35"/>
  <c r="E64" i="35" s="1"/>
  <c r="B61" i="35"/>
  <c r="B59" i="35"/>
  <c r="B57" i="35"/>
  <c r="G56" i="35"/>
  <c r="H56" i="35" s="1"/>
  <c r="I56" i="35" s="1"/>
  <c r="F56" i="35"/>
  <c r="C53" i="35"/>
  <c r="I44" i="35"/>
  <c r="J44" i="35" s="1"/>
  <c r="G44" i="35"/>
  <c r="H44" i="35" s="1"/>
  <c r="E44" i="35"/>
  <c r="F44" i="35" s="1"/>
  <c r="P39" i="35"/>
  <c r="P38" i="35"/>
  <c r="V37" i="35"/>
  <c r="T37" i="35"/>
  <c r="R37" i="35"/>
  <c r="P37" i="35"/>
  <c r="Q36" i="35"/>
  <c r="Z36" i="35" s="1"/>
  <c r="H36" i="35"/>
  <c r="AB36" i="35" s="1"/>
  <c r="Q35" i="35"/>
  <c r="Z35" i="35" s="1"/>
  <c r="J35" i="35"/>
  <c r="H35" i="35"/>
  <c r="AB35" i="35" s="1"/>
  <c r="F35" i="35"/>
  <c r="AA35" i="35" s="1"/>
  <c r="Q34" i="35"/>
  <c r="Z34" i="35" s="1"/>
  <c r="H34" i="35"/>
  <c r="AB34" i="35" s="1"/>
  <c r="AC33" i="35"/>
  <c r="W33" i="35"/>
  <c r="Q33" i="35"/>
  <c r="Z33" i="35" s="1"/>
  <c r="J33" i="35"/>
  <c r="H33" i="35"/>
  <c r="AB33" i="35" s="1"/>
  <c r="F33" i="35"/>
  <c r="AA33" i="35" s="1"/>
  <c r="AB32" i="35"/>
  <c r="U32" i="35"/>
  <c r="Q32" i="35"/>
  <c r="Z32" i="35" s="1"/>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AA29" i="35" s="1"/>
  <c r="AB28" i="35"/>
  <c r="U28" i="35"/>
  <c r="Q28" i="35"/>
  <c r="Z28" i="35" s="1"/>
  <c r="J28" i="35"/>
  <c r="AC28" i="35" s="1"/>
  <c r="H28" i="35"/>
  <c r="F28" i="35"/>
  <c r="AA28" i="35" s="1"/>
  <c r="Q27" i="35"/>
  <c r="Z27" i="35" s="1"/>
  <c r="J27" i="35"/>
  <c r="H27" i="35"/>
  <c r="AB27" i="35" s="1"/>
  <c r="F27" i="35"/>
  <c r="AA27" i="35" s="1"/>
  <c r="Q26" i="35"/>
  <c r="Z26" i="35" s="1"/>
  <c r="C26" i="35"/>
  <c r="Z25" i="35"/>
  <c r="Q25" i="35"/>
  <c r="H25" i="35"/>
  <c r="AB25" i="35" s="1"/>
  <c r="AC24" i="35"/>
  <c r="W24" i="35"/>
  <c r="Q24" i="35"/>
  <c r="Z24" i="35" s="1"/>
  <c r="J24" i="35"/>
  <c r="H24" i="35"/>
  <c r="AB24" i="35" s="1"/>
  <c r="F24" i="35"/>
  <c r="AA24" i="35" s="1"/>
  <c r="Q23" i="35"/>
  <c r="Z23" i="35" s="1"/>
  <c r="H23" i="35"/>
  <c r="AB23" i="35" s="1"/>
  <c r="Q22" i="35"/>
  <c r="Z22" i="35" s="1"/>
  <c r="J22" i="35"/>
  <c r="H22" i="35"/>
  <c r="AB22" i="35" s="1"/>
  <c r="F22" i="35"/>
  <c r="AA22" i="35" s="1"/>
  <c r="Q20" i="35"/>
  <c r="Z20" i="35" s="1"/>
  <c r="J20" i="35"/>
  <c r="AC20" i="35" s="1"/>
  <c r="H20" i="35"/>
  <c r="F20" i="35"/>
  <c r="AA20" i="35" s="1"/>
  <c r="C20" i="35"/>
  <c r="Q18" i="35"/>
  <c r="Z18" i="35" s="1"/>
  <c r="J18" i="35"/>
  <c r="AC18" i="35" s="1"/>
  <c r="H18" i="35"/>
  <c r="F18" i="35"/>
  <c r="AA18" i="35" s="1"/>
  <c r="C18" i="35"/>
  <c r="Q16" i="35"/>
  <c r="Z16" i="35" s="1"/>
  <c r="J16" i="35"/>
  <c r="AC16" i="35" s="1"/>
  <c r="H16" i="35"/>
  <c r="F16" i="35"/>
  <c r="AA16" i="35" s="1"/>
  <c r="C16" i="35"/>
  <c r="Q14" i="35"/>
  <c r="Z14" i="35" s="1"/>
  <c r="J14" i="35"/>
  <c r="AC14" i="35" s="1"/>
  <c r="H14" i="35"/>
  <c r="F14" i="35"/>
  <c r="AA14" i="35" s="1"/>
  <c r="C14" i="35"/>
  <c r="Q13" i="35"/>
  <c r="Z13" i="35" s="1"/>
  <c r="J13" i="35"/>
  <c r="AC13" i="35" s="1"/>
  <c r="H13" i="35"/>
  <c r="F13" i="35"/>
  <c r="AA13" i="35" s="1"/>
  <c r="Q12" i="35"/>
  <c r="Z12" i="35" s="1"/>
  <c r="J12" i="35"/>
  <c r="W12" i="35" s="1"/>
  <c r="H12" i="35"/>
  <c r="AB12" i="35" s="1"/>
  <c r="F12" i="35"/>
  <c r="AA12" i="35" s="1"/>
  <c r="Q11" i="35"/>
  <c r="Z11" i="35" s="1"/>
  <c r="J11" i="35"/>
  <c r="AC11" i="35" s="1"/>
  <c r="H11" i="35"/>
  <c r="F11" i="35"/>
  <c r="AA11" i="35" s="1"/>
  <c r="AC10" i="35"/>
  <c r="W10" i="35"/>
  <c r="Q10" i="35"/>
  <c r="Z10" i="35" s="1"/>
  <c r="J10" i="35"/>
  <c r="H10" i="35"/>
  <c r="AB10" i="35" s="1"/>
  <c r="F10" i="35"/>
  <c r="AA10" i="35" s="1"/>
  <c r="AB9" i="35"/>
  <c r="Q9" i="35"/>
  <c r="Z9" i="35" s="1"/>
  <c r="H9" i="35"/>
  <c r="U9" i="35" s="1"/>
  <c r="U8" i="35"/>
  <c r="J8" i="35"/>
  <c r="H8" i="35"/>
  <c r="AB8" i="35" s="1"/>
  <c r="F8" i="35"/>
  <c r="S8" i="35" s="1"/>
  <c r="D3" i="35"/>
  <c r="B112" i="37"/>
  <c r="B110" i="37"/>
  <c r="H39" i="37" s="1"/>
  <c r="B108" i="37"/>
  <c r="G107" i="37"/>
  <c r="H107" i="37" s="1"/>
  <c r="I107" i="37" s="1"/>
  <c r="J107" i="37" s="1"/>
  <c r="K107" i="37" s="1"/>
  <c r="L107" i="37" s="1"/>
  <c r="M107" i="37" s="1"/>
  <c r="E107" i="37"/>
  <c r="F107" i="37" s="1"/>
  <c r="D107" i="37"/>
  <c r="E105" i="37"/>
  <c r="F105" i="37" s="1"/>
  <c r="G105" i="37" s="1"/>
  <c r="D105" i="37"/>
  <c r="I103" i="37"/>
  <c r="J103" i="37" s="1"/>
  <c r="K103" i="37" s="1"/>
  <c r="L103" i="37" s="1"/>
  <c r="M103" i="37" s="1"/>
  <c r="E103" i="37"/>
  <c r="F103" i="37" s="1"/>
  <c r="G103" i="37" s="1"/>
  <c r="H103" i="37" s="1"/>
  <c r="D103"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M90" i="37"/>
  <c r="L90" i="37"/>
  <c r="K90" i="37"/>
  <c r="J90" i="37"/>
  <c r="I90" i="37"/>
  <c r="H90" i="37"/>
  <c r="G90" i="37"/>
  <c r="F90" i="37"/>
  <c r="E90" i="37"/>
  <c r="D90" i="37"/>
  <c r="C90" i="37"/>
  <c r="I89" i="37"/>
  <c r="J89" i="37" s="1"/>
  <c r="K89" i="37" s="1"/>
  <c r="L89" i="37" s="1"/>
  <c r="M89" i="37" s="1"/>
  <c r="E89" i="37"/>
  <c r="F89" i="37" s="1"/>
  <c r="G89" i="37" s="1"/>
  <c r="H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H63" i="37"/>
  <c r="I63" i="37" s="1"/>
  <c r="J63" i="37" s="1"/>
  <c r="K63" i="37" s="1"/>
  <c r="L63" i="37" s="1"/>
  <c r="M63" i="37" s="1"/>
  <c r="D63" i="37"/>
  <c r="E63" i="37" s="1"/>
  <c r="F63" i="37" s="1"/>
  <c r="G63" i="37" s="1"/>
  <c r="M61" i="37"/>
  <c r="L61" i="37"/>
  <c r="K61" i="37"/>
  <c r="J61" i="37"/>
  <c r="I61" i="37"/>
  <c r="H61" i="37"/>
  <c r="G61" i="37"/>
  <c r="F61" i="37"/>
  <c r="E61" i="37"/>
  <c r="D61" i="37"/>
  <c r="C61" i="37"/>
  <c r="I60" i="37"/>
  <c r="G60" i="37"/>
  <c r="H60" i="37" s="1"/>
  <c r="F60" i="37"/>
  <c r="C57" i="37"/>
  <c r="H9" i="37" s="1"/>
  <c r="I48" i="37"/>
  <c r="J48" i="37" s="1"/>
  <c r="G48" i="37"/>
  <c r="H48" i="37" s="1"/>
  <c r="E48" i="37"/>
  <c r="F48" i="37" s="1"/>
  <c r="P43" i="37"/>
  <c r="P42" i="37"/>
  <c r="V41" i="37"/>
  <c r="T41" i="37"/>
  <c r="R41" i="37"/>
  <c r="P41" i="37"/>
  <c r="Z40" i="37"/>
  <c r="Q40" i="37"/>
  <c r="J40" i="37"/>
  <c r="AC40" i="37" s="1"/>
  <c r="H40" i="37"/>
  <c r="F40" i="37"/>
  <c r="AA40" i="37" s="1"/>
  <c r="AC39" i="37"/>
  <c r="W39" i="37"/>
  <c r="Q39" i="37"/>
  <c r="Z39" i="37" s="1"/>
  <c r="J39" i="37"/>
  <c r="F39" i="37"/>
  <c r="Z38" i="37"/>
  <c r="Q38" i="37"/>
  <c r="J38" i="37"/>
  <c r="AC38" i="37" s="1"/>
  <c r="H38" i="37"/>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AA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Q28" i="37"/>
  <c r="Z28" i="37" s="1"/>
  <c r="H28" i="37"/>
  <c r="AB28" i="37" s="1"/>
  <c r="Q27" i="37"/>
  <c r="Z27" i="37" s="1"/>
  <c r="J27" i="37"/>
  <c r="H27" i="37"/>
  <c r="AB27" i="37" s="1"/>
  <c r="F27" i="37"/>
  <c r="AA27" i="37" s="1"/>
  <c r="Q26" i="37"/>
  <c r="Z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Q14" i="37"/>
  <c r="Z14" i="37" s="1"/>
  <c r="H14" i="37"/>
  <c r="U14" i="37" s="1"/>
  <c r="AA13" i="37"/>
  <c r="Q13" i="37"/>
  <c r="Z13" i="37" s="1"/>
  <c r="J13" i="37"/>
  <c r="H13" i="37"/>
  <c r="AB13" i="37" s="1"/>
  <c r="F13" i="37"/>
  <c r="S13" i="37" s="1"/>
  <c r="Z12" i="37"/>
  <c r="Q12" i="37"/>
  <c r="H12" i="37"/>
  <c r="AB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F9" i="37"/>
  <c r="W8" i="37"/>
  <c r="S8" i="37"/>
  <c r="J8" i="37"/>
  <c r="AC8" i="37" s="1"/>
  <c r="H8" i="37"/>
  <c r="U8" i="37" s="1"/>
  <c r="F8" i="37"/>
  <c r="AA8" i="37" s="1"/>
  <c r="D3" i="37"/>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H32" i="34" s="1"/>
  <c r="B97" i="34"/>
  <c r="B95" i="34"/>
  <c r="H30" i="34" s="1"/>
  <c r="B93" i="34"/>
  <c r="I92" i="34"/>
  <c r="J92" i="34" s="1"/>
  <c r="K92" i="34" s="1"/>
  <c r="L92" i="34" s="1"/>
  <c r="M92" i="34" s="1"/>
  <c r="E92" i="34"/>
  <c r="F92" i="34" s="1"/>
  <c r="G92" i="34" s="1"/>
  <c r="H92" i="34" s="1"/>
  <c r="D92" i="34"/>
  <c r="B91" i="34"/>
  <c r="H28" i="34" s="1"/>
  <c r="J90" i="34"/>
  <c r="K90" i="34" s="1"/>
  <c r="L90" i="34" s="1"/>
  <c r="M90" i="34" s="1"/>
  <c r="F90" i="34"/>
  <c r="G90" i="34" s="1"/>
  <c r="H90" i="34" s="1"/>
  <c r="I90" i="34" s="1"/>
  <c r="D90" i="34"/>
  <c r="E90" i="34" s="1"/>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H9" i="34" s="1"/>
  <c r="I55" i="34"/>
  <c r="J55" i="34" s="1"/>
  <c r="G55" i="34"/>
  <c r="H55" i="34" s="1"/>
  <c r="E55" i="34"/>
  <c r="F55" i="34" s="1"/>
  <c r="P50" i="34"/>
  <c r="P49" i="34"/>
  <c r="V48" i="34"/>
  <c r="T48" i="34"/>
  <c r="R48" i="34"/>
  <c r="P48" i="34"/>
  <c r="AB47" i="34"/>
  <c r="U47" i="34"/>
  <c r="Q47" i="34"/>
  <c r="Z47" i="34" s="1"/>
  <c r="J47" i="34"/>
  <c r="AC47" i="34" s="1"/>
  <c r="H47" i="34"/>
  <c r="F47" i="34"/>
  <c r="AA47" i="34" s="1"/>
  <c r="Q46" i="34"/>
  <c r="Z46" i="34" s="1"/>
  <c r="J46" i="34"/>
  <c r="AB45" i="34"/>
  <c r="U45" i="34"/>
  <c r="Q45" i="34"/>
  <c r="Z45" i="34" s="1"/>
  <c r="J45" i="34"/>
  <c r="AC45" i="34" s="1"/>
  <c r="H45" i="34"/>
  <c r="F45" i="34"/>
  <c r="AA45" i="34" s="1"/>
  <c r="Q44" i="34"/>
  <c r="Z44" i="34" s="1"/>
  <c r="J44" i="34"/>
  <c r="H44" i="34"/>
  <c r="AB44" i="34" s="1"/>
  <c r="F44" i="34"/>
  <c r="AA44" i="34" s="1"/>
  <c r="Q43" i="34"/>
  <c r="Z43" i="34" s="1"/>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AA40" i="34"/>
  <c r="Q40" i="34"/>
  <c r="Z40" i="34" s="1"/>
  <c r="J40" i="34"/>
  <c r="H40" i="34"/>
  <c r="AB40" i="34" s="1"/>
  <c r="F40" i="34"/>
  <c r="S40" i="34" s="1"/>
  <c r="Z39" i="34"/>
  <c r="Q39" i="34"/>
  <c r="J39" i="34"/>
  <c r="AC39" i="34" s="1"/>
  <c r="H39" i="34"/>
  <c r="F39" i="34"/>
  <c r="AA39" i="34" s="1"/>
  <c r="AC38" i="34"/>
  <c r="W38" i="34"/>
  <c r="Q38" i="34"/>
  <c r="Z38" i="34" s="1"/>
  <c r="J38" i="34"/>
  <c r="H38" i="34"/>
  <c r="AB38" i="34" s="1"/>
  <c r="F38" i="34"/>
  <c r="AA38" i="34" s="1"/>
  <c r="U37" i="34"/>
  <c r="Q37" i="34"/>
  <c r="Z37" i="34" s="1"/>
  <c r="J37" i="34"/>
  <c r="H37" i="34"/>
  <c r="AB37" i="34" s="1"/>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AA32" i="34"/>
  <c r="S32" i="34"/>
  <c r="Q32" i="34"/>
  <c r="Z32" i="34" s="1"/>
  <c r="J32" i="34"/>
  <c r="AC32" i="34" s="1"/>
  <c r="F32" i="34"/>
  <c r="AB31" i="34"/>
  <c r="U31" i="34"/>
  <c r="Q31" i="34"/>
  <c r="Z31" i="34" s="1"/>
  <c r="J31" i="34"/>
  <c r="AC31" i="34" s="1"/>
  <c r="H31" i="34"/>
  <c r="F31" i="34"/>
  <c r="AA31" i="34" s="1"/>
  <c r="AA30" i="34"/>
  <c r="S30" i="34"/>
  <c r="Q30" i="34"/>
  <c r="Z30" i="34" s="1"/>
  <c r="J30" i="34"/>
  <c r="AC30" i="34" s="1"/>
  <c r="F30" i="34"/>
  <c r="AB29" i="34"/>
  <c r="U29" i="34"/>
  <c r="Q29" i="34"/>
  <c r="Z29" i="34" s="1"/>
  <c r="J29" i="34"/>
  <c r="AC29" i="34" s="1"/>
  <c r="H29" i="34"/>
  <c r="F29" i="34"/>
  <c r="AA29" i="34" s="1"/>
  <c r="AA28" i="34"/>
  <c r="S28" i="34"/>
  <c r="Q28" i="34"/>
  <c r="Z28" i="34" s="1"/>
  <c r="J28" i="34"/>
  <c r="AC28" i="34" s="1"/>
  <c r="F28" i="34"/>
  <c r="AB27" i="34"/>
  <c r="U27" i="34"/>
  <c r="Q27" i="34"/>
  <c r="Z27" i="34" s="1"/>
  <c r="J27" i="34"/>
  <c r="AC27" i="34" s="1"/>
  <c r="H27" i="34"/>
  <c r="F27" i="34"/>
  <c r="AA27" i="34" s="1"/>
  <c r="Q25" i="34"/>
  <c r="Z25" i="34" s="1"/>
  <c r="J25" i="34"/>
  <c r="AC25" i="34" s="1"/>
  <c r="H25" i="34"/>
  <c r="AB25" i="34" s="1"/>
  <c r="F25" i="34"/>
  <c r="AA25" i="34" s="1"/>
  <c r="Q23" i="34"/>
  <c r="Z23" i="34" s="1"/>
  <c r="J23" i="34"/>
  <c r="AC23" i="34" s="1"/>
  <c r="H23" i="34"/>
  <c r="AB23" i="34" s="1"/>
  <c r="F23" i="34"/>
  <c r="AA23" i="34" s="1"/>
  <c r="C23" i="34"/>
  <c r="Z21" i="34"/>
  <c r="Q21" i="34"/>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AC13" i="34"/>
  <c r="W13" i="34"/>
  <c r="Q13" i="34"/>
  <c r="Z13" i="34" s="1"/>
  <c r="J13" i="34"/>
  <c r="H13" i="34"/>
  <c r="AB13" i="34" s="1"/>
  <c r="F13" i="34"/>
  <c r="AA13" i="34" s="1"/>
  <c r="Q12" i="34"/>
  <c r="Z12" i="34" s="1"/>
  <c r="H12" i="34"/>
  <c r="AB12" i="34" s="1"/>
  <c r="Q11" i="34"/>
  <c r="Z11" i="34" s="1"/>
  <c r="J11" i="34"/>
  <c r="H11" i="34"/>
  <c r="AB11" i="34" s="1"/>
  <c r="F11" i="34"/>
  <c r="AA11" i="34" s="1"/>
  <c r="Q10" i="34"/>
  <c r="Z10" i="34" s="1"/>
  <c r="J10" i="34"/>
  <c r="AC10" i="34" s="1"/>
  <c r="H10" i="34"/>
  <c r="F10" i="34"/>
  <c r="AA10" i="34" s="1"/>
  <c r="AC9" i="34"/>
  <c r="W9" i="34"/>
  <c r="Q9" i="34"/>
  <c r="Z9" i="34" s="1"/>
  <c r="J9" i="34"/>
  <c r="F9" i="34"/>
  <c r="W8" i="34"/>
  <c r="S8" i="34"/>
  <c r="J8" i="34"/>
  <c r="AC8" i="34" s="1"/>
  <c r="H8" i="34"/>
  <c r="U8" i="34" s="1"/>
  <c r="F8" i="34"/>
  <c r="AA8" i="34" s="1"/>
  <c r="D3" i="34"/>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B96" i="33"/>
  <c r="B94" i="33"/>
  <c r="B92" i="33"/>
  <c r="G91" i="33"/>
  <c r="H91" i="33" s="1"/>
  <c r="I91" i="33" s="1"/>
  <c r="J91" i="33" s="1"/>
  <c r="K91" i="33" s="1"/>
  <c r="L91" i="33" s="1"/>
  <c r="M91" i="33" s="1"/>
  <c r="E91" i="33"/>
  <c r="F91" i="33" s="1"/>
  <c r="D91" i="33"/>
  <c r="B90" i="33"/>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G66" i="33"/>
  <c r="H66" i="33" s="1"/>
  <c r="I66" i="33" s="1"/>
  <c r="C63" i="33"/>
  <c r="J54" i="33"/>
  <c r="I54" i="33"/>
  <c r="H54" i="33"/>
  <c r="G54" i="33"/>
  <c r="F54" i="33"/>
  <c r="E54" i="33"/>
  <c r="P49" i="33"/>
  <c r="P48" i="33"/>
  <c r="V47" i="33"/>
  <c r="T47" i="33"/>
  <c r="R47" i="33"/>
  <c r="P47" i="33"/>
  <c r="AC46" i="33"/>
  <c r="W46" i="33"/>
  <c r="Q46" i="33"/>
  <c r="Z46" i="33" s="1"/>
  <c r="J46" i="33"/>
  <c r="H46" i="33"/>
  <c r="AB46" i="33" s="1"/>
  <c r="F46" i="33"/>
  <c r="AA46" i="33" s="1"/>
  <c r="AB45" i="33"/>
  <c r="Q45" i="33"/>
  <c r="Z45" i="33" s="1"/>
  <c r="H45" i="33"/>
  <c r="U45" i="33" s="1"/>
  <c r="AA44" i="33"/>
  <c r="Q44" i="33"/>
  <c r="Z44" i="33" s="1"/>
  <c r="J44" i="33"/>
  <c r="H44" i="33"/>
  <c r="AB44" i="33" s="1"/>
  <c r="F44" i="33"/>
  <c r="S44" i="33" s="1"/>
  <c r="Z43" i="33"/>
  <c r="Q43" i="33"/>
  <c r="J43" i="33"/>
  <c r="AC43" i="33" s="1"/>
  <c r="H43" i="33"/>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H40" i="33"/>
  <c r="AB40" i="33" s="1"/>
  <c r="F40" i="33"/>
  <c r="AA40" i="33" s="1"/>
  <c r="Q39" i="33"/>
  <c r="Z39" i="33" s="1"/>
  <c r="J39" i="33"/>
  <c r="AC39" i="33" s="1"/>
  <c r="H39" i="33"/>
  <c r="F39" i="33"/>
  <c r="AA39" i="33" s="1"/>
  <c r="AC38" i="33"/>
  <c r="W38" i="33"/>
  <c r="Q38" i="33"/>
  <c r="Z38" i="33" s="1"/>
  <c r="J38" i="33"/>
  <c r="H38" i="33"/>
  <c r="AB38" i="33" s="1"/>
  <c r="F38" i="33"/>
  <c r="AA38" i="33" s="1"/>
  <c r="AB37" i="33"/>
  <c r="U37" i="33"/>
  <c r="Q37" i="33"/>
  <c r="Z37" i="33" s="1"/>
  <c r="J37" i="33"/>
  <c r="AC37" i="33" s="1"/>
  <c r="H37" i="33"/>
  <c r="F37" i="33"/>
  <c r="AA37" i="33" s="1"/>
  <c r="AA36" i="33"/>
  <c r="Q36" i="33"/>
  <c r="Z36" i="33" s="1"/>
  <c r="J36" i="33"/>
  <c r="H36" i="33"/>
  <c r="AB36" i="33" s="1"/>
  <c r="F36" i="33"/>
  <c r="S36" i="33" s="1"/>
  <c r="Z35" i="33"/>
  <c r="Q35" i="33"/>
  <c r="J35" i="33"/>
  <c r="AC35" i="33" s="1"/>
  <c r="H35" i="33"/>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H32" i="33"/>
  <c r="AB32" i="33" s="1"/>
  <c r="F32" i="33"/>
  <c r="AA32" i="33" s="1"/>
  <c r="Q31" i="33"/>
  <c r="Z31" i="33" s="1"/>
  <c r="H31" i="33"/>
  <c r="AB31" i="33" s="1"/>
  <c r="AC30" i="33"/>
  <c r="W30" i="33"/>
  <c r="Q30" i="33"/>
  <c r="Z30" i="33" s="1"/>
  <c r="J30" i="33"/>
  <c r="H30" i="33"/>
  <c r="AB30" i="33" s="1"/>
  <c r="F30" i="33"/>
  <c r="AA30" i="33" s="1"/>
  <c r="AB29" i="33"/>
  <c r="Q29" i="33"/>
  <c r="Z29" i="33" s="1"/>
  <c r="H29" i="33"/>
  <c r="U29" i="33" s="1"/>
  <c r="AA28" i="33"/>
  <c r="Q28" i="33"/>
  <c r="Z28" i="33" s="1"/>
  <c r="J28" i="33"/>
  <c r="H28" i="33"/>
  <c r="AB28" i="33" s="1"/>
  <c r="F28" i="33"/>
  <c r="S28" i="33" s="1"/>
  <c r="Z27" i="33"/>
  <c r="Q27" i="33"/>
  <c r="H27" i="33"/>
  <c r="AB27" i="33" s="1"/>
  <c r="AC26" i="33"/>
  <c r="W26" i="33"/>
  <c r="Q26" i="33"/>
  <c r="Z26" i="33" s="1"/>
  <c r="J26" i="33"/>
  <c r="H26" i="33"/>
  <c r="AB26" i="33" s="1"/>
  <c r="F26" i="33"/>
  <c r="AA26" i="33" s="1"/>
  <c r="AB25" i="33"/>
  <c r="U25" i="33"/>
  <c r="Q25" i="33"/>
  <c r="Z25" i="33" s="1"/>
  <c r="J25" i="33"/>
  <c r="AC25" i="33" s="1"/>
  <c r="H25" i="33"/>
  <c r="F25" i="33"/>
  <c r="AA25" i="33" s="1"/>
  <c r="Q23" i="33"/>
  <c r="Z23" i="33" s="1"/>
  <c r="J23" i="33"/>
  <c r="H23" i="33"/>
  <c r="AB23" i="33" s="1"/>
  <c r="F23" i="33"/>
  <c r="AA23" i="33" s="1"/>
  <c r="C23" i="33"/>
  <c r="AC21" i="33"/>
  <c r="W21" i="33"/>
  <c r="Q21" i="33"/>
  <c r="Z21" i="33" s="1"/>
  <c r="J21" i="33"/>
  <c r="H21" i="33"/>
  <c r="AB21" i="33" s="1"/>
  <c r="F21" i="33"/>
  <c r="AA21" i="33" s="1"/>
  <c r="C21" i="33"/>
  <c r="Q19" i="33"/>
  <c r="Z19" i="33" s="1"/>
  <c r="J19" i="33"/>
  <c r="H19" i="33"/>
  <c r="AB19" i="33" s="1"/>
  <c r="F19" i="33"/>
  <c r="AA19" i="33" s="1"/>
  <c r="C19" i="33"/>
  <c r="AC17" i="33"/>
  <c r="W17" i="33"/>
  <c r="Q17" i="33"/>
  <c r="Z17" i="33" s="1"/>
  <c r="J17" i="33"/>
  <c r="H17" i="33"/>
  <c r="AB17" i="33" s="1"/>
  <c r="F17" i="33"/>
  <c r="AA17" i="33" s="1"/>
  <c r="C17" i="33"/>
  <c r="Q15" i="33"/>
  <c r="Z15" i="33" s="1"/>
  <c r="J15" i="33"/>
  <c r="H15" i="33"/>
  <c r="AB15" i="33" s="1"/>
  <c r="F15" i="33"/>
  <c r="AA15" i="33" s="1"/>
  <c r="C15" i="33"/>
  <c r="Q14" i="33"/>
  <c r="Z14" i="33" s="1"/>
  <c r="F14" i="33"/>
  <c r="Z13" i="33"/>
  <c r="Q13" i="33"/>
  <c r="J13" i="33"/>
  <c r="AC13" i="33" s="1"/>
  <c r="H13" i="33"/>
  <c r="F13" i="33"/>
  <c r="AA13" i="33" s="1"/>
  <c r="Q12" i="33"/>
  <c r="Z12" i="33" s="1"/>
  <c r="F12" i="33"/>
  <c r="Q11" i="33"/>
  <c r="Z11" i="33" s="1"/>
  <c r="J11" i="33"/>
  <c r="AC11" i="33" s="1"/>
  <c r="H11" i="33"/>
  <c r="F11" i="33"/>
  <c r="AA11" i="33" s="1"/>
  <c r="AC10" i="33"/>
  <c r="W10" i="33"/>
  <c r="Q10" i="33"/>
  <c r="Z10" i="33" s="1"/>
  <c r="J10" i="33"/>
  <c r="H10" i="33"/>
  <c r="AB10" i="33" s="1"/>
  <c r="F10" i="33"/>
  <c r="AA10" i="33" s="1"/>
  <c r="AB9" i="33"/>
  <c r="U9" i="33"/>
  <c r="Q9" i="33"/>
  <c r="Z9" i="33" s="1"/>
  <c r="J9" i="33"/>
  <c r="AC9" i="33" s="1"/>
  <c r="H9" i="33"/>
  <c r="F9" i="33"/>
  <c r="AA9" i="33" s="1"/>
  <c r="U8" i="33"/>
  <c r="J8" i="33"/>
  <c r="H8" i="33"/>
  <c r="AB8" i="33" s="1"/>
  <c r="F8" i="33"/>
  <c r="S8" i="33" s="1"/>
  <c r="D3" i="33"/>
  <c r="Q73" i="71"/>
  <c r="Q60" i="71"/>
  <c r="D60" i="71"/>
  <c r="Q59" i="71"/>
  <c r="K59" i="71"/>
  <c r="P75" i="71" s="1"/>
  <c r="F58" i="71"/>
  <c r="Q52" i="71"/>
  <c r="J51" i="71"/>
  <c r="J50" i="71"/>
  <c r="M47" i="71"/>
  <c r="L46" i="71" s="1"/>
  <c r="F33" i="71"/>
  <c r="F60" i="71" s="1"/>
  <c r="F31" i="71"/>
  <c r="F23" i="71"/>
  <c r="D22" i="71"/>
  <c r="F21" i="71"/>
  <c r="F20" i="71"/>
  <c r="M19" i="71"/>
  <c r="F18" i="71"/>
  <c r="M17" i="71"/>
  <c r="F17" i="71"/>
  <c r="F15" i="71"/>
  <c r="G17" i="11"/>
  <c r="E13" i="11"/>
  <c r="E12" i="11"/>
  <c r="C7" i="11"/>
  <c r="C32" i="57"/>
  <c r="C31" i="57"/>
  <c r="C30" i="57"/>
  <c r="E26" i="57" s="1"/>
  <c r="I23" i="57"/>
  <c r="D20" i="57"/>
  <c r="I19" i="57"/>
  <c r="I18" i="57"/>
  <c r="I17" i="57"/>
  <c r="I20" i="57" s="1"/>
  <c r="E15" i="57"/>
  <c r="I14" i="57"/>
  <c r="I13" i="57"/>
  <c r="I12" i="57"/>
  <c r="I10" i="57"/>
  <c r="I9" i="57"/>
  <c r="I8" i="57"/>
  <c r="I7" i="57"/>
  <c r="I6" i="57"/>
  <c r="I5" i="57"/>
  <c r="I4" i="57"/>
  <c r="I3" i="57"/>
  <c r="Q73" i="15"/>
  <c r="Q60" i="15"/>
  <c r="D60" i="15"/>
  <c r="Q59" i="15"/>
  <c r="K59" i="15"/>
  <c r="P75" i="15" s="1"/>
  <c r="F58" i="15"/>
  <c r="Q52" i="15"/>
  <c r="J51" i="15"/>
  <c r="J50" i="15"/>
  <c r="M47" i="15"/>
  <c r="L46" i="15" s="1"/>
  <c r="F33" i="15"/>
  <c r="F60" i="15" s="1"/>
  <c r="F31" i="15"/>
  <c r="F23" i="15"/>
  <c r="D22" i="15"/>
  <c r="F21" i="15"/>
  <c r="F20" i="15"/>
  <c r="M19" i="15"/>
  <c r="F18" i="15"/>
  <c r="M17" i="15"/>
  <c r="F17" i="15"/>
  <c r="F15" i="15"/>
  <c r="C145" i="21"/>
  <c r="K139" i="21" s="1"/>
  <c r="J142" i="21"/>
  <c r="J140" i="21"/>
  <c r="K145" i="21" s="1"/>
  <c r="B130" i="21"/>
  <c r="B128" i="21"/>
  <c r="B126" i="21"/>
  <c r="E125" i="21"/>
  <c r="F125" i="21" s="1"/>
  <c r="G125" i="21" s="1"/>
  <c r="D125" i="21"/>
  <c r="D123" i="21"/>
  <c r="E123" i="21" s="1"/>
  <c r="F123" i="21" s="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D113" i="21"/>
  <c r="E113" i="21" s="1"/>
  <c r="H111" i="21"/>
  <c r="G111" i="21"/>
  <c r="F111" i="21"/>
  <c r="E111" i="21"/>
  <c r="D111" i="21"/>
  <c r="C111" i="21"/>
  <c r="H110" i="21"/>
  <c r="I110" i="21" s="1"/>
  <c r="J110" i="21" s="1"/>
  <c r="K110" i="21" s="1"/>
  <c r="L110" i="21" s="1"/>
  <c r="M110" i="21" s="1"/>
  <c r="D110" i="21"/>
  <c r="E110" i="21" s="1"/>
  <c r="F110" i="21" s="1"/>
  <c r="G110" i="21" s="1"/>
  <c r="J108" i="21"/>
  <c r="K108" i="21" s="1"/>
  <c r="L108" i="21" s="1"/>
  <c r="M108" i="21" s="1"/>
  <c r="F108" i="21"/>
  <c r="G108" i="21" s="1"/>
  <c r="H108" i="21" s="1"/>
  <c r="I108" i="21" s="1"/>
  <c r="D108" i="21"/>
  <c r="E108" i="21" s="1"/>
  <c r="H106" i="21"/>
  <c r="I106" i="21" s="1"/>
  <c r="J106" i="21" s="1"/>
  <c r="K106" i="21" s="1"/>
  <c r="L106" i="21" s="1"/>
  <c r="M106" i="21" s="1"/>
  <c r="D106" i="21"/>
  <c r="E106" i="21" s="1"/>
  <c r="F106" i="21" s="1"/>
  <c r="G106" i="21" s="1"/>
  <c r="M102" i="21"/>
  <c r="L102" i="21"/>
  <c r="K102" i="21"/>
  <c r="J102" i="21"/>
  <c r="I102" i="21"/>
  <c r="H102" i="21"/>
  <c r="G102" i="21"/>
  <c r="F102" i="21"/>
  <c r="E102" i="21"/>
  <c r="D102" i="21"/>
  <c r="C102" i="21"/>
  <c r="I101" i="21"/>
  <c r="J101" i="21" s="1"/>
  <c r="K101" i="21" s="1"/>
  <c r="L101" i="21" s="1"/>
  <c r="M101" i="21" s="1"/>
  <c r="E101" i="21"/>
  <c r="F101" i="21" s="1"/>
  <c r="G101" i="21" s="1"/>
  <c r="H101" i="21" s="1"/>
  <c r="D101" i="21"/>
  <c r="B98" i="21"/>
  <c r="B96" i="21"/>
  <c r="B94" i="21"/>
  <c r="B92" i="21"/>
  <c r="B90" i="21"/>
  <c r="J89" i="21"/>
  <c r="K89" i="21" s="1"/>
  <c r="L89" i="21" s="1"/>
  <c r="M89" i="21" s="1"/>
  <c r="F89" i="21"/>
  <c r="G89" i="21" s="1"/>
  <c r="H89" i="21" s="1"/>
  <c r="I89" i="21" s="1"/>
  <c r="D89" i="21"/>
  <c r="E89" i="21" s="1"/>
  <c r="M87" i="21"/>
  <c r="L87" i="21"/>
  <c r="K87" i="21"/>
  <c r="J87" i="21"/>
  <c r="I87" i="21"/>
  <c r="H87" i="21"/>
  <c r="G87" i="21"/>
  <c r="F87" i="21"/>
  <c r="E87" i="21"/>
  <c r="D87" i="21"/>
  <c r="E85" i="21"/>
  <c r="D85" i="21"/>
  <c r="D83" i="21"/>
  <c r="F21" i="21" s="1"/>
  <c r="D81" i="21"/>
  <c r="D79" i="21"/>
  <c r="E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H46" i="21"/>
  <c r="AB46" i="21" s="1"/>
  <c r="F46" i="21"/>
  <c r="AA46" i="21" s="1"/>
  <c r="Q45" i="21"/>
  <c r="Z45" i="21" s="1"/>
  <c r="H45" i="21"/>
  <c r="AB45" i="21" s="1"/>
  <c r="AC44" i="21"/>
  <c r="W44" i="21"/>
  <c r="Q44" i="21"/>
  <c r="Z44" i="21" s="1"/>
  <c r="J44" i="21"/>
  <c r="H44" i="21"/>
  <c r="AB44" i="21" s="1"/>
  <c r="F44" i="21"/>
  <c r="AA44" i="21" s="1"/>
  <c r="AB43" i="21"/>
  <c r="U43" i="21"/>
  <c r="Q43" i="21"/>
  <c r="Z43" i="21" s="1"/>
  <c r="J43" i="21"/>
  <c r="AC43" i="21" s="1"/>
  <c r="H43" i="21"/>
  <c r="F43" i="21"/>
  <c r="AA43" i="21" s="1"/>
  <c r="Z42" i="21"/>
  <c r="Q42" i="21"/>
  <c r="J42" i="21"/>
  <c r="W42" i="21" s="1"/>
  <c r="Z41" i="21"/>
  <c r="Q41" i="2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H38" i="21"/>
  <c r="AB38" i="21" s="1"/>
  <c r="F38" i="21"/>
  <c r="AA38" i="21" s="1"/>
  <c r="Q37" i="21"/>
  <c r="Z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AA34" i="21" s="1"/>
  <c r="Q33" i="21"/>
  <c r="Z33" i="21" s="1"/>
  <c r="AB32" i="21"/>
  <c r="U32" i="21"/>
  <c r="Q32" i="21"/>
  <c r="Z32" i="21" s="1"/>
  <c r="J32" i="21"/>
  <c r="AC32" i="21" s="1"/>
  <c r="H32" i="21"/>
  <c r="F32" i="21"/>
  <c r="AA32" i="21" s="1"/>
  <c r="Q31" i="21"/>
  <c r="Z31" i="21" s="1"/>
  <c r="J31" i="21"/>
  <c r="AB30" i="21"/>
  <c r="U30" i="21"/>
  <c r="Q30" i="21"/>
  <c r="Z30" i="21" s="1"/>
  <c r="J30" i="21"/>
  <c r="AC30" i="21" s="1"/>
  <c r="H30" i="21"/>
  <c r="F30" i="21"/>
  <c r="AA30" i="21" s="1"/>
  <c r="Q29" i="21"/>
  <c r="Z29" i="21" s="1"/>
  <c r="J29" i="21"/>
  <c r="AB28" i="21"/>
  <c r="U28" i="21"/>
  <c r="Q28" i="21"/>
  <c r="Z28" i="21" s="1"/>
  <c r="J28" i="21"/>
  <c r="AC28" i="21" s="1"/>
  <c r="H28" i="21"/>
  <c r="F28" i="21"/>
  <c r="AA28" i="21" s="1"/>
  <c r="Q27" i="21"/>
  <c r="Z27" i="21" s="1"/>
  <c r="J27" i="21"/>
  <c r="AB26" i="21"/>
  <c r="U26" i="21"/>
  <c r="Q26" i="21"/>
  <c r="Z26" i="21" s="1"/>
  <c r="J26" i="21"/>
  <c r="AC26" i="21" s="1"/>
  <c r="H26" i="21"/>
  <c r="F26" i="21"/>
  <c r="AA26" i="21" s="1"/>
  <c r="AA25" i="21"/>
  <c r="Q25" i="21"/>
  <c r="Z25" i="21" s="1"/>
  <c r="J25" i="21"/>
  <c r="H25" i="21"/>
  <c r="AB25" i="21" s="1"/>
  <c r="F25" i="21"/>
  <c r="S25" i="21" s="1"/>
  <c r="Q23" i="21"/>
  <c r="Z23" i="21" s="1"/>
  <c r="H23" i="21"/>
  <c r="AB23" i="21" s="1"/>
  <c r="C23" i="21"/>
  <c r="Z21" i="21"/>
  <c r="Q21" i="21"/>
  <c r="C21" i="21"/>
  <c r="Q19" i="21"/>
  <c r="Z19" i="21" s="1"/>
  <c r="C19" i="21"/>
  <c r="Z17" i="21"/>
  <c r="Q17" i="21"/>
  <c r="C17" i="21"/>
  <c r="Q15" i="21"/>
  <c r="Z15" i="21" s="1"/>
  <c r="C15" i="21"/>
  <c r="AC14" i="21"/>
  <c r="W14" i="21"/>
  <c r="Q14" i="21"/>
  <c r="Z14" i="21" s="1"/>
  <c r="J14" i="21"/>
  <c r="H14" i="21"/>
  <c r="AB14" i="21" s="1"/>
  <c r="F14" i="21"/>
  <c r="AA14" i="21" s="1"/>
  <c r="Q13" i="21"/>
  <c r="Z13" i="21" s="1"/>
  <c r="H13" i="21"/>
  <c r="AB13" i="21" s="1"/>
  <c r="Q12" i="21"/>
  <c r="Z12" i="21" s="1"/>
  <c r="J12" i="21"/>
  <c r="H12" i="21"/>
  <c r="AB12" i="21" s="1"/>
  <c r="F12" i="21"/>
  <c r="AA12" i="21" s="1"/>
  <c r="Q11" i="21"/>
  <c r="Z11" i="21" s="1"/>
  <c r="AB10" i="21"/>
  <c r="U10" i="21"/>
  <c r="Q10" i="21"/>
  <c r="Z10" i="21" s="1"/>
  <c r="J10" i="21"/>
  <c r="AC10" i="21" s="1"/>
  <c r="H10" i="21"/>
  <c r="F10" i="21"/>
  <c r="AA10" i="21" s="1"/>
  <c r="AA9" i="21"/>
  <c r="Q9" i="21"/>
  <c r="Z9" i="21" s="1"/>
  <c r="J9" i="21"/>
  <c r="H9" i="21"/>
  <c r="AB9" i="21" s="1"/>
  <c r="F9" i="21"/>
  <c r="S9" i="21" s="1"/>
  <c r="W8" i="21"/>
  <c r="S8" i="21"/>
  <c r="J8" i="21"/>
  <c r="AC8" i="21" s="1"/>
  <c r="H8" i="21"/>
  <c r="U8" i="21" s="1"/>
  <c r="F8" i="21"/>
  <c r="AA8" i="21" s="1"/>
  <c r="Q74" i="44"/>
  <c r="Q61" i="44"/>
  <c r="Q60" i="44"/>
  <c r="Q53" i="44"/>
  <c r="J52" i="44"/>
  <c r="J51" i="44"/>
  <c r="M48" i="44"/>
  <c r="F35" i="44"/>
  <c r="F33" i="44"/>
  <c r="D26" i="44"/>
  <c r="F25" i="44"/>
  <c r="D25" i="44"/>
  <c r="D24" i="44"/>
  <c r="F23" i="44"/>
  <c r="F22" i="44"/>
  <c r="M21" i="44"/>
  <c r="F20" i="44"/>
  <c r="M19" i="44"/>
  <c r="F19" i="44"/>
  <c r="F17" i="44"/>
  <c r="D79" i="59"/>
  <c r="F78" i="59"/>
  <c r="E78" i="59"/>
  <c r="E77" i="59" s="1"/>
  <c r="C78" i="59"/>
  <c r="B78" i="59"/>
  <c r="F77" i="59"/>
  <c r="F76" i="59" s="1"/>
  <c r="B77" i="59"/>
  <c r="B76" i="59" s="1"/>
  <c r="E76" i="59"/>
  <c r="D75" i="59"/>
  <c r="F74" i="59"/>
  <c r="E74" i="59"/>
  <c r="E73" i="59" s="1"/>
  <c r="C74" i="59"/>
  <c r="B74" i="59"/>
  <c r="F73" i="59"/>
  <c r="F72" i="59" s="1"/>
  <c r="B73" i="59"/>
  <c r="B72" i="59" s="1"/>
  <c r="E72" i="59"/>
  <c r="D71" i="59"/>
  <c r="S70" i="59"/>
  <c r="Q70" i="59"/>
  <c r="P70" i="59"/>
  <c r="O70" i="59"/>
  <c r="N70" i="59"/>
  <c r="F70" i="59"/>
  <c r="V70" i="59" s="1"/>
  <c r="E70" i="59"/>
  <c r="C70" i="59"/>
  <c r="B70" i="59"/>
  <c r="Q69" i="59"/>
  <c r="P69" i="59"/>
  <c r="O69" i="59"/>
  <c r="N69" i="59"/>
  <c r="F69" i="59"/>
  <c r="F68" i="59" s="1"/>
  <c r="B69" i="59"/>
  <c r="B68" i="59" s="1"/>
  <c r="Q68" i="59"/>
  <c r="P68" i="59"/>
  <c r="O68" i="59"/>
  <c r="N68" i="59"/>
  <c r="Q67" i="59"/>
  <c r="P67" i="59"/>
  <c r="O67" i="59"/>
  <c r="N67" i="59"/>
  <c r="D67" i="59"/>
  <c r="S66" i="59"/>
  <c r="Q66" i="59"/>
  <c r="P66" i="59"/>
  <c r="O66" i="59"/>
  <c r="N66" i="59"/>
  <c r="F66" i="59"/>
  <c r="V66" i="59" s="1"/>
  <c r="E66" i="59"/>
  <c r="C66" i="59"/>
  <c r="B66" i="59"/>
  <c r="Q65" i="59"/>
  <c r="P65" i="59"/>
  <c r="O65" i="59"/>
  <c r="N65" i="59"/>
  <c r="F65" i="59"/>
  <c r="F64" i="59" s="1"/>
  <c r="B65" i="59"/>
  <c r="B64" i="59" s="1"/>
  <c r="Q64" i="59"/>
  <c r="P64" i="59"/>
  <c r="O64" i="59"/>
  <c r="N64" i="59"/>
  <c r="Q63" i="59"/>
  <c r="P63" i="59"/>
  <c r="O63" i="59"/>
  <c r="N63" i="59"/>
  <c r="D63" i="59"/>
  <c r="S62" i="59"/>
  <c r="Q62" i="59"/>
  <c r="P62" i="59"/>
  <c r="O62" i="59"/>
  <c r="N62" i="59"/>
  <c r="F62" i="59"/>
  <c r="V62" i="59" s="1"/>
  <c r="E62" i="59"/>
  <c r="C62" i="59"/>
  <c r="B62" i="59"/>
  <c r="Q61" i="59"/>
  <c r="P61" i="59"/>
  <c r="O61" i="59"/>
  <c r="N61" i="59"/>
  <c r="F61" i="59"/>
  <c r="F60" i="59" s="1"/>
  <c r="B61" i="59"/>
  <c r="B60" i="59" s="1"/>
  <c r="Q60" i="59"/>
  <c r="P60" i="59"/>
  <c r="O60" i="59"/>
  <c r="N60" i="59"/>
  <c r="Q59" i="59"/>
  <c r="P59" i="59"/>
  <c r="O59" i="59"/>
  <c r="N59" i="59"/>
  <c r="D59" i="59"/>
  <c r="S58" i="59"/>
  <c r="N58" i="59"/>
  <c r="F58" i="59"/>
  <c r="V58" i="59" s="1"/>
  <c r="E58" i="59"/>
  <c r="C58" i="59"/>
  <c r="B58" i="59"/>
  <c r="F57" i="59"/>
  <c r="F56" i="59" s="1"/>
  <c r="Q56" i="59" s="1"/>
  <c r="B57" i="59"/>
  <c r="Q55" i="59"/>
  <c r="D55" i="59"/>
  <c r="S54" i="59"/>
  <c r="Q54" i="59"/>
  <c r="P54" i="59"/>
  <c r="O54" i="59"/>
  <c r="N54" i="59"/>
  <c r="Q53" i="59"/>
  <c r="P53" i="59"/>
  <c r="O53" i="59"/>
  <c r="N53" i="59"/>
  <c r="Q52" i="59"/>
  <c r="P52" i="59"/>
  <c r="O52" i="59"/>
  <c r="N52" i="59"/>
  <c r="E52" i="59"/>
  <c r="E53" i="59" s="1"/>
  <c r="E54" i="59" s="1"/>
  <c r="U54" i="59" s="1"/>
  <c r="Q51" i="59"/>
  <c r="F52" i="59" s="1"/>
  <c r="F53" i="59" s="1"/>
  <c r="F54" i="59" s="1"/>
  <c r="V54" i="59" s="1"/>
  <c r="P51" i="59"/>
  <c r="O51" i="59"/>
  <c r="C52" i="59" s="1"/>
  <c r="N51" i="59"/>
  <c r="B52" i="59" s="1"/>
  <c r="B53" i="59" s="1"/>
  <c r="B54" i="59" s="1"/>
  <c r="D51" i="59"/>
  <c r="Q50" i="59"/>
  <c r="P50" i="59"/>
  <c r="O50" i="59"/>
  <c r="N50" i="59"/>
  <c r="Q49" i="59"/>
  <c r="P49" i="59"/>
  <c r="O49" i="59"/>
  <c r="N49" i="59"/>
  <c r="Q48" i="59"/>
  <c r="P48" i="59"/>
  <c r="O48" i="59"/>
  <c r="N48" i="59"/>
  <c r="E48" i="59"/>
  <c r="E49" i="59" s="1"/>
  <c r="E50" i="59" s="1"/>
  <c r="U50" i="59" s="1"/>
  <c r="Q47" i="59"/>
  <c r="F48" i="59" s="1"/>
  <c r="F49" i="59" s="1"/>
  <c r="F50" i="59" s="1"/>
  <c r="V50" i="59" s="1"/>
  <c r="P47" i="59"/>
  <c r="O47" i="59"/>
  <c r="C48" i="59" s="1"/>
  <c r="N47" i="59"/>
  <c r="B48" i="59" s="1"/>
  <c r="B49" i="59" s="1"/>
  <c r="B50" i="59" s="1"/>
  <c r="S50" i="59" s="1"/>
  <c r="D47" i="59"/>
  <c r="S46" i="59"/>
  <c r="Q46" i="59"/>
  <c r="P46" i="59"/>
  <c r="O46" i="59"/>
  <c r="N46" i="59"/>
  <c r="Q45" i="59"/>
  <c r="P45" i="59"/>
  <c r="O45" i="59"/>
  <c r="N45" i="59"/>
  <c r="Q44" i="59"/>
  <c r="P44" i="59"/>
  <c r="O44" i="59"/>
  <c r="N44" i="59"/>
  <c r="E44" i="59"/>
  <c r="E45" i="59" s="1"/>
  <c r="E46" i="59" s="1"/>
  <c r="U46" i="59" s="1"/>
  <c r="Q43" i="59"/>
  <c r="F44" i="59" s="1"/>
  <c r="F45" i="59" s="1"/>
  <c r="F46" i="59" s="1"/>
  <c r="V46" i="59" s="1"/>
  <c r="P43" i="59"/>
  <c r="O43" i="59"/>
  <c r="C44" i="59" s="1"/>
  <c r="N43" i="59"/>
  <c r="B44" i="59" s="1"/>
  <c r="B45" i="59" s="1"/>
  <c r="B46" i="59" s="1"/>
  <c r="D43" i="59"/>
  <c r="Q42" i="59"/>
  <c r="P42" i="59"/>
  <c r="O42" i="59"/>
  <c r="N42" i="59"/>
  <c r="Q41" i="59"/>
  <c r="P41" i="59"/>
  <c r="O41" i="59"/>
  <c r="N41" i="59"/>
  <c r="Q40" i="59"/>
  <c r="P40" i="59"/>
  <c r="O40" i="59"/>
  <c r="N40" i="59"/>
  <c r="E40" i="59"/>
  <c r="C40" i="59"/>
  <c r="Q39" i="59"/>
  <c r="F40" i="59" s="1"/>
  <c r="F41" i="59" s="1"/>
  <c r="F42" i="59" s="1"/>
  <c r="V42" i="59" s="1"/>
  <c r="P39" i="59"/>
  <c r="O39" i="59"/>
  <c r="N39" i="59"/>
  <c r="B40" i="59" s="1"/>
  <c r="B41" i="59" s="1"/>
  <c r="B42" i="59" s="1"/>
  <c r="S42" i="59" s="1"/>
  <c r="D39" i="59"/>
  <c r="T38" i="59"/>
  <c r="Q38" i="59"/>
  <c r="P38" i="59"/>
  <c r="O38" i="59"/>
  <c r="N38" i="59"/>
  <c r="D38" i="59"/>
  <c r="Q37" i="59"/>
  <c r="P37" i="59"/>
  <c r="O37" i="59"/>
  <c r="N37" i="59"/>
  <c r="Q36" i="59"/>
  <c r="P36" i="59"/>
  <c r="O36" i="59"/>
  <c r="N36" i="59"/>
  <c r="F36" i="59"/>
  <c r="F37" i="59" s="1"/>
  <c r="F38" i="59" s="1"/>
  <c r="V38" i="59" s="1"/>
  <c r="Q35" i="59"/>
  <c r="P35" i="59"/>
  <c r="E36" i="59" s="1"/>
  <c r="E37" i="59" s="1"/>
  <c r="E38" i="59" s="1"/>
  <c r="U38" i="59" s="1"/>
  <c r="O35" i="59"/>
  <c r="C36" i="59" s="1"/>
  <c r="C37" i="59" s="1"/>
  <c r="D37" i="59" s="1"/>
  <c r="N35" i="59"/>
  <c r="B36" i="59" s="1"/>
  <c r="B37" i="59" s="1"/>
  <c r="B38" i="59" s="1"/>
  <c r="S38" i="59" s="1"/>
  <c r="D35" i="59"/>
  <c r="Q34" i="59"/>
  <c r="P34" i="59"/>
  <c r="O34" i="59"/>
  <c r="N34" i="59"/>
  <c r="F34" i="59"/>
  <c r="V34" i="59" s="1"/>
  <c r="Q33" i="59"/>
  <c r="P33" i="59"/>
  <c r="O33" i="59"/>
  <c r="N33" i="59"/>
  <c r="Q32" i="59"/>
  <c r="P32" i="59"/>
  <c r="O32" i="59"/>
  <c r="N32" i="59"/>
  <c r="F32" i="59"/>
  <c r="F33" i="59" s="1"/>
  <c r="Q31" i="59"/>
  <c r="P31" i="59"/>
  <c r="E32" i="59" s="1"/>
  <c r="E33" i="59" s="1"/>
  <c r="E34" i="59" s="1"/>
  <c r="U34" i="59" s="1"/>
  <c r="O31" i="59"/>
  <c r="C32" i="59" s="1"/>
  <c r="C33" i="59" s="1"/>
  <c r="N31" i="59"/>
  <c r="B32" i="59" s="1"/>
  <c r="B33" i="59" s="1"/>
  <c r="B34" i="59" s="1"/>
  <c r="S34" i="59" s="1"/>
  <c r="D31" i="59"/>
  <c r="AH30" i="59"/>
  <c r="AG30" i="59"/>
  <c r="AF30" i="59"/>
  <c r="AE30" i="59"/>
  <c r="AD30" i="59"/>
  <c r="Q30" i="59"/>
  <c r="P30" i="59"/>
  <c r="O30" i="59"/>
  <c r="N30" i="59"/>
  <c r="AH29" i="59"/>
  <c r="AG29" i="59"/>
  <c r="AF29" i="59"/>
  <c r="AE29" i="59"/>
  <c r="AD29" i="59"/>
  <c r="AA29" i="59"/>
  <c r="Y29" i="59"/>
  <c r="Z29" i="59" s="1"/>
  <c r="Q29" i="59"/>
  <c r="AB29" i="59" s="1"/>
  <c r="P29" i="59"/>
  <c r="O29" i="59"/>
  <c r="N29" i="59"/>
  <c r="X29" i="59" s="1"/>
  <c r="AH28" i="59"/>
  <c r="AG28" i="59"/>
  <c r="AE28" i="59"/>
  <c r="AF28" i="59" s="1"/>
  <c r="AD28" i="59"/>
  <c r="AB28" i="59"/>
  <c r="Q28" i="59"/>
  <c r="P28" i="59"/>
  <c r="AA28" i="59" s="1"/>
  <c r="O28" i="59"/>
  <c r="Y28" i="59" s="1"/>
  <c r="Z28" i="59" s="1"/>
  <c r="N28" i="59"/>
  <c r="X28" i="59" s="1"/>
  <c r="E28" i="59"/>
  <c r="AH27" i="59"/>
  <c r="AG27" i="59"/>
  <c r="AF27" i="59"/>
  <c r="AE27" i="59"/>
  <c r="AD27" i="59"/>
  <c r="AA27" i="59"/>
  <c r="Q27" i="59"/>
  <c r="P27" i="59"/>
  <c r="O27" i="59"/>
  <c r="Y27" i="59" s="1"/>
  <c r="Z27" i="59" s="1"/>
  <c r="N27" i="59"/>
  <c r="B28" i="59" s="1"/>
  <c r="B29" i="59" s="1"/>
  <c r="B30" i="59" s="1"/>
  <c r="S30" i="59" s="1"/>
  <c r="D27" i="59"/>
  <c r="AH26" i="59"/>
  <c r="AG26" i="59"/>
  <c r="AE26" i="59"/>
  <c r="AF26" i="59" s="1"/>
  <c r="AD26" i="59"/>
  <c r="Q26" i="59"/>
  <c r="P26" i="59"/>
  <c r="O26" i="59"/>
  <c r="Y26" i="59" s="1"/>
  <c r="Z26" i="59" s="1"/>
  <c r="N26" i="59"/>
  <c r="X26" i="59" s="1"/>
  <c r="AH25" i="59"/>
  <c r="AG25" i="59"/>
  <c r="AF25" i="59"/>
  <c r="AE25" i="59"/>
  <c r="AD25" i="59"/>
  <c r="Y25" i="59"/>
  <c r="Z25" i="59" s="1"/>
  <c r="Q25" i="59"/>
  <c r="P25" i="59"/>
  <c r="O25" i="59"/>
  <c r="N25" i="59"/>
  <c r="X25" i="59" s="1"/>
  <c r="AH24" i="59"/>
  <c r="AG24" i="59"/>
  <c r="AE24" i="59"/>
  <c r="AF24" i="59" s="1"/>
  <c r="AD24" i="59"/>
  <c r="AB24" i="59"/>
  <c r="Q24" i="59"/>
  <c r="P24" i="59"/>
  <c r="AA24" i="59" s="1"/>
  <c r="O24" i="59"/>
  <c r="N24" i="59"/>
  <c r="X24" i="59" s="1"/>
  <c r="E24" i="59"/>
  <c r="AH23" i="59"/>
  <c r="AG23" i="59"/>
  <c r="AF23" i="59"/>
  <c r="AE23" i="59"/>
  <c r="AD23" i="59"/>
  <c r="AA23" i="59"/>
  <c r="Q23" i="59"/>
  <c r="P23" i="59"/>
  <c r="O23" i="59"/>
  <c r="Y23" i="59" s="1"/>
  <c r="Z23" i="59" s="1"/>
  <c r="N23" i="59"/>
  <c r="B24" i="59" s="1"/>
  <c r="B25" i="59" s="1"/>
  <c r="B26" i="59" s="1"/>
  <c r="S26" i="59" s="1"/>
  <c r="D23" i="59"/>
  <c r="AH22" i="59"/>
  <c r="AG22" i="59"/>
  <c r="AE22" i="59"/>
  <c r="AF22" i="59" s="1"/>
  <c r="AD22" i="59"/>
  <c r="Q22" i="59"/>
  <c r="P22" i="59"/>
  <c r="O22" i="59"/>
  <c r="Y22" i="59" s="1"/>
  <c r="Z22" i="59" s="1"/>
  <c r="N22" i="59"/>
  <c r="X22" i="59" s="1"/>
  <c r="AH21" i="59"/>
  <c r="AG21" i="59"/>
  <c r="AF21" i="59"/>
  <c r="AE21" i="59"/>
  <c r="AD21" i="59"/>
  <c r="Y21" i="59"/>
  <c r="Z21" i="59" s="1"/>
  <c r="Q21" i="59"/>
  <c r="P21" i="59"/>
  <c r="O21" i="59"/>
  <c r="N21" i="59"/>
  <c r="X21" i="59" s="1"/>
  <c r="AH20" i="59"/>
  <c r="AG20" i="59"/>
  <c r="AE20" i="59"/>
  <c r="AF20" i="59" s="1"/>
  <c r="AD20" i="59"/>
  <c r="AB20" i="59"/>
  <c r="Q20" i="59"/>
  <c r="P20" i="59"/>
  <c r="AA20" i="59" s="1"/>
  <c r="O20" i="59"/>
  <c r="N20" i="59"/>
  <c r="X20" i="59" s="1"/>
  <c r="E20" i="59"/>
  <c r="AH19" i="59"/>
  <c r="AG19" i="59"/>
  <c r="AF19" i="59"/>
  <c r="AE19" i="59"/>
  <c r="AD19" i="59"/>
  <c r="AA19" i="59"/>
  <c r="Q19" i="59"/>
  <c r="P19" i="59"/>
  <c r="O19" i="59"/>
  <c r="Y19" i="59" s="1"/>
  <c r="Z19" i="59" s="1"/>
  <c r="N19" i="59"/>
  <c r="B20" i="59" s="1"/>
  <c r="B21" i="59" s="1"/>
  <c r="B22" i="59" s="1"/>
  <c r="S22" i="59" s="1"/>
  <c r="D19" i="59"/>
  <c r="AH18" i="59"/>
  <c r="AG18" i="59"/>
  <c r="AE18" i="59"/>
  <c r="AF18" i="59" s="1"/>
  <c r="AD18" i="59"/>
  <c r="U18" i="59"/>
  <c r="Q18" i="59"/>
  <c r="P18" i="59"/>
  <c r="O18" i="59"/>
  <c r="Y18" i="59" s="1"/>
  <c r="Z18" i="59" s="1"/>
  <c r="N18" i="59"/>
  <c r="B18" i="59" s="1"/>
  <c r="S18" i="59" s="1"/>
  <c r="F18" i="59"/>
  <c r="V18" i="59" s="1"/>
  <c r="E18" i="59"/>
  <c r="E17" i="59" s="1"/>
  <c r="C18" i="59"/>
  <c r="AH17" i="59"/>
  <c r="AG17" i="59"/>
  <c r="AF17" i="59"/>
  <c r="AE17" i="59"/>
  <c r="AD17" i="59"/>
  <c r="AA17" i="59"/>
  <c r="Q17" i="59"/>
  <c r="AB17" i="59" s="1"/>
  <c r="P17" i="59"/>
  <c r="O17" i="59"/>
  <c r="Y17" i="59" s="1"/>
  <c r="Z17" i="59" s="1"/>
  <c r="N17" i="59"/>
  <c r="F17" i="59"/>
  <c r="F16" i="59" s="1"/>
  <c r="B17" i="59"/>
  <c r="B16" i="59" s="1"/>
  <c r="AH16" i="59"/>
  <c r="AG16" i="59"/>
  <c r="AE16" i="59"/>
  <c r="AF16" i="59" s="1"/>
  <c r="AD16" i="59"/>
  <c r="Q16" i="59"/>
  <c r="P16" i="59"/>
  <c r="O16" i="59"/>
  <c r="Y16" i="59" s="1"/>
  <c r="Z16" i="59" s="1"/>
  <c r="N16" i="59"/>
  <c r="X16" i="59" s="1"/>
  <c r="E16" i="59"/>
  <c r="AH15" i="59"/>
  <c r="AG15" i="59"/>
  <c r="AF15" i="59"/>
  <c r="AE15" i="59"/>
  <c r="AD15" i="59"/>
  <c r="Y15" i="59"/>
  <c r="Z15" i="59" s="1"/>
  <c r="Q15" i="59"/>
  <c r="P15" i="59"/>
  <c r="O15" i="59"/>
  <c r="N15" i="59"/>
  <c r="X15" i="59" s="1"/>
  <c r="D15" i="59"/>
  <c r="AH14" i="59"/>
  <c r="AG14" i="59"/>
  <c r="AE14" i="59"/>
  <c r="AF14" i="59" s="1"/>
  <c r="AD14" i="59"/>
  <c r="AB14" i="59"/>
  <c r="Q14" i="59"/>
  <c r="P14" i="59"/>
  <c r="AA14" i="59" s="1"/>
  <c r="O14" i="59"/>
  <c r="N14" i="59"/>
  <c r="B14" i="59" s="1"/>
  <c r="B13" i="59" s="1"/>
  <c r="B12" i="59" s="1"/>
  <c r="B11" i="59" s="1"/>
  <c r="B10" i="59" s="1"/>
  <c r="F14" i="59"/>
  <c r="V14" i="59" s="1"/>
  <c r="E14" i="59"/>
  <c r="E13" i="59" s="1"/>
  <c r="E12" i="59" s="1"/>
  <c r="E11" i="59" s="1"/>
  <c r="E10" i="59" s="1"/>
  <c r="C14" i="59"/>
  <c r="AH13" i="59"/>
  <c r="AG13" i="59"/>
  <c r="AF13" i="59"/>
  <c r="AE13" i="59"/>
  <c r="AD13" i="59"/>
  <c r="Y13" i="59"/>
  <c r="Z13" i="59" s="1"/>
  <c r="Q13" i="59"/>
  <c r="P13" i="59"/>
  <c r="O13" i="59"/>
  <c r="N13" i="59"/>
  <c r="X13" i="59" s="1"/>
  <c r="F13" i="59"/>
  <c r="F12" i="59" s="1"/>
  <c r="AH12" i="59"/>
  <c r="AG12" i="59"/>
  <c r="AE12" i="59"/>
  <c r="AF12" i="59" s="1"/>
  <c r="AD12" i="59"/>
  <c r="AB12" i="59"/>
  <c r="Q12" i="59"/>
  <c r="P12" i="59"/>
  <c r="AA12" i="59" s="1"/>
  <c r="O12" i="59"/>
  <c r="N12" i="59"/>
  <c r="X12" i="59" s="1"/>
  <c r="AH11" i="59"/>
  <c r="AG11" i="59"/>
  <c r="AF11" i="59"/>
  <c r="AE11" i="59"/>
  <c r="AD11" i="59"/>
  <c r="AA11" i="59"/>
  <c r="Q11" i="59"/>
  <c r="AB11" i="59" s="1"/>
  <c r="P11" i="59"/>
  <c r="O11" i="59"/>
  <c r="Y11" i="59" s="1"/>
  <c r="Z11" i="59" s="1"/>
  <c r="N11" i="59"/>
  <c r="F11" i="59"/>
  <c r="F10" i="59" s="1"/>
  <c r="V10" i="59" s="1"/>
  <c r="AH10" i="59"/>
  <c r="AG10" i="59"/>
  <c r="AE10" i="59"/>
  <c r="AF10" i="59" s="1"/>
  <c r="AD10" i="59"/>
  <c r="Q10" i="59"/>
  <c r="P10" i="59"/>
  <c r="O10" i="59"/>
  <c r="Y10" i="59" s="1"/>
  <c r="Z10" i="59" s="1"/>
  <c r="N10" i="59"/>
  <c r="X10" i="59" s="1"/>
  <c r="AH9" i="59"/>
  <c r="AG9" i="59"/>
  <c r="AF9" i="59"/>
  <c r="AE9" i="59"/>
  <c r="AD9" i="59"/>
  <c r="Y9" i="59"/>
  <c r="Z9" i="59" s="1"/>
  <c r="Q9" i="59"/>
  <c r="P9" i="59"/>
  <c r="O9" i="59"/>
  <c r="N9" i="59"/>
  <c r="X9" i="59" s="1"/>
  <c r="AH8" i="59"/>
  <c r="AG8" i="59"/>
  <c r="AE8" i="59"/>
  <c r="AF8" i="59" s="1"/>
  <c r="AD8" i="59"/>
  <c r="AB8" i="59"/>
  <c r="Q8" i="59"/>
  <c r="P8" i="59"/>
  <c r="AA8" i="59" s="1"/>
  <c r="O8" i="59"/>
  <c r="N8" i="59"/>
  <c r="X8" i="59" s="1"/>
  <c r="AH7" i="59"/>
  <c r="AG7" i="59"/>
  <c r="AF7" i="59"/>
  <c r="AE7" i="59"/>
  <c r="AD7" i="59"/>
  <c r="AA7" i="59"/>
  <c r="Q7" i="59"/>
  <c r="AB7" i="59" s="1"/>
  <c r="P7" i="59"/>
  <c r="O7" i="59"/>
  <c r="Y7" i="59" s="1"/>
  <c r="Z7" i="59" s="1"/>
  <c r="N7" i="59"/>
  <c r="AH6" i="59"/>
  <c r="AG6" i="59"/>
  <c r="AE6" i="59"/>
  <c r="AF6" i="59" s="1"/>
  <c r="AD6" i="59"/>
  <c r="Q6" i="59"/>
  <c r="P6" i="59"/>
  <c r="O6" i="59"/>
  <c r="Y6" i="59" s="1"/>
  <c r="Z6" i="59" s="1"/>
  <c r="N6" i="59"/>
  <c r="X6" i="59" s="1"/>
  <c r="AH5" i="59"/>
  <c r="AG5" i="59"/>
  <c r="AF5" i="59"/>
  <c r="AE5" i="59"/>
  <c r="AD5" i="59"/>
  <c r="Y5" i="59"/>
  <c r="Z5" i="59" s="1"/>
  <c r="Q5" i="59"/>
  <c r="P5" i="59"/>
  <c r="O5" i="59"/>
  <c r="N5" i="59"/>
  <c r="X5" i="59" s="1"/>
  <c r="AE3" i="59"/>
  <c r="AF3" i="59" s="1"/>
  <c r="AB3" i="59"/>
  <c r="X3" i="59"/>
  <c r="L3" i="59"/>
  <c r="AH3" i="59" s="1"/>
  <c r="K3" i="59"/>
  <c r="AG3" i="59" s="1"/>
  <c r="J3" i="59"/>
  <c r="I3" i="59"/>
  <c r="AD3" i="59" s="1"/>
  <c r="H15" i="48"/>
  <c r="H13" i="48"/>
  <c r="H11" i="48"/>
  <c r="H9" i="48"/>
  <c r="H7" i="48"/>
  <c r="H5" i="48"/>
  <c r="H61" i="49"/>
  <c r="M15" i="49"/>
  <c r="L15" i="49"/>
  <c r="K15" i="49"/>
  <c r="J15" i="49"/>
  <c r="I15" i="49"/>
  <c r="H15" i="49"/>
  <c r="G15" i="49"/>
  <c r="F15" i="49"/>
  <c r="E15" i="49"/>
  <c r="D15" i="49"/>
  <c r="C15" i="49"/>
  <c r="B15" i="49"/>
  <c r="H113" i="46"/>
  <c r="F113" i="46"/>
  <c r="N99" i="46"/>
  <c r="N108" i="46" s="1"/>
  <c r="M99" i="46"/>
  <c r="M108" i="46" s="1"/>
  <c r="L99" i="46"/>
  <c r="L108" i="46" s="1"/>
  <c r="K99" i="46"/>
  <c r="K108" i="46" s="1"/>
  <c r="J99" i="46"/>
  <c r="J108" i="46" s="1"/>
  <c r="I99" i="46"/>
  <c r="I108" i="46" s="1"/>
  <c r="H99" i="46"/>
  <c r="H108" i="46" s="1"/>
  <c r="G99" i="46"/>
  <c r="G108" i="46" s="1"/>
  <c r="F99" i="46"/>
  <c r="F108" i="46" s="1"/>
  <c r="E99" i="46"/>
  <c r="E108" i="46" s="1"/>
  <c r="D99" i="46"/>
  <c r="D108" i="46" s="1"/>
  <c r="C99" i="46"/>
  <c r="C108" i="46" s="1"/>
  <c r="N87" i="46"/>
  <c r="M87" i="46"/>
  <c r="K87" i="46"/>
  <c r="J87" i="46" s="1"/>
  <c r="H87" i="46"/>
  <c r="D87" i="46"/>
  <c r="B87" i="46"/>
  <c r="M86" i="46"/>
  <c r="N86" i="46" s="1"/>
  <c r="K86" i="46"/>
  <c r="J86" i="46"/>
  <c r="D86" i="46"/>
  <c r="M85" i="46"/>
  <c r="N85" i="46" s="1"/>
  <c r="K85" i="46"/>
  <c r="J85" i="46"/>
  <c r="D85" i="46"/>
  <c r="N84" i="46"/>
  <c r="M84" i="46"/>
  <c r="K84" i="46"/>
  <c r="J84" i="46" s="1"/>
  <c r="H84" i="46"/>
  <c r="D84" i="46"/>
  <c r="M83" i="46"/>
  <c r="N83" i="46" s="1"/>
  <c r="K83" i="46"/>
  <c r="J83" i="46"/>
  <c r="D83" i="46"/>
  <c r="B83" i="46"/>
  <c r="N82" i="46"/>
  <c r="M82" i="46"/>
  <c r="K82" i="46"/>
  <c r="J82" i="46" s="1"/>
  <c r="H82" i="46"/>
  <c r="D82" i="46"/>
  <c r="B82" i="46"/>
  <c r="M81" i="46"/>
  <c r="N81" i="46" s="1"/>
  <c r="K81" i="46"/>
  <c r="J81" i="46"/>
  <c r="D81" i="46"/>
  <c r="N80" i="46"/>
  <c r="M80" i="46"/>
  <c r="K80" i="46"/>
  <c r="J80" i="46" s="1"/>
  <c r="H80" i="46"/>
  <c r="F80" i="46"/>
  <c r="H86" i="46" s="1"/>
  <c r="E80" i="46"/>
  <c r="B78" i="46" s="1"/>
  <c r="D80" i="46"/>
  <c r="N77" i="46"/>
  <c r="M77" i="46"/>
  <c r="K77" i="46"/>
  <c r="J77" i="46" s="1"/>
  <c r="H77" i="46"/>
  <c r="D77" i="46"/>
  <c r="N76" i="46"/>
  <c r="M76" i="46"/>
  <c r="K76" i="46"/>
  <c r="J76" i="46" s="1"/>
  <c r="H76" i="46"/>
  <c r="D76" i="46"/>
  <c r="B76" i="46"/>
  <c r="M75" i="46"/>
  <c r="N75" i="46" s="1"/>
  <c r="K75" i="46"/>
  <c r="J75" i="46"/>
  <c r="D75" i="46"/>
  <c r="M74" i="46"/>
  <c r="N74" i="46" s="1"/>
  <c r="K74" i="46"/>
  <c r="J74" i="46"/>
  <c r="D74" i="46"/>
  <c r="N73" i="46"/>
  <c r="M73" i="46"/>
  <c r="K73" i="46"/>
  <c r="J73" i="46" s="1"/>
  <c r="H73" i="46"/>
  <c r="D73" i="46"/>
  <c r="B73" i="46"/>
  <c r="M72" i="46"/>
  <c r="N72" i="46" s="1"/>
  <c r="K72" i="46"/>
  <c r="J72" i="46"/>
  <c r="D72" i="46"/>
  <c r="N71" i="46"/>
  <c r="M71" i="46"/>
  <c r="K71" i="46"/>
  <c r="J71" i="46" s="1"/>
  <c r="H71" i="46"/>
  <c r="D71" i="46"/>
  <c r="B71" i="46"/>
  <c r="M70" i="46"/>
  <c r="N70" i="46" s="1"/>
  <c r="K70" i="46"/>
  <c r="J70" i="46"/>
  <c r="D70" i="46"/>
  <c r="N69" i="46"/>
  <c r="M69" i="46"/>
  <c r="K69" i="46"/>
  <c r="J69" i="46" s="1"/>
  <c r="H69" i="46"/>
  <c r="F69" i="46"/>
  <c r="H75" i="46" s="1"/>
  <c r="E69" i="46"/>
  <c r="B67" i="46" s="1"/>
  <c r="D69" i="46"/>
  <c r="B69" i="46"/>
  <c r="N66" i="46"/>
  <c r="M66" i="46"/>
  <c r="K66" i="46"/>
  <c r="J66" i="46" s="1"/>
  <c r="H66" i="46"/>
  <c r="D66" i="46"/>
  <c r="B66" i="46"/>
  <c r="M65" i="46"/>
  <c r="N65" i="46" s="1"/>
  <c r="K65" i="46"/>
  <c r="J65" i="46"/>
  <c r="D65" i="46"/>
  <c r="N64" i="46"/>
  <c r="M64" i="46"/>
  <c r="K64" i="46"/>
  <c r="J64" i="46" s="1"/>
  <c r="H64" i="46"/>
  <c r="D64" i="46"/>
  <c r="B64" i="46"/>
  <c r="M63" i="46"/>
  <c r="N63" i="46" s="1"/>
  <c r="K63" i="46"/>
  <c r="J63" i="46"/>
  <c r="D63" i="46"/>
  <c r="M62" i="46"/>
  <c r="N62" i="46" s="1"/>
  <c r="K62" i="46"/>
  <c r="J62" i="46"/>
  <c r="D62" i="46"/>
  <c r="N61" i="46"/>
  <c r="M61" i="46"/>
  <c r="K61" i="46"/>
  <c r="J61" i="46" s="1"/>
  <c r="H61" i="46"/>
  <c r="D61" i="46"/>
  <c r="N60" i="46"/>
  <c r="M60" i="46"/>
  <c r="K60" i="46"/>
  <c r="J60" i="46" s="1"/>
  <c r="H60" i="46"/>
  <c r="D60" i="46"/>
  <c r="B60" i="46"/>
  <c r="M59" i="46"/>
  <c r="N59" i="46" s="1"/>
  <c r="K59" i="46"/>
  <c r="J59" i="46"/>
  <c r="D59" i="46"/>
  <c r="N58" i="46"/>
  <c r="M58" i="46"/>
  <c r="K58" i="46"/>
  <c r="J58" i="46" s="1"/>
  <c r="H58" i="46"/>
  <c r="F58" i="46"/>
  <c r="H65" i="46" s="1"/>
  <c r="E58" i="46"/>
  <c r="B56" i="46" s="1"/>
  <c r="D58" i="46"/>
  <c r="B58" i="46"/>
  <c r="N55" i="46"/>
  <c r="M55" i="46"/>
  <c r="K55" i="46"/>
  <c r="J55" i="46" s="1"/>
  <c r="H55" i="46"/>
  <c r="D55" i="46"/>
  <c r="B55" i="46"/>
  <c r="M54" i="46"/>
  <c r="N54" i="46" s="1"/>
  <c r="K54" i="46"/>
  <c r="J54" i="46"/>
  <c r="D54" i="46"/>
  <c r="N53" i="46"/>
  <c r="M53" i="46"/>
  <c r="K53" i="46"/>
  <c r="J53" i="46" s="1"/>
  <c r="H53" i="46"/>
  <c r="D53" i="46"/>
  <c r="B53" i="46"/>
  <c r="M52" i="46"/>
  <c r="N52" i="46" s="1"/>
  <c r="K52" i="46"/>
  <c r="J52" i="46"/>
  <c r="D52" i="46"/>
  <c r="M51" i="46"/>
  <c r="N51" i="46" s="1"/>
  <c r="K51" i="46"/>
  <c r="J51" i="46"/>
  <c r="D51" i="46"/>
  <c r="E47" i="46" s="1"/>
  <c r="B45" i="46" s="1"/>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D47" i="46"/>
  <c r="B47" i="46"/>
  <c r="E41" i="46"/>
  <c r="C41" i="46" s="1"/>
  <c r="H39" i="46"/>
  <c r="H38" i="46"/>
  <c r="H37" i="46"/>
  <c r="H36" i="46"/>
  <c r="H35" i="46"/>
  <c r="H34" i="46"/>
  <c r="H33" i="46"/>
  <c r="C24" i="46"/>
  <c r="J20" i="46"/>
  <c r="I20" i="46"/>
  <c r="G20" i="46"/>
  <c r="C20" i="46"/>
  <c r="M19" i="46"/>
  <c r="I19" i="46"/>
  <c r="C18" i="46"/>
  <c r="O17" i="46"/>
  <c r="K17" i="46"/>
  <c r="F15" i="46"/>
  <c r="E15" i="46"/>
  <c r="D15" i="46"/>
  <c r="C15" i="46"/>
  <c r="C12" i="46" s="1"/>
  <c r="AI12" i="46"/>
  <c r="AG12" i="46"/>
  <c r="AE12" i="46"/>
  <c r="AC12" i="46"/>
  <c r="AA12" i="46"/>
  <c r="Y12" i="46"/>
  <c r="M12" i="46"/>
  <c r="N11" i="46"/>
  <c r="Y10" i="46"/>
  <c r="N10" i="46"/>
  <c r="E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M9" i="46"/>
  <c r="C9" i="46"/>
  <c r="M8" i="46"/>
  <c r="X7" i="46"/>
  <c r="M7" i="46"/>
  <c r="A7" i="46"/>
  <c r="M6" i="46"/>
  <c r="N5" i="46"/>
  <c r="N4" i="46"/>
  <c r="N3" i="46"/>
  <c r="G3" i="46"/>
  <c r="N101" i="46" s="1"/>
  <c r="M2" i="46"/>
  <c r="I2" i="46"/>
  <c r="H16" i="48" s="1"/>
  <c r="G2" i="46"/>
  <c r="N1" i="46"/>
  <c r="M1" i="46"/>
  <c r="D1" i="46"/>
  <c r="B122" i="40"/>
  <c r="H42" i="40" s="1"/>
  <c r="B120" i="40"/>
  <c r="B118" i="40"/>
  <c r="H40" i="40" s="1"/>
  <c r="D117" i="40"/>
  <c r="E117" i="40" s="1"/>
  <c r="F117" i="40" s="1"/>
  <c r="G117" i="40" s="1"/>
  <c r="H117" i="40" s="1"/>
  <c r="I117" i="40" s="1"/>
  <c r="J117" i="40" s="1"/>
  <c r="K117" i="40" s="1"/>
  <c r="L117" i="40" s="1"/>
  <c r="M117" i="40" s="1"/>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F102" i="40"/>
  <c r="G102" i="40" s="1"/>
  <c r="H102" i="40" s="1"/>
  <c r="I102" i="40" s="1"/>
  <c r="J102" i="40" s="1"/>
  <c r="K102" i="40" s="1"/>
  <c r="L102" i="40" s="1"/>
  <c r="M102" i="40" s="1"/>
  <c r="D102" i="40"/>
  <c r="E102" i="40" s="1"/>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B97" i="40"/>
  <c r="E96" i="40"/>
  <c r="F96" i="40" s="1"/>
  <c r="G96" i="40" s="1"/>
  <c r="D96" i="40"/>
  <c r="G94" i="40"/>
  <c r="E94" i="40"/>
  <c r="F94" i="40" s="1"/>
  <c r="D94" i="40"/>
  <c r="E92" i="40"/>
  <c r="F92" i="40" s="1"/>
  <c r="G92" i="40" s="1"/>
  <c r="D92" i="40"/>
  <c r="G90" i="40"/>
  <c r="E90" i="40"/>
  <c r="F90" i="40" s="1"/>
  <c r="D90" i="40"/>
  <c r="E88" i="40"/>
  <c r="F88" i="40" s="1"/>
  <c r="G88" i="40" s="1"/>
  <c r="D88" i="40"/>
  <c r="G86" i="40"/>
  <c r="E86" i="40"/>
  <c r="F86" i="40" s="1"/>
  <c r="D86" i="40"/>
  <c r="B83" i="40"/>
  <c r="B81" i="40"/>
  <c r="B79" i="40"/>
  <c r="D78" i="40"/>
  <c r="E78" i="40" s="1"/>
  <c r="F78" i="40" s="1"/>
  <c r="G78" i="40" s="1"/>
  <c r="H78" i="40" s="1"/>
  <c r="I78" i="40" s="1"/>
  <c r="J78" i="40" s="1"/>
  <c r="K78" i="40" s="1"/>
  <c r="L78" i="40" s="1"/>
  <c r="M78" i="40" s="1"/>
  <c r="M76" i="40"/>
  <c r="L76" i="40"/>
  <c r="K76" i="40"/>
  <c r="J76" i="40"/>
  <c r="I76" i="40"/>
  <c r="H76" i="40"/>
  <c r="G76" i="40"/>
  <c r="F76" i="40"/>
  <c r="E76" i="40"/>
  <c r="D76" i="40"/>
  <c r="C76" i="40"/>
  <c r="I62" i="40"/>
  <c r="H62" i="40"/>
  <c r="C62" i="40"/>
  <c r="H61" i="40"/>
  <c r="I61" i="40" s="1"/>
  <c r="C61" i="40" s="1"/>
  <c r="I60" i="40"/>
  <c r="H60" i="40"/>
  <c r="C60" i="40"/>
  <c r="H59" i="40"/>
  <c r="I59" i="40" s="1"/>
  <c r="C59" i="40" s="1"/>
  <c r="I58" i="40"/>
  <c r="H58" i="40"/>
  <c r="C58" i="40"/>
  <c r="H57" i="40"/>
  <c r="I57" i="40" s="1"/>
  <c r="C57" i="40" s="1"/>
  <c r="I56" i="40"/>
  <c r="H56" i="40"/>
  <c r="C56" i="40"/>
  <c r="H55" i="40"/>
  <c r="I55" i="40" s="1"/>
  <c r="C55" i="40" s="1"/>
  <c r="I54" i="40"/>
  <c r="H54" i="40"/>
  <c r="C54" i="40"/>
  <c r="J50" i="40"/>
  <c r="I50" i="40"/>
  <c r="H50" i="40"/>
  <c r="G50" i="40"/>
  <c r="F50" i="40"/>
  <c r="E50" i="40"/>
  <c r="P45" i="40"/>
  <c r="P44" i="40"/>
  <c r="V43" i="40"/>
  <c r="T43" i="40"/>
  <c r="R43" i="40"/>
  <c r="P43" i="40"/>
  <c r="AA42" i="40"/>
  <c r="S42" i="40"/>
  <c r="Q42" i="40"/>
  <c r="Z42" i="40" s="1"/>
  <c r="J42" i="40"/>
  <c r="AC42" i="40" s="1"/>
  <c r="F42" i="40"/>
  <c r="AB41" i="40"/>
  <c r="U41" i="40"/>
  <c r="Q41" i="40"/>
  <c r="Z41" i="40" s="1"/>
  <c r="J41" i="40"/>
  <c r="AC41" i="40" s="1"/>
  <c r="H41" i="40"/>
  <c r="F41" i="40"/>
  <c r="AA41" i="40" s="1"/>
  <c r="AA40" i="40"/>
  <c r="S40" i="40"/>
  <c r="Q40" i="40"/>
  <c r="Z40" i="40" s="1"/>
  <c r="J40" i="40"/>
  <c r="AC40" i="40" s="1"/>
  <c r="F40" i="40"/>
  <c r="AB39" i="40"/>
  <c r="U39" i="40"/>
  <c r="Q39" i="40"/>
  <c r="Z39" i="40" s="1"/>
  <c r="J39" i="40"/>
  <c r="AC39" i="40" s="1"/>
  <c r="H39" i="40"/>
  <c r="F39" i="40"/>
  <c r="AA39" i="40" s="1"/>
  <c r="Q38" i="40"/>
  <c r="Z38" i="40" s="1"/>
  <c r="J38" i="40"/>
  <c r="AC38" i="40" s="1"/>
  <c r="H38" i="40"/>
  <c r="AB38" i="40" s="1"/>
  <c r="F38" i="40"/>
  <c r="AA38" i="40" s="1"/>
  <c r="Q37" i="40"/>
  <c r="Z37" i="40" s="1"/>
  <c r="J37" i="40"/>
  <c r="AC37" i="40" s="1"/>
  <c r="H37" i="40"/>
  <c r="AB37" i="40" s="1"/>
  <c r="F37" i="40"/>
  <c r="AA37" i="40" s="1"/>
  <c r="AC36" i="40"/>
  <c r="W36" i="40"/>
  <c r="Q36" i="40"/>
  <c r="Z36" i="40" s="1"/>
  <c r="J36" i="40"/>
  <c r="H36" i="40"/>
  <c r="AB36" i="40" s="1"/>
  <c r="F36" i="40"/>
  <c r="AA36" i="40" s="1"/>
  <c r="Q35" i="40"/>
  <c r="Z35" i="40" s="1"/>
  <c r="H35" i="40"/>
  <c r="AB35" i="40" s="1"/>
  <c r="Q34" i="40"/>
  <c r="Z34" i="40" s="1"/>
  <c r="J34" i="40"/>
  <c r="AC34" i="40" s="1"/>
  <c r="H34" i="40"/>
  <c r="AB34" i="40" s="1"/>
  <c r="F34" i="40"/>
  <c r="AA34" i="40" s="1"/>
  <c r="Q33" i="40"/>
  <c r="Z33" i="40" s="1"/>
  <c r="AC32" i="40"/>
  <c r="W32" i="40"/>
  <c r="Q32" i="40"/>
  <c r="Z32" i="40" s="1"/>
  <c r="J32" i="40"/>
  <c r="F32" i="40"/>
  <c r="AA32" i="40" s="1"/>
  <c r="C32" i="40"/>
  <c r="H32" i="40" s="1"/>
  <c r="AC30" i="40"/>
  <c r="W30" i="40"/>
  <c r="Q30" i="40"/>
  <c r="Z30" i="40" s="1"/>
  <c r="J30" i="40"/>
  <c r="H30" i="40"/>
  <c r="AB30" i="40" s="1"/>
  <c r="F30" i="40"/>
  <c r="AA30" i="40" s="1"/>
  <c r="C30" i="40"/>
  <c r="Q29" i="40"/>
  <c r="Z29" i="40" s="1"/>
  <c r="J29" i="40"/>
  <c r="AC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C23" i="40"/>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AC15" i="40"/>
  <c r="W15" i="40"/>
  <c r="Q15" i="40"/>
  <c r="Z15" i="40" s="1"/>
  <c r="J15" i="40"/>
  <c r="H15" i="40"/>
  <c r="AB15" i="40" s="1"/>
  <c r="F15" i="40"/>
  <c r="AA15" i="40" s="1"/>
  <c r="Q14" i="40"/>
  <c r="Z14" i="40" s="1"/>
  <c r="H14" i="40"/>
  <c r="AB14" i="40" s="1"/>
  <c r="Q13" i="40"/>
  <c r="Z13" i="40" s="1"/>
  <c r="J13" i="40"/>
  <c r="AC13" i="40" s="1"/>
  <c r="H13" i="40"/>
  <c r="AB13" i="40" s="1"/>
  <c r="F13" i="40"/>
  <c r="AA13" i="40" s="1"/>
  <c r="Q12" i="40"/>
  <c r="Z12" i="40" s="1"/>
  <c r="AB11" i="40"/>
  <c r="U11" i="40"/>
  <c r="Q11" i="40"/>
  <c r="Z11" i="40" s="1"/>
  <c r="J11" i="40"/>
  <c r="AC11" i="40" s="1"/>
  <c r="H11" i="40"/>
  <c r="F11" i="40"/>
  <c r="AA11" i="40" s="1"/>
  <c r="U10" i="40"/>
  <c r="J10" i="40"/>
  <c r="W10" i="40" s="1"/>
  <c r="H10" i="40"/>
  <c r="AB10" i="40" s="1"/>
  <c r="F10" i="40"/>
  <c r="S10" i="40" s="1"/>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B133" i="39"/>
  <c r="B131" i="39"/>
  <c r="B129" i="39"/>
  <c r="G128" i="39"/>
  <c r="H128" i="39" s="1"/>
  <c r="I128" i="39" s="1"/>
  <c r="J128" i="39" s="1"/>
  <c r="K128" i="39" s="1"/>
  <c r="L128" i="39" s="1"/>
  <c r="M128" i="39" s="1"/>
  <c r="E128" i="39"/>
  <c r="F128" i="39" s="1"/>
  <c r="D128" i="39"/>
  <c r="G126" i="39"/>
  <c r="E126" i="39"/>
  <c r="F126" i="39" s="1"/>
  <c r="D126" i="39"/>
  <c r="E124" i="39"/>
  <c r="F124" i="39" s="1"/>
  <c r="G124" i="39" s="1"/>
  <c r="H124" i="39" s="1"/>
  <c r="I124" i="39" s="1"/>
  <c r="J124" i="39" s="1"/>
  <c r="K124" i="39" s="1"/>
  <c r="L124" i="39" s="1"/>
  <c r="M124" i="39" s="1"/>
  <c r="D124" i="39"/>
  <c r="G122" i="39"/>
  <c r="H122" i="39" s="1"/>
  <c r="I122" i="39" s="1"/>
  <c r="J122" i="39" s="1"/>
  <c r="K122" i="39" s="1"/>
  <c r="L122" i="39" s="1"/>
  <c r="M122" i="39" s="1"/>
  <c r="E122" i="39"/>
  <c r="F122" i="39" s="1"/>
  <c r="D122" i="39"/>
  <c r="M118" i="39"/>
  <c r="L118" i="39"/>
  <c r="K118" i="39"/>
  <c r="J118" i="39"/>
  <c r="I118" i="39"/>
  <c r="H118" i="39"/>
  <c r="G118" i="39"/>
  <c r="F118" i="39"/>
  <c r="E118" i="39"/>
  <c r="D118" i="39"/>
  <c r="C118" i="39"/>
  <c r="B116" i="39"/>
  <c r="B114" i="39"/>
  <c r="B112"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B106" i="39"/>
  <c r="J33" i="39" s="1"/>
  <c r="G105" i="39"/>
  <c r="E105" i="39"/>
  <c r="F105" i="39" s="1"/>
  <c r="D105" i="39"/>
  <c r="D103" i="39"/>
  <c r="D101" i="39"/>
  <c r="E101" i="39" s="1"/>
  <c r="D99" i="39"/>
  <c r="E99" i="39" s="1"/>
  <c r="F99" i="39" s="1"/>
  <c r="G99" i="39" s="1"/>
  <c r="D97" i="39"/>
  <c r="D95" i="39"/>
  <c r="E93" i="39"/>
  <c r="D93" i="39"/>
  <c r="D91" i="39"/>
  <c r="E91" i="39" s="1"/>
  <c r="B88" i="39"/>
  <c r="B86" i="39"/>
  <c r="B84" i="39"/>
  <c r="E83" i="39"/>
  <c r="F83" i="39" s="1"/>
  <c r="D83" i="39"/>
  <c r="M81" i="39"/>
  <c r="L81" i="39"/>
  <c r="K81" i="39"/>
  <c r="J81" i="39"/>
  <c r="I81" i="39"/>
  <c r="H81" i="39"/>
  <c r="G81" i="39"/>
  <c r="F81" i="39"/>
  <c r="E81" i="39"/>
  <c r="D81" i="39"/>
  <c r="C81" i="39"/>
  <c r="H67" i="39"/>
  <c r="I67" i="39" s="1"/>
  <c r="C67" i="39"/>
  <c r="I66" i="39"/>
  <c r="H66" i="39"/>
  <c r="C66" i="39"/>
  <c r="H65" i="39"/>
  <c r="I65" i="39" s="1"/>
  <c r="C65" i="39"/>
  <c r="I64" i="39"/>
  <c r="H64" i="39"/>
  <c r="C64" i="39"/>
  <c r="H63" i="39"/>
  <c r="I63" i="39" s="1"/>
  <c r="C63" i="39"/>
  <c r="I62" i="39"/>
  <c r="H62" i="39"/>
  <c r="C62" i="39"/>
  <c r="H61" i="39"/>
  <c r="I61" i="39" s="1"/>
  <c r="C61" i="39"/>
  <c r="I60" i="39"/>
  <c r="H60" i="39"/>
  <c r="C60" i="39"/>
  <c r="H59" i="39"/>
  <c r="I59" i="39" s="1"/>
  <c r="C59" i="39"/>
  <c r="I55" i="39"/>
  <c r="J55" i="39" s="1"/>
  <c r="P50" i="39"/>
  <c r="P49" i="39"/>
  <c r="P48" i="39"/>
  <c r="I48" i="39"/>
  <c r="V48" i="39" s="1"/>
  <c r="G48" i="39"/>
  <c r="G55" i="39" s="1"/>
  <c r="H55" i="39" s="1"/>
  <c r="E48" i="39"/>
  <c r="R48" i="39" s="1"/>
  <c r="AC47" i="39"/>
  <c r="W47" i="39"/>
  <c r="Q47" i="39"/>
  <c r="Z47" i="39" s="1"/>
  <c r="J47" i="39"/>
  <c r="H47" i="39"/>
  <c r="AB47" i="39" s="1"/>
  <c r="F47" i="39"/>
  <c r="AA47" i="39" s="1"/>
  <c r="Q46" i="39"/>
  <c r="Z46" i="39" s="1"/>
  <c r="H46" i="39"/>
  <c r="AB46" i="39" s="1"/>
  <c r="Q45" i="39"/>
  <c r="Z45" i="39" s="1"/>
  <c r="J45" i="39"/>
  <c r="AC45" i="39" s="1"/>
  <c r="H45" i="39"/>
  <c r="AB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Q41" i="39"/>
  <c r="Z41" i="39" s="1"/>
  <c r="J41" i="39"/>
  <c r="AC41" i="39" s="1"/>
  <c r="H41" i="39"/>
  <c r="AB41" i="39" s="1"/>
  <c r="F41" i="39"/>
  <c r="AA41" i="39" s="1"/>
  <c r="Z40" i="39"/>
  <c r="Q40" i="39"/>
  <c r="I40" i="39"/>
  <c r="G40" i="39"/>
  <c r="E40" i="39"/>
  <c r="AC39" i="39"/>
  <c r="W39" i="39"/>
  <c r="Q39" i="39"/>
  <c r="Z39" i="39" s="1"/>
  <c r="J39" i="39"/>
  <c r="H39" i="39"/>
  <c r="AB39" i="39" s="1"/>
  <c r="F39" i="39"/>
  <c r="AA39" i="39" s="1"/>
  <c r="Q38" i="39"/>
  <c r="Z38" i="39" s="1"/>
  <c r="H38" i="39"/>
  <c r="AB38" i="39" s="1"/>
  <c r="AA37" i="39"/>
  <c r="Q37" i="39"/>
  <c r="Z37" i="39" s="1"/>
  <c r="J37" i="39"/>
  <c r="H37" i="39"/>
  <c r="AB37" i="39" s="1"/>
  <c r="F37" i="39"/>
  <c r="S37" i="39" s="1"/>
  <c r="Q36" i="39"/>
  <c r="Z36" i="39" s="1"/>
  <c r="J36" i="39"/>
  <c r="AC36" i="39" s="1"/>
  <c r="H36" i="39"/>
  <c r="AB36" i="39" s="1"/>
  <c r="F36" i="39"/>
  <c r="S36" i="39" s="1"/>
  <c r="Q34" i="39"/>
  <c r="Z34" i="39" s="1"/>
  <c r="J34" i="39"/>
  <c r="AC34" i="39" s="1"/>
  <c r="H34" i="39"/>
  <c r="AB34" i="39" s="1"/>
  <c r="F34" i="39"/>
  <c r="AA34" i="39" s="1"/>
  <c r="Q33" i="39"/>
  <c r="Z33" i="39" s="1"/>
  <c r="H33" i="39"/>
  <c r="AB33" i="39" s="1"/>
  <c r="Q31" i="39"/>
  <c r="Z31" i="39" s="1"/>
  <c r="J31" i="39"/>
  <c r="AC31" i="39" s="1"/>
  <c r="H31" i="39"/>
  <c r="F31" i="39"/>
  <c r="AA31" i="39" s="1"/>
  <c r="Q29" i="39"/>
  <c r="Z29" i="39" s="1"/>
  <c r="C29" i="39"/>
  <c r="Q27" i="39"/>
  <c r="Z27" i="39" s="1"/>
  <c r="Z25" i="39"/>
  <c r="Q25" i="39"/>
  <c r="H25" i="39"/>
  <c r="AB25" i="39" s="1"/>
  <c r="C25" i="39"/>
  <c r="Z23" i="39"/>
  <c r="Q23" i="39"/>
  <c r="Q21" i="39"/>
  <c r="Z21" i="39" s="1"/>
  <c r="C21" i="39"/>
  <c r="Q19" i="39"/>
  <c r="Z19" i="39" s="1"/>
  <c r="C19" i="39"/>
  <c r="Q17" i="39"/>
  <c r="Z17" i="39" s="1"/>
  <c r="AC16" i="39"/>
  <c r="W16" i="39"/>
  <c r="Q16" i="39"/>
  <c r="Z16" i="39" s="1"/>
  <c r="J16" i="39"/>
  <c r="H16" i="39"/>
  <c r="AB16" i="39" s="1"/>
  <c r="F16" i="39"/>
  <c r="AA16" i="39" s="1"/>
  <c r="Q15" i="39"/>
  <c r="Z15" i="39" s="1"/>
  <c r="H15" i="39"/>
  <c r="U15" i="39" s="1"/>
  <c r="Q14" i="39"/>
  <c r="Z14" i="39" s="1"/>
  <c r="J14" i="39"/>
  <c r="H14" i="39"/>
  <c r="AB14" i="39" s="1"/>
  <c r="F14" i="39"/>
  <c r="S14" i="39" s="1"/>
  <c r="Q13" i="39"/>
  <c r="Z13" i="39" s="1"/>
  <c r="Q12" i="39"/>
  <c r="Z12" i="39" s="1"/>
  <c r="Q11" i="39"/>
  <c r="Z11" i="39" s="1"/>
  <c r="J11" i="39"/>
  <c r="AC11" i="39" s="1"/>
  <c r="H11" i="39"/>
  <c r="F11" i="39"/>
  <c r="AA11" i="39" s="1"/>
  <c r="AC10" i="39"/>
  <c r="U10" i="39"/>
  <c r="J10" i="39"/>
  <c r="W10" i="39" s="1"/>
  <c r="H10" i="39"/>
  <c r="AB10" i="39" s="1"/>
  <c r="F10" i="39"/>
  <c r="S10" i="39" s="1"/>
  <c r="I9" i="39"/>
  <c r="G9" i="39"/>
  <c r="E9" i="39"/>
  <c r="I7" i="39"/>
  <c r="G7" i="39"/>
  <c r="E7" i="39"/>
  <c r="C112" i="9"/>
  <c r="D111" i="9"/>
  <c r="C109" i="9"/>
  <c r="E108" i="9"/>
  <c r="D107" i="9"/>
  <c r="C107" i="9" s="1"/>
  <c r="C105" i="9" s="1"/>
  <c r="C110" i="9" s="1"/>
  <c r="H95" i="9"/>
  <c r="D95" i="9"/>
  <c r="C95" i="9"/>
  <c r="C94" i="9"/>
  <c r="C92" i="9"/>
  <c r="F77" i="9"/>
  <c r="E77" i="9"/>
  <c r="P75" i="9"/>
  <c r="O75" i="9"/>
  <c r="L75" i="9"/>
  <c r="K75" i="9"/>
  <c r="O74" i="9"/>
  <c r="F74" i="9"/>
  <c r="P74" i="9" s="1"/>
  <c r="O73" i="9"/>
  <c r="N73" i="9"/>
  <c r="I73" i="9"/>
  <c r="F73" i="9"/>
  <c r="P73" i="9" s="1"/>
  <c r="D73" i="9"/>
  <c r="E66" i="9"/>
  <c r="O72" i="9" s="1"/>
  <c r="C46" i="9"/>
  <c r="A46" i="9"/>
  <c r="C45" i="9"/>
  <c r="H14" i="66" s="1"/>
  <c r="B7" i="66" s="1"/>
  <c r="A45" i="9"/>
  <c r="K44" i="9"/>
  <c r="A44" i="9"/>
  <c r="K43" i="9"/>
  <c r="C43" i="9"/>
  <c r="K47" i="9" s="1"/>
  <c r="O41" i="9"/>
  <c r="K41" i="9"/>
  <c r="O40" i="9"/>
  <c r="K40" i="9"/>
  <c r="K39" i="9"/>
  <c r="K33" i="9"/>
  <c r="K34" i="9" s="1"/>
  <c r="K31" i="9"/>
  <c r="K32" i="9" s="1"/>
  <c r="C25" i="9"/>
  <c r="C24" i="9"/>
  <c r="D17" i="9"/>
  <c r="C17" i="9"/>
  <c r="M4" i="9"/>
  <c r="L4" i="9"/>
  <c r="F23" i="66"/>
  <c r="E23" i="66"/>
  <c r="F22" i="66"/>
  <c r="E22" i="66"/>
  <c r="F21" i="66"/>
  <c r="E21" i="66"/>
  <c r="F20" i="66"/>
  <c r="E20" i="66"/>
  <c r="F19" i="66"/>
  <c r="E19" i="66"/>
  <c r="F18" i="66"/>
  <c r="E18" i="66"/>
  <c r="F17" i="66"/>
  <c r="E17" i="66"/>
  <c r="F16" i="66"/>
  <c r="E16" i="66"/>
  <c r="C15" i="66"/>
  <c r="B15" i="66"/>
  <c r="I14" i="66"/>
  <c r="B8" i="66" s="1"/>
  <c r="B3" i="66"/>
  <c r="C24" i="20"/>
  <c r="B72" i="46" s="1"/>
  <c r="C22" i="20"/>
  <c r="C21" i="20"/>
  <c r="G20" i="20"/>
  <c r="C20" i="20"/>
  <c r="C27" i="39" s="1"/>
  <c r="G19" i="20"/>
  <c r="G18" i="20"/>
  <c r="C18" i="20"/>
  <c r="C17" i="20"/>
  <c r="G16" i="20"/>
  <c r="C16" i="20"/>
  <c r="G15" i="20"/>
  <c r="C15" i="20"/>
  <c r="C17" i="39" s="1"/>
  <c r="B52" i="1"/>
  <c r="B43" i="1"/>
  <c r="D96" i="9" s="1"/>
  <c r="B41" i="1"/>
  <c r="B31" i="1"/>
  <c r="E10" i="11" s="1"/>
  <c r="B24" i="1"/>
  <c r="B23" i="1"/>
  <c r="B22" i="1"/>
  <c r="AG13" i="1"/>
  <c r="AE13" i="1"/>
  <c r="S13" i="1"/>
  <c r="K13" i="1"/>
  <c r="M13" i="1" s="1"/>
  <c r="F13" i="1"/>
  <c r="AP13" i="1" s="1"/>
  <c r="D13" i="1"/>
  <c r="B13" i="1"/>
  <c r="E13" i="1" s="1"/>
  <c r="A13" i="1"/>
  <c r="R13" i="1" s="1"/>
  <c r="AG12" i="1"/>
  <c r="AE12" i="1"/>
  <c r="S12" i="1"/>
  <c r="K12" i="1"/>
  <c r="M12" i="1" s="1"/>
  <c r="F12" i="1"/>
  <c r="AP12" i="1" s="1"/>
  <c r="D12" i="1"/>
  <c r="B12" i="1"/>
  <c r="E12" i="1" s="1"/>
  <c r="A12" i="1"/>
  <c r="R12" i="1" s="1"/>
  <c r="AG11" i="1"/>
  <c r="AE11" i="1"/>
  <c r="S11" i="1"/>
  <c r="K11" i="1"/>
  <c r="M11" i="1" s="1"/>
  <c r="F11" i="1"/>
  <c r="AP11" i="1" s="1"/>
  <c r="D11" i="1"/>
  <c r="B11" i="1"/>
  <c r="E11" i="1" s="1"/>
  <c r="A11" i="1"/>
  <c r="R11" i="1" s="1"/>
  <c r="AG10" i="1"/>
  <c r="AE10" i="1"/>
  <c r="S10" i="1"/>
  <c r="K10" i="1"/>
  <c r="M10" i="1" s="1"/>
  <c r="O10" i="1" s="1"/>
  <c r="F10" i="1"/>
  <c r="AP10" i="1" s="1"/>
  <c r="D10" i="1"/>
  <c r="B10" i="1"/>
  <c r="E10" i="1" s="1"/>
  <c r="A10" i="1"/>
  <c r="R10" i="1" s="1"/>
  <c r="AG9" i="1"/>
  <c r="AE9" i="1"/>
  <c r="S9" i="1"/>
  <c r="K9" i="1"/>
  <c r="M9" i="1" s="1"/>
  <c r="O9" i="1" s="1"/>
  <c r="F9" i="1"/>
  <c r="AP9" i="1" s="1"/>
  <c r="D9" i="1"/>
  <c r="B9" i="1"/>
  <c r="E9" i="1" s="1"/>
  <c r="A9" i="1"/>
  <c r="R9" i="1" s="1"/>
  <c r="AG8" i="1"/>
  <c r="D8" i="1"/>
  <c r="A8" i="1"/>
  <c r="AG7" i="1"/>
  <c r="D7" i="1"/>
  <c r="B7" i="1"/>
  <c r="E7" i="1" s="1"/>
  <c r="A7" i="1"/>
  <c r="AG6" i="1"/>
  <c r="AE6" i="1"/>
  <c r="D6" i="1"/>
  <c r="B6" i="1"/>
  <c r="E6" i="1" s="1"/>
  <c r="A6" i="1"/>
  <c r="T4" i="1"/>
  <c r="B2" i="1"/>
  <c r="C42" i="1" s="1"/>
  <c r="O27" i="6"/>
  <c r="N27" i="6"/>
  <c r="P26" i="6"/>
  <c r="L26" i="6"/>
  <c r="E26" i="6"/>
  <c r="P25" i="6"/>
  <c r="L25" i="6"/>
  <c r="E25" i="6"/>
  <c r="P24" i="6"/>
  <c r="L24" i="6"/>
  <c r="E24" i="6"/>
  <c r="P23" i="6"/>
  <c r="L23" i="6"/>
  <c r="E23" i="6"/>
  <c r="P22" i="6"/>
  <c r="L22" i="6"/>
  <c r="E22" i="6"/>
  <c r="P21" i="6"/>
  <c r="L21" i="6"/>
  <c r="G21" i="6"/>
  <c r="E21" i="6" s="1"/>
  <c r="P20" i="6"/>
  <c r="L20" i="6"/>
  <c r="F20" i="6"/>
  <c r="P19" i="6"/>
  <c r="F19" i="6"/>
  <c r="E19" i="6"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s="1"/>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s="1"/>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s="1"/>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s="1"/>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s="1"/>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s="1"/>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s="1"/>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G225" i="3" s="1"/>
  <c r="H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G224" i="3" s="1"/>
  <c r="H224" i="3"/>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G222" i="3" s="1"/>
  <c r="H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G202" i="3" s="1"/>
  <c r="H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G200" i="3" s="1"/>
  <c r="H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G198" i="3" s="1"/>
  <c r="H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G196" i="3" s="1"/>
  <c r="H196" i="3"/>
  <c r="BT195" i="3"/>
  <c r="BS195" i="3"/>
  <c r="BR195" i="3"/>
  <c r="BQ195" i="3"/>
  <c r="BP195" i="3"/>
  <c r="BO195" i="3"/>
  <c r="BN195" i="3"/>
  <c r="BM195" i="3"/>
  <c r="BL195" i="3" s="1"/>
  <c r="BK195" i="3"/>
  <c r="BJ195" i="3"/>
  <c r="BI195" i="3"/>
  <c r="BH195" i="3"/>
  <c r="BG195" i="3"/>
  <c r="BF195" i="3"/>
  <c r="BE195" i="3"/>
  <c r="BD195" i="3"/>
  <c r="BC195" i="3"/>
  <c r="BA195" i="3" s="1"/>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G190" i="3" s="1"/>
  <c r="H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G186" i="3" s="1"/>
  <c r="H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G184" i="3" s="1"/>
  <c r="H184" i="3"/>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G182" i="3" s="1"/>
  <c r="H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G178" i="3" s="1"/>
  <c r="H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A169" i="3" s="1"/>
  <c r="AZ169" i="3" s="1"/>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G160" i="3" s="1"/>
  <c r="H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G154" i="3" s="1"/>
  <c r="H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G150" i="3" s="1"/>
  <c r="H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G144" i="3" s="1"/>
  <c r="H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G140" i="3" s="1"/>
  <c r="H140" i="3"/>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AZ133" i="3" s="1"/>
  <c r="BB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A131" i="3" s="1"/>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G130" i="3" s="1"/>
  <c r="H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G126" i="3" s="1"/>
  <c r="H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G124" i="3" s="1"/>
  <c r="H124" i="3"/>
  <c r="BT123" i="3"/>
  <c r="BS123" i="3"/>
  <c r="BR123" i="3"/>
  <c r="BQ123" i="3"/>
  <c r="BP123" i="3"/>
  <c r="BO123" i="3"/>
  <c r="BN123" i="3"/>
  <c r="BM123" i="3"/>
  <c r="BL123" i="3" s="1"/>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G120" i="3" s="1"/>
  <c r="H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G118" i="3" s="1"/>
  <c r="H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AZ105" i="3" s="1"/>
  <c r="BB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G102" i="3" s="1"/>
  <c r="H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G94" i="3" s="1"/>
  <c r="H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G86" i="3" s="1"/>
  <c r="H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G82" i="3" s="1"/>
  <c r="H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G78" i="3" s="1"/>
  <c r="H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G76" i="3" s="1"/>
  <c r="H76" i="3"/>
  <c r="BT75" i="3"/>
  <c r="BS75" i="3"/>
  <c r="BR75" i="3"/>
  <c r="BQ75" i="3"/>
  <c r="BP75" i="3"/>
  <c r="BO75" i="3"/>
  <c r="BN75" i="3"/>
  <c r="BM75" i="3"/>
  <c r="BL75" i="3" s="1"/>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G74" i="3" s="1"/>
  <c r="H74" i="3"/>
  <c r="BT73" i="3"/>
  <c r="BS73" i="3"/>
  <c r="BR73" i="3"/>
  <c r="BQ73" i="3"/>
  <c r="BP73" i="3"/>
  <c r="BO73" i="3"/>
  <c r="BN73" i="3"/>
  <c r="BM73" i="3"/>
  <c r="BL73" i="3" s="1"/>
  <c r="BK73" i="3"/>
  <c r="BJ73" i="3"/>
  <c r="BI73" i="3"/>
  <c r="BH73" i="3"/>
  <c r="BG73" i="3"/>
  <c r="BF73" i="3"/>
  <c r="BE73" i="3"/>
  <c r="BD73" i="3"/>
  <c r="BC73" i="3"/>
  <c r="BA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G66" i="3" s="1"/>
  <c r="H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G58" i="3" s="1"/>
  <c r="H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G54" i="3" s="1"/>
  <c r="H54" i="3"/>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G46" i="3" s="1"/>
  <c r="H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G42" i="3" s="1"/>
  <c r="H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G38" i="3" s="1"/>
  <c r="H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G34" i="3" s="1"/>
  <c r="H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G26" i="3" s="1"/>
  <c r="H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G20" i="3" s="1"/>
  <c r="H20" i="3"/>
  <c r="BT19" i="3"/>
  <c r="BS19" i="3"/>
  <c r="BR19" i="3"/>
  <c r="BQ19" i="3"/>
  <c r="BP19" i="3"/>
  <c r="BO19" i="3"/>
  <c r="BN19" i="3"/>
  <c r="BM19" i="3"/>
  <c r="BL19" i="3" s="1"/>
  <c r="BK19" i="3"/>
  <c r="BJ19" i="3"/>
  <c r="BI19" i="3"/>
  <c r="BH19" i="3"/>
  <c r="BG19" i="3"/>
  <c r="BF19" i="3"/>
  <c r="BE19" i="3"/>
  <c r="BD19" i="3"/>
  <c r="BC19" i="3"/>
  <c r="BA19" i="3" s="1"/>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G14" i="3" s="1"/>
  <c r="H14" i="3"/>
  <c r="BT13" i="3"/>
  <c r="BS13" i="3"/>
  <c r="BS5" i="3" s="1"/>
  <c r="BQ13" i="3"/>
  <c r="BQ5" i="3" s="1"/>
  <c r="F28" i="6" s="1"/>
  <c r="BP13" i="3"/>
  <c r="BO13" i="3"/>
  <c r="BO5" i="3" s="1"/>
  <c r="BN13" i="3"/>
  <c r="BM13" i="3"/>
  <c r="BK13" i="3"/>
  <c r="BK5" i="3" s="1"/>
  <c r="BJ13" i="3"/>
  <c r="BI13" i="3"/>
  <c r="BI5" i="3" s="1"/>
  <c r="BH13" i="3"/>
  <c r="BG13" i="3"/>
  <c r="BG5" i="3" s="1"/>
  <c r="BF13" i="3"/>
  <c r="BE13" i="3"/>
  <c r="BE5" i="3" s="1"/>
  <c r="BD13" i="3"/>
  <c r="BC13" i="3"/>
  <c r="BB13" i="3"/>
  <c r="AX13" i="3"/>
  <c r="AW13" i="3"/>
  <c r="AV13" i="3"/>
  <c r="AT13" i="3"/>
  <c r="AN13" i="3"/>
  <c r="BR13" i="3" s="1"/>
  <c r="BR5" i="3" s="1"/>
  <c r="G28"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N5" i="3"/>
  <c r="G29" i="6" s="1"/>
  <c r="BJ5" i="3"/>
  <c r="BH5" i="3"/>
  <c r="BF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A3" i="3"/>
  <c r="S80" i="68"/>
  <c r="R80" i="68"/>
  <c r="Q80" i="68"/>
  <c r="P80" i="68"/>
  <c r="L80" i="68"/>
  <c r="O80" i="68" s="1"/>
  <c r="R79" i="68"/>
  <c r="Q79" i="68"/>
  <c r="P79" i="68"/>
  <c r="O79" i="68"/>
  <c r="L79" i="68"/>
  <c r="R78" i="68"/>
  <c r="Q78" i="68"/>
  <c r="P78" i="68"/>
  <c r="O78" i="68"/>
  <c r="L78" i="68"/>
  <c r="S77" i="68"/>
  <c r="S81" i="68" s="1"/>
  <c r="R77" i="68"/>
  <c r="R81" i="68" s="1"/>
  <c r="Q77" i="68"/>
  <c r="Q81" i="68" s="1"/>
  <c r="P77" i="68"/>
  <c r="P81" i="68" s="1"/>
  <c r="L77" i="68"/>
  <c r="O77" i="68" s="1"/>
  <c r="O81" i="68" s="1"/>
  <c r="E77" i="68"/>
  <c r="F74" i="68"/>
  <c r="E74" i="68"/>
  <c r="J70" i="68"/>
  <c r="J68" i="68"/>
  <c r="I68" i="68"/>
  <c r="H67" i="68"/>
  <c r="H68" i="68" s="1"/>
  <c r="K64" i="68"/>
  <c r="H64" i="68"/>
  <c r="K62" i="68"/>
  <c r="O60" i="68"/>
  <c r="K60" i="68"/>
  <c r="K58" i="68"/>
  <c r="R55" i="68"/>
  <c r="Q55" i="68"/>
  <c r="P55" i="68"/>
  <c r="O55" i="68"/>
  <c r="N55" i="68"/>
  <c r="L55" i="68"/>
  <c r="J55" i="68"/>
  <c r="S52" i="68"/>
  <c r="S55" i="68" s="1"/>
  <c r="I50" i="68"/>
  <c r="I49" i="68"/>
  <c r="K48" i="68"/>
  <c r="I48" i="68"/>
  <c r="H48" i="68"/>
  <c r="I47" i="68"/>
  <c r="K47" i="68" s="1"/>
  <c r="K55" i="68" s="1"/>
  <c r="H47" i="68"/>
  <c r="T43" i="68"/>
  <c r="Q43" i="68"/>
  <c r="S36" i="68"/>
  <c r="R36" i="68"/>
  <c r="R43" i="68" s="1"/>
  <c r="K36" i="68"/>
  <c r="P34" i="68"/>
  <c r="P43" i="68" s="1"/>
  <c r="O34" i="68"/>
  <c r="N34" i="68"/>
  <c r="M34" i="68"/>
  <c r="L34" i="68"/>
  <c r="J34" i="68"/>
  <c r="I34" i="68"/>
  <c r="K34" i="68" s="1"/>
  <c r="O33" i="68"/>
  <c r="N33" i="68"/>
  <c r="M33" i="68"/>
  <c r="L33" i="68"/>
  <c r="J33" i="68"/>
  <c r="I33" i="68"/>
  <c r="K33" i="68" s="1"/>
  <c r="O32" i="68"/>
  <c r="N32" i="68"/>
  <c r="M32" i="68"/>
  <c r="L32" i="68"/>
  <c r="J32" i="68"/>
  <c r="I32" i="68"/>
  <c r="K32" i="68" s="1"/>
  <c r="O31" i="68"/>
  <c r="N31" i="68"/>
  <c r="M31" i="68"/>
  <c r="L31" i="68"/>
  <c r="J31" i="68"/>
  <c r="I31" i="68"/>
  <c r="K31" i="68" s="1"/>
  <c r="O30" i="68"/>
  <c r="O43" i="68" s="1"/>
  <c r="D17" i="68" s="1"/>
  <c r="N30" i="68"/>
  <c r="M30" i="68"/>
  <c r="L30" i="68"/>
  <c r="J30" i="68"/>
  <c r="I30" i="68"/>
  <c r="K30" i="68" s="1"/>
  <c r="S29" i="68"/>
  <c r="R29" i="68"/>
  <c r="N26" i="68"/>
  <c r="L26" i="68"/>
  <c r="J26" i="68"/>
  <c r="H26" i="68"/>
  <c r="I26" i="68" s="1"/>
  <c r="G26" i="68"/>
  <c r="L25" i="68"/>
  <c r="J25" i="68"/>
  <c r="G25" i="68"/>
  <c r="F25" i="68"/>
  <c r="N25" i="68" s="1"/>
  <c r="N24" i="68"/>
  <c r="L24" i="68"/>
  <c r="G24" i="68"/>
  <c r="J24" i="68" s="1"/>
  <c r="N23" i="68"/>
  <c r="N43" i="68" s="1"/>
  <c r="L23" i="68"/>
  <c r="L43" i="68" s="1"/>
  <c r="G23" i="68"/>
  <c r="J23" i="68" s="1"/>
  <c r="F23" i="68"/>
  <c r="D18" i="68"/>
  <c r="E4" i="68"/>
  <c r="D4" i="68"/>
  <c r="H3" i="69"/>
  <c r="R41" i="4"/>
  <c r="Q41" i="4"/>
  <c r="P41" i="4"/>
  <c r="O41" i="4"/>
  <c r="N41" i="4"/>
  <c r="M41" i="4"/>
  <c r="L41" i="4"/>
  <c r="F41" i="4"/>
  <c r="T40" i="4"/>
  <c r="T41" i="4" s="1"/>
  <c r="A17" i="64" s="1"/>
  <c r="K40" i="4"/>
  <c r="D38" i="4"/>
  <c r="C39" i="4" s="1"/>
  <c r="G36" i="4"/>
  <c r="C35" i="4"/>
  <c r="L26" i="4"/>
  <c r="L25" i="4"/>
  <c r="A11" i="55" s="1"/>
  <c r="B62" i="63" s="1"/>
  <c r="L24" i="4"/>
  <c r="F23" i="4"/>
  <c r="I19" i="4"/>
  <c r="H19" i="4"/>
  <c r="G19" i="4"/>
  <c r="F8" i="1" s="1"/>
  <c r="F19" i="4"/>
  <c r="E19" i="4"/>
  <c r="F7" i="1" s="1"/>
  <c r="D19" i="4"/>
  <c r="F6" i="1" s="1"/>
  <c r="U16" i="4"/>
  <c r="S16" i="4"/>
  <c r="T16" i="4" s="1"/>
  <c r="Q16" i="4"/>
  <c r="R16" i="4" s="1"/>
  <c r="O16" i="4"/>
  <c r="P16" i="4" s="1"/>
  <c r="M16" i="4"/>
  <c r="N16" i="4" s="1"/>
  <c r="K16" i="4"/>
  <c r="D14" i="4"/>
  <c r="K6" i="4"/>
  <c r="K4" i="4"/>
  <c r="I4" i="4"/>
  <c r="G4" i="4"/>
  <c r="K2" i="4"/>
  <c r="A2" i="9" s="1"/>
  <c r="K1" i="4"/>
  <c r="B1" i="4"/>
  <c r="B37" i="50" s="1"/>
  <c r="B2" i="63" s="1"/>
  <c r="C57" i="10"/>
  <c r="C56" i="10"/>
  <c r="C55" i="10"/>
  <c r="C54" i="10"/>
  <c r="D51" i="10"/>
  <c r="B51" i="10"/>
  <c r="B2" i="52"/>
  <c r="B22" i="52" s="1"/>
  <c r="A21" i="55"/>
  <c r="B71" i="63" s="1"/>
  <c r="A20" i="55"/>
  <c r="A16" i="55"/>
  <c r="A15" i="55"/>
  <c r="A14" i="55"/>
  <c r="A10" i="55"/>
  <c r="A9" i="55"/>
  <c r="A8" i="55"/>
  <c r="A4" i="55"/>
  <c r="A2" i="55"/>
  <c r="R8" i="54"/>
  <c r="B54" i="63" s="1"/>
  <c r="A8" i="54"/>
  <c r="R7" i="54"/>
  <c r="B52" i="63" s="1"/>
  <c r="A7" i="54"/>
  <c r="A6" i="54"/>
  <c r="B49" i="63" s="1"/>
  <c r="M5" i="54"/>
  <c r="L5" i="54"/>
  <c r="G5" i="54"/>
  <c r="B34" i="63" s="1"/>
  <c r="E5" i="54"/>
  <c r="N3" i="54"/>
  <c r="B42" i="63" s="1"/>
  <c r="R2" i="54"/>
  <c r="K2" i="54"/>
  <c r="A30" i="64"/>
  <c r="A28" i="64"/>
  <c r="A27" i="64"/>
  <c r="A26" i="64"/>
  <c r="A21" i="64"/>
  <c r="B75" i="63" s="1"/>
  <c r="A15" i="64"/>
  <c r="A14" i="64"/>
  <c r="A11" i="64"/>
  <c r="A3" i="64"/>
  <c r="A30" i="51"/>
  <c r="A28" i="51"/>
  <c r="A27" i="51"/>
  <c r="A26" i="51"/>
  <c r="A23" i="51"/>
  <c r="A18" i="51"/>
  <c r="A15" i="51"/>
  <c r="A14" i="51"/>
  <c r="A11" i="51"/>
  <c r="B10" i="63" s="1"/>
  <c r="A4" i="51"/>
  <c r="A3" i="51"/>
  <c r="B49" i="50"/>
  <c r="B5" i="63" s="1"/>
  <c r="B46" i="50"/>
  <c r="B4" i="63" s="1"/>
  <c r="B40" i="50"/>
  <c r="B3" i="63" s="1"/>
  <c r="B76" i="63"/>
  <c r="B73" i="63"/>
  <c r="B69" i="63"/>
  <c r="B68" i="63"/>
  <c r="B67" i="63"/>
  <c r="B66" i="63"/>
  <c r="B65" i="63"/>
  <c r="B64" i="63"/>
  <c r="B63" i="63"/>
  <c r="B61" i="63"/>
  <c r="B60" i="63"/>
  <c r="B59" i="63"/>
  <c r="B58" i="63"/>
  <c r="B57" i="63"/>
  <c r="B55" i="63"/>
  <c r="B53" i="63"/>
  <c r="B51" i="63"/>
  <c r="B44" i="63"/>
  <c r="B41" i="63"/>
  <c r="B40" i="63"/>
  <c r="B39" i="63"/>
  <c r="B37" i="63"/>
  <c r="B36" i="63"/>
  <c r="B35" i="63"/>
  <c r="B33" i="63"/>
  <c r="B32" i="63"/>
  <c r="B31" i="63"/>
  <c r="B30" i="63"/>
  <c r="B29" i="63"/>
  <c r="B28" i="63"/>
  <c r="B27" i="63"/>
  <c r="B26" i="63"/>
  <c r="B25" i="63"/>
  <c r="B24" i="63"/>
  <c r="B23" i="63"/>
  <c r="B22" i="63"/>
  <c r="B21" i="63"/>
  <c r="B20" i="63"/>
  <c r="B19" i="63"/>
  <c r="B17" i="63"/>
  <c r="B14" i="63"/>
  <c r="B12" i="63"/>
  <c r="B11" i="63"/>
  <c r="B8" i="63"/>
  <c r="B6" i="63"/>
  <c r="N4" i="63"/>
  <c r="I3" i="65"/>
  <c r="E13" i="67"/>
  <c r="B9" i="67"/>
  <c r="N3" i="65"/>
  <c r="F8" i="67"/>
  <c r="F12" i="67"/>
  <c r="E8" i="67"/>
  <c r="F11" i="67"/>
  <c r="J4" i="65"/>
  <c r="I5" i="65"/>
  <c r="B10" i="67"/>
  <c r="B13" i="67"/>
  <c r="I7" i="65"/>
  <c r="F13" i="67"/>
  <c r="N5" i="65"/>
  <c r="J5" i="65"/>
  <c r="I4" i="65"/>
  <c r="F14" i="67"/>
  <c r="E10" i="67"/>
  <c r="J6" i="65"/>
  <c r="I6" i="65"/>
  <c r="E11" i="67"/>
  <c r="E12" i="67"/>
  <c r="E9" i="67"/>
  <c r="N6" i="65"/>
  <c r="F10" i="67"/>
  <c r="B11" i="67"/>
  <c r="B8" i="67"/>
  <c r="N4" i="65"/>
  <c r="N7" i="65"/>
  <c r="E14" i="67"/>
  <c r="B14" i="67"/>
  <c r="B12" i="67"/>
  <c r="F9" i="67"/>
  <c r="J3" i="65"/>
  <c r="J7" i="65"/>
  <c r="C18" i="9" l="1"/>
  <c r="M43" i="9" s="1"/>
  <c r="K26" i="68"/>
  <c r="S26" i="68"/>
  <c r="AZ19" i="3"/>
  <c r="AZ21" i="3"/>
  <c r="AZ23" i="3"/>
  <c r="AZ25" i="3"/>
  <c r="AZ27" i="3"/>
  <c r="AZ29" i="3"/>
  <c r="AZ31" i="3"/>
  <c r="AZ33" i="3"/>
  <c r="AZ35" i="3"/>
  <c r="AZ37" i="3"/>
  <c r="AZ49" i="3"/>
  <c r="AZ51" i="3"/>
  <c r="AZ73" i="3"/>
  <c r="AZ87" i="3"/>
  <c r="AZ117" i="3"/>
  <c r="AZ119" i="3"/>
  <c r="AZ121" i="3"/>
  <c r="AZ131" i="3"/>
  <c r="Q82" i="68"/>
  <c r="T81" i="68"/>
  <c r="S82" i="68"/>
  <c r="J43" i="68"/>
  <c r="K4" i="68"/>
  <c r="K5" i="68" s="1"/>
  <c r="H66" i="68" s="1"/>
  <c r="E93" i="68" s="1"/>
  <c r="E95" i="68"/>
  <c r="E96" i="68" s="1"/>
  <c r="R82" i="68"/>
  <c r="BL13" i="3"/>
  <c r="BL5" i="3" s="1"/>
  <c r="E28" i="6"/>
  <c r="K14" i="1" s="1"/>
  <c r="M14" i="1" s="1"/>
  <c r="AZ95" i="3"/>
  <c r="AZ97" i="3"/>
  <c r="AZ99" i="3"/>
  <c r="AZ101" i="3"/>
  <c r="AZ103" i="3"/>
  <c r="AZ141" i="3"/>
  <c r="AZ143" i="3"/>
  <c r="AZ145" i="3"/>
  <c r="AZ147" i="3"/>
  <c r="AZ149" i="3"/>
  <c r="AZ151" i="3"/>
  <c r="AZ153" i="3"/>
  <c r="AZ155" i="3"/>
  <c r="AZ157" i="3"/>
  <c r="AZ159" i="3"/>
  <c r="AZ161" i="3"/>
  <c r="AZ163" i="3"/>
  <c r="AZ165" i="3"/>
  <c r="AZ167" i="3"/>
  <c r="AZ195" i="3"/>
  <c r="AZ197" i="3"/>
  <c r="AZ199" i="3"/>
  <c r="AZ201" i="3"/>
  <c r="AZ203" i="3"/>
  <c r="H25" i="68"/>
  <c r="I25" i="68" s="1"/>
  <c r="E20" i="6"/>
  <c r="AA14" i="39"/>
  <c r="AB15" i="39"/>
  <c r="E9" i="59"/>
  <c r="E8" i="59" s="1"/>
  <c r="E7" i="59" s="1"/>
  <c r="E6" i="59" s="1"/>
  <c r="U10" i="59"/>
  <c r="S10" i="59"/>
  <c r="B9" i="59"/>
  <c r="B8" i="59" s="1"/>
  <c r="B7" i="59" s="1"/>
  <c r="B6" i="59" s="1"/>
  <c r="C34" i="59"/>
  <c r="D33" i="59"/>
  <c r="O76" i="9"/>
  <c r="L76" i="9"/>
  <c r="N76" i="9"/>
  <c r="I55" i="68"/>
  <c r="H74" i="68"/>
  <c r="E91" i="68"/>
  <c r="G30" i="6"/>
  <c r="A17" i="51"/>
  <c r="B13" i="63" s="1"/>
  <c r="A4" i="64"/>
  <c r="A18" i="64"/>
  <c r="B74" i="63" s="1"/>
  <c r="K5" i="54"/>
  <c r="C51" i="10"/>
  <c r="C53" i="10"/>
  <c r="L16" i="4"/>
  <c r="K17" i="4" s="1"/>
  <c r="A22" i="51" s="1"/>
  <c r="B16" i="63" s="1"/>
  <c r="J52" i="40"/>
  <c r="J57" i="39"/>
  <c r="H23" i="68"/>
  <c r="I23" i="68" s="1"/>
  <c r="H24" i="68"/>
  <c r="I24" i="68" s="1"/>
  <c r="K59" i="68"/>
  <c r="BB5" i="3"/>
  <c r="BM5" i="3"/>
  <c r="F29" i="6" s="1"/>
  <c r="AC13" i="3"/>
  <c r="AC5" i="3" s="1"/>
  <c r="BD5"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B8" i="1"/>
  <c r="E8" i="1" s="1"/>
  <c r="K1" i="12"/>
  <c r="C2" i="65"/>
  <c r="I1" i="65" s="1"/>
  <c r="G23" i="43"/>
  <c r="G21" i="43"/>
  <c r="G28" i="12"/>
  <c r="G26" i="12"/>
  <c r="G22" i="43"/>
  <c r="G27" i="12"/>
  <c r="M18" i="71"/>
  <c r="M18" i="15"/>
  <c r="F34" i="44"/>
  <c r="F30" i="44"/>
  <c r="M20" i="44"/>
  <c r="F31" i="43"/>
  <c r="D86" i="9"/>
  <c r="F71" i="9"/>
  <c r="F66" i="9"/>
  <c r="P72" i="9" s="1"/>
  <c r="F32" i="15"/>
  <c r="F59" i="15" s="1"/>
  <c r="F28" i="15"/>
  <c r="F27" i="43"/>
  <c r="F29" i="12"/>
  <c r="F70" i="9"/>
  <c r="F32" i="71"/>
  <c r="F59" i="71" s="1"/>
  <c r="F28" i="71"/>
  <c r="F36" i="44"/>
  <c r="M22" i="44"/>
  <c r="F34" i="15"/>
  <c r="F61" i="15" s="1"/>
  <c r="M20" i="15"/>
  <c r="F34" i="71"/>
  <c r="F61" i="71" s="1"/>
  <c r="M20" i="71"/>
  <c r="B80" i="46"/>
  <c r="C17" i="40"/>
  <c r="B81" i="46"/>
  <c r="C19" i="40"/>
  <c r="B70" i="46"/>
  <c r="B59" i="46"/>
  <c r="B48" i="46"/>
  <c r="B84" i="46"/>
  <c r="C25" i="40"/>
  <c r="B85" i="46"/>
  <c r="C27" i="40"/>
  <c r="B74" i="46"/>
  <c r="B65" i="46"/>
  <c r="B54" i="46"/>
  <c r="F72" i="9"/>
  <c r="K76" i="9"/>
  <c r="K77" i="9" s="1"/>
  <c r="K79" i="9" s="1"/>
  <c r="K81" i="9" s="1"/>
  <c r="AB11" i="39"/>
  <c r="U11" i="39"/>
  <c r="AC14" i="39"/>
  <c r="W14" i="39"/>
  <c r="C23" i="39"/>
  <c r="C31" i="39"/>
  <c r="AB31" i="39"/>
  <c r="U31" i="39"/>
  <c r="AC37" i="39"/>
  <c r="W37" i="39"/>
  <c r="U38" i="39"/>
  <c r="S45" i="39"/>
  <c r="U46" i="39"/>
  <c r="E55" i="39"/>
  <c r="F55" i="39" s="1"/>
  <c r="J15" i="39"/>
  <c r="F15" i="39"/>
  <c r="F19" i="39"/>
  <c r="F93" i="39"/>
  <c r="G93" i="39" s="1"/>
  <c r="J19" i="39"/>
  <c r="W19" i="39" s="1"/>
  <c r="E103" i="39"/>
  <c r="J29" i="39"/>
  <c r="W29" i="39" s="1"/>
  <c r="H126" i="39"/>
  <c r="I126" i="39" s="1"/>
  <c r="J126" i="39" s="1"/>
  <c r="K126" i="39" s="1"/>
  <c r="L126" i="39" s="1"/>
  <c r="M126" i="39" s="1"/>
  <c r="H43" i="39"/>
  <c r="AA10" i="40"/>
  <c r="S13" i="40"/>
  <c r="U14" i="40"/>
  <c r="S29" i="40"/>
  <c r="S34" i="40"/>
  <c r="U35" i="40"/>
  <c r="S38" i="40"/>
  <c r="J33" i="40"/>
  <c r="F33" i="40"/>
  <c r="J35" i="40"/>
  <c r="F35" i="40"/>
  <c r="AB10" i="46"/>
  <c r="AF10" i="46"/>
  <c r="AJ10" i="46"/>
  <c r="F100" i="46"/>
  <c r="J100" i="46"/>
  <c r="N100" i="46"/>
  <c r="S14" i="59"/>
  <c r="X14" i="59"/>
  <c r="T18" i="59"/>
  <c r="D18" i="59"/>
  <c r="C17" i="59"/>
  <c r="F20" i="59"/>
  <c r="F21" i="59" s="1"/>
  <c r="F22" i="59" s="1"/>
  <c r="V22" i="59" s="1"/>
  <c r="AB19" i="59"/>
  <c r="C20" i="59"/>
  <c r="F24" i="59"/>
  <c r="F25" i="59" s="1"/>
  <c r="F26" i="59" s="1"/>
  <c r="V26" i="59" s="1"/>
  <c r="AB23" i="59"/>
  <c r="C24" i="59"/>
  <c r="F28" i="59"/>
  <c r="F29" i="59" s="1"/>
  <c r="F30" i="59" s="1"/>
  <c r="V30" i="59" s="1"/>
  <c r="AB27" i="59"/>
  <c r="C28" i="59"/>
  <c r="D32" i="59"/>
  <c r="C41" i="59"/>
  <c r="D40" i="59"/>
  <c r="C45" i="59"/>
  <c r="D44" i="59"/>
  <c r="C53" i="59"/>
  <c r="D52" i="59"/>
  <c r="E61" i="59"/>
  <c r="E60" i="59" s="1"/>
  <c r="U62" i="59"/>
  <c r="E65" i="59"/>
  <c r="E64" i="59" s="1"/>
  <c r="U66" i="59"/>
  <c r="E69" i="59"/>
  <c r="E68" i="59" s="1"/>
  <c r="U70" i="59"/>
  <c r="AC12" i="21"/>
  <c r="W12" i="21"/>
  <c r="S12" i="21"/>
  <c r="U13" i="21"/>
  <c r="AC34" i="21"/>
  <c r="W34" i="21"/>
  <c r="S34" i="21"/>
  <c r="AC38" i="21"/>
  <c r="W38" i="21"/>
  <c r="S38" i="21"/>
  <c r="AC46" i="21"/>
  <c r="W46" i="21"/>
  <c r="S46" i="21"/>
  <c r="H42" i="21"/>
  <c r="G123" i="21"/>
  <c r="H123" i="21" s="1"/>
  <c r="I123" i="21" s="1"/>
  <c r="J123" i="21" s="1"/>
  <c r="K123" i="21" s="1"/>
  <c r="L123" i="21" s="1"/>
  <c r="M123" i="21" s="1"/>
  <c r="K143" i="21"/>
  <c r="K141" i="21"/>
  <c r="P62" i="71"/>
  <c r="W8" i="33"/>
  <c r="AC8" i="33"/>
  <c r="AA8" i="33"/>
  <c r="AB11" i="33"/>
  <c r="U11" i="33"/>
  <c r="AA12" i="33"/>
  <c r="S12" i="33"/>
  <c r="AC15" i="33"/>
  <c r="W15" i="33"/>
  <c r="S15" i="33"/>
  <c r="AC19" i="33"/>
  <c r="W19" i="33"/>
  <c r="S19" i="33"/>
  <c r="AC23" i="33"/>
  <c r="W23" i="33"/>
  <c r="S23" i="33"/>
  <c r="AC32" i="33"/>
  <c r="W32" i="33"/>
  <c r="S32" i="33"/>
  <c r="AB39" i="33"/>
  <c r="U39" i="33"/>
  <c r="AC40" i="33"/>
  <c r="W40" i="33"/>
  <c r="S40" i="33"/>
  <c r="AA9" i="34"/>
  <c r="S9" i="34"/>
  <c r="AB10" i="34"/>
  <c r="U10" i="34"/>
  <c r="AC11" i="34"/>
  <c r="W11" i="34"/>
  <c r="S11" i="34"/>
  <c r="U12" i="34"/>
  <c r="AB15" i="34"/>
  <c r="U15" i="34"/>
  <c r="AB17" i="34"/>
  <c r="U17" i="34"/>
  <c r="AB19" i="34"/>
  <c r="U19" i="34"/>
  <c r="AB21" i="34"/>
  <c r="U21" i="34"/>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P27" i="6"/>
  <c r="AA10" i="39"/>
  <c r="S16" i="39"/>
  <c r="S39" i="39"/>
  <c r="U41" i="39"/>
  <c r="J43" i="39"/>
  <c r="S43" i="39"/>
  <c r="U44" i="39"/>
  <c r="W45" i="39"/>
  <c r="S47" i="39"/>
  <c r="T48" i="39"/>
  <c r="E95" i="39"/>
  <c r="J21" i="39"/>
  <c r="F21" i="39"/>
  <c r="H23" i="39"/>
  <c r="U23" i="39" s="1"/>
  <c r="E97" i="39"/>
  <c r="F23" i="39" s="1"/>
  <c r="J38" i="39"/>
  <c r="F38" i="39"/>
  <c r="J46" i="39"/>
  <c r="F46" i="39"/>
  <c r="AC10" i="40"/>
  <c r="W13" i="40"/>
  <c r="S15" i="40"/>
  <c r="U16" i="40"/>
  <c r="U17" i="40"/>
  <c r="U19" i="40"/>
  <c r="U21" i="40"/>
  <c r="U23" i="40"/>
  <c r="U25" i="40"/>
  <c r="U27" i="40"/>
  <c r="W29" i="40"/>
  <c r="S30" i="40"/>
  <c r="AB32" i="40"/>
  <c r="U32" i="40"/>
  <c r="S32" i="40"/>
  <c r="H33" i="40"/>
  <c r="W34" i="40"/>
  <c r="S36" i="40"/>
  <c r="U37" i="40"/>
  <c r="W38" i="40"/>
  <c r="W40" i="40"/>
  <c r="W42" i="40"/>
  <c r="J14" i="40"/>
  <c r="F14" i="40"/>
  <c r="J16" i="40"/>
  <c r="F16" i="40"/>
  <c r="AB40" i="40"/>
  <c r="U40" i="40"/>
  <c r="AB42" i="40"/>
  <c r="U42" i="40"/>
  <c r="F39" i="46"/>
  <c r="F38" i="46"/>
  <c r="F37" i="46"/>
  <c r="F36" i="46"/>
  <c r="F35" i="46"/>
  <c r="F34" i="46"/>
  <c r="F33" i="46"/>
  <c r="N17" i="46"/>
  <c r="L17" i="46"/>
  <c r="J17" i="46"/>
  <c r="H17" i="46"/>
  <c r="E17" i="46"/>
  <c r="C17" i="46"/>
  <c r="C6" i="46"/>
  <c r="E9" i="46"/>
  <c r="E8" i="46"/>
  <c r="Z10" i="46"/>
  <c r="AD10" i="46"/>
  <c r="AH10" i="46"/>
  <c r="E11" i="46"/>
  <c r="D17" i="46"/>
  <c r="I17" i="46"/>
  <c r="M17" i="46"/>
  <c r="D100" i="46"/>
  <c r="H100" i="46"/>
  <c r="L100" i="46"/>
  <c r="Y3" i="59"/>
  <c r="Z3" i="59" s="1"/>
  <c r="AB5" i="59"/>
  <c r="AA5" i="59"/>
  <c r="AA6" i="59"/>
  <c r="AA3" i="59"/>
  <c r="AB6" i="59"/>
  <c r="X7" i="59"/>
  <c r="Y8" i="59"/>
  <c r="Z8" i="59" s="1"/>
  <c r="F9" i="59"/>
  <c r="F8" i="59" s="1"/>
  <c r="F7" i="59" s="1"/>
  <c r="F6" i="59" s="1"/>
  <c r="AB9" i="59"/>
  <c r="AA9" i="59"/>
  <c r="AA10" i="59"/>
  <c r="AB10" i="59"/>
  <c r="X11" i="59"/>
  <c r="Y12" i="59"/>
  <c r="Z12" i="59" s="1"/>
  <c r="AB13" i="59"/>
  <c r="AA13" i="59"/>
  <c r="T14" i="59"/>
  <c r="D14" i="59"/>
  <c r="C13" i="59"/>
  <c r="Y14" i="59"/>
  <c r="Z14" i="59" s="1"/>
  <c r="U14" i="59"/>
  <c r="AB15" i="59"/>
  <c r="AA15" i="59"/>
  <c r="AA16" i="59"/>
  <c r="AB16" i="59"/>
  <c r="X17" i="59"/>
  <c r="AA18" i="59"/>
  <c r="X18" i="59"/>
  <c r="AB18" i="59"/>
  <c r="E21" i="59"/>
  <c r="E22" i="59" s="1"/>
  <c r="U22" i="59" s="1"/>
  <c r="Y20" i="59"/>
  <c r="Z20" i="59" s="1"/>
  <c r="AB21" i="59"/>
  <c r="AA21" i="59"/>
  <c r="AA22" i="59"/>
  <c r="AB22" i="59"/>
  <c r="E25" i="59"/>
  <c r="E26" i="59" s="1"/>
  <c r="U26" i="59" s="1"/>
  <c r="Y24" i="59"/>
  <c r="Z24" i="59" s="1"/>
  <c r="AB25" i="59"/>
  <c r="AA25" i="59"/>
  <c r="AA26" i="59"/>
  <c r="AB26" i="59"/>
  <c r="E29" i="59"/>
  <c r="E30" i="59" s="1"/>
  <c r="U30" i="59" s="1"/>
  <c r="D36" i="59"/>
  <c r="E41" i="59"/>
  <c r="E42" i="59" s="1"/>
  <c r="U42" i="59" s="1"/>
  <c r="C49" i="59"/>
  <c r="D48" i="59"/>
  <c r="E57" i="59"/>
  <c r="U58" i="59"/>
  <c r="P58" i="59"/>
  <c r="AC9" i="21"/>
  <c r="W9" i="21"/>
  <c r="AC25" i="21"/>
  <c r="W25" i="21"/>
  <c r="AC27" i="21"/>
  <c r="W27" i="21"/>
  <c r="AC29" i="21"/>
  <c r="W29" i="21"/>
  <c r="AC31" i="21"/>
  <c r="W31" i="21"/>
  <c r="AB41" i="21"/>
  <c r="U41" i="21"/>
  <c r="F42" i="21"/>
  <c r="F23" i="21"/>
  <c r="F85" i="21"/>
  <c r="G85" i="21" s="1"/>
  <c r="J23" i="21"/>
  <c r="AC23" i="21" s="1"/>
  <c r="H27" i="21"/>
  <c r="F27" i="21"/>
  <c r="H29" i="21"/>
  <c r="F29" i="21"/>
  <c r="H31" i="21"/>
  <c r="F31" i="21"/>
  <c r="J37" i="21"/>
  <c r="F37" i="21"/>
  <c r="H113" i="21"/>
  <c r="H37" i="21"/>
  <c r="P62" i="15"/>
  <c r="I21" i="57"/>
  <c r="AB13" i="33"/>
  <c r="U13" i="33"/>
  <c r="AA14" i="33"/>
  <c r="S14" i="33"/>
  <c r="AC28" i="33"/>
  <c r="W28" i="33"/>
  <c r="AB35" i="33"/>
  <c r="U35" i="33"/>
  <c r="AC36" i="33"/>
  <c r="W36" i="33"/>
  <c r="AB43" i="33"/>
  <c r="U43" i="33"/>
  <c r="AC44" i="33"/>
  <c r="W44" i="33"/>
  <c r="H12" i="33"/>
  <c r="J12" i="33"/>
  <c r="H14" i="33"/>
  <c r="J14" i="33"/>
  <c r="S25" i="34"/>
  <c r="S36" i="34"/>
  <c r="AB43" i="34"/>
  <c r="U43" i="34"/>
  <c r="AC44" i="34"/>
  <c r="W44" i="34"/>
  <c r="S44" i="34"/>
  <c r="AC46" i="34"/>
  <c r="W46" i="34"/>
  <c r="J12" i="34"/>
  <c r="F12" i="34"/>
  <c r="J14" i="34"/>
  <c r="F14" i="34"/>
  <c r="H46" i="34"/>
  <c r="F46" i="34"/>
  <c r="AB8" i="37"/>
  <c r="AC9" i="37"/>
  <c r="W9" i="37"/>
  <c r="AC27" i="37"/>
  <c r="W27" i="37"/>
  <c r="S27" i="37"/>
  <c r="U28" i="37"/>
  <c r="AB34" i="37"/>
  <c r="U34" i="37"/>
  <c r="AC35" i="37"/>
  <c r="W35" i="37"/>
  <c r="S35" i="37"/>
  <c r="W8" i="35"/>
  <c r="AC8" i="35"/>
  <c r="AA8" i="35"/>
  <c r="AB11" i="35"/>
  <c r="U11" i="35"/>
  <c r="S12" i="35"/>
  <c r="AB14" i="35"/>
  <c r="U14" i="35"/>
  <c r="AB18" i="35"/>
  <c r="U18" i="35"/>
  <c r="AC22" i="35"/>
  <c r="W22" i="35"/>
  <c r="S22" i="35"/>
  <c r="AC35" i="35"/>
  <c r="W35" i="35"/>
  <c r="S35" i="35"/>
  <c r="AC18" i="36"/>
  <c r="W18" i="36"/>
  <c r="S18" i="36"/>
  <c r="AC23" i="36"/>
  <c r="W23" i="36"/>
  <c r="S23" i="36"/>
  <c r="AB29" i="36"/>
  <c r="U29" i="36"/>
  <c r="F3" i="35"/>
  <c r="G1" i="44"/>
  <c r="S11" i="39"/>
  <c r="W11" i="39"/>
  <c r="U14" i="39"/>
  <c r="U16" i="39"/>
  <c r="S31" i="39"/>
  <c r="W31" i="39"/>
  <c r="U37" i="39"/>
  <c r="U39" i="39"/>
  <c r="S41" i="39"/>
  <c r="W41" i="39"/>
  <c r="S44" i="39"/>
  <c r="W44" i="39"/>
  <c r="U45" i="39"/>
  <c r="U47" i="39"/>
  <c r="K1" i="43"/>
  <c r="S11" i="40"/>
  <c r="W11" i="40"/>
  <c r="U13" i="40"/>
  <c r="U15" i="40"/>
  <c r="S17" i="40"/>
  <c r="W17" i="40"/>
  <c r="S19" i="40"/>
  <c r="W19" i="40"/>
  <c r="S21" i="40"/>
  <c r="W21" i="40"/>
  <c r="S23" i="40"/>
  <c r="W23" i="40"/>
  <c r="S25" i="40"/>
  <c r="W25" i="40"/>
  <c r="S27" i="40"/>
  <c r="W27" i="40"/>
  <c r="U29" i="40"/>
  <c r="U30" i="40"/>
  <c r="U34" i="40"/>
  <c r="U36" i="40"/>
  <c r="S37" i="40"/>
  <c r="W37" i="40"/>
  <c r="U38" i="40"/>
  <c r="S39" i="40"/>
  <c r="W39" i="40"/>
  <c r="S41" i="40"/>
  <c r="W41" i="40"/>
  <c r="N2" i="46"/>
  <c r="M3" i="46"/>
  <c r="M4" i="46"/>
  <c r="M5" i="46"/>
  <c r="N6" i="46"/>
  <c r="N7" i="46"/>
  <c r="N8" i="46"/>
  <c r="N9" i="46"/>
  <c r="M10" i="46"/>
  <c r="M11" i="46"/>
  <c r="N12" i="46"/>
  <c r="H48" i="46"/>
  <c r="B51" i="46"/>
  <c r="H51" i="46"/>
  <c r="H52" i="46"/>
  <c r="H59" i="46"/>
  <c r="B62" i="46"/>
  <c r="H62" i="46"/>
  <c r="H63" i="46"/>
  <c r="H70" i="46"/>
  <c r="H72" i="46"/>
  <c r="H74" i="46"/>
  <c r="H81" i="46"/>
  <c r="H83" i="46"/>
  <c r="H85" i="46"/>
  <c r="C100" i="46"/>
  <c r="E100" i="46"/>
  <c r="G100" i="46"/>
  <c r="I100" i="46"/>
  <c r="K100" i="46"/>
  <c r="M100" i="46"/>
  <c r="H6" i="48"/>
  <c r="H8" i="48"/>
  <c r="H10" i="48"/>
  <c r="H12" i="48"/>
  <c r="H14" i="48"/>
  <c r="X19" i="59"/>
  <c r="X23" i="59"/>
  <c r="X27" i="59"/>
  <c r="N57" i="59"/>
  <c r="B56" i="59"/>
  <c r="Q57" i="59"/>
  <c r="T58" i="59"/>
  <c r="O58" i="59"/>
  <c r="D58" i="59"/>
  <c r="C57" i="59"/>
  <c r="T62" i="59"/>
  <c r="D62" i="59"/>
  <c r="C61" i="59"/>
  <c r="T66" i="59"/>
  <c r="D66" i="59"/>
  <c r="C65" i="59"/>
  <c r="T70" i="59"/>
  <c r="D70" i="59"/>
  <c r="C69" i="59"/>
  <c r="D74" i="59"/>
  <c r="C73" i="59"/>
  <c r="D78" i="59"/>
  <c r="C77" i="59"/>
  <c r="AB8" i="21"/>
  <c r="S14" i="21"/>
  <c r="S36" i="21"/>
  <c r="S40" i="21"/>
  <c r="S44" i="21"/>
  <c r="U45" i="21"/>
  <c r="J13" i="21"/>
  <c r="F13" i="21"/>
  <c r="E81" i="21"/>
  <c r="H19" i="21" s="1"/>
  <c r="U19" i="21" s="1"/>
  <c r="J45" i="21"/>
  <c r="F45" i="21"/>
  <c r="G1" i="15"/>
  <c r="D24" i="15"/>
  <c r="D23" i="15"/>
  <c r="I15" i="57"/>
  <c r="D1" i="57" s="1"/>
  <c r="E10" i="57" s="1"/>
  <c r="G1" i="71"/>
  <c r="D24" i="71"/>
  <c r="D23" i="71"/>
  <c r="S10" i="33"/>
  <c r="S17" i="33"/>
  <c r="S21" i="33"/>
  <c r="S26" i="33"/>
  <c r="U27" i="33"/>
  <c r="S30" i="33"/>
  <c r="U31" i="33"/>
  <c r="S34" i="33"/>
  <c r="S38" i="33"/>
  <c r="S42" i="33"/>
  <c r="S46" i="33"/>
  <c r="J27" i="33"/>
  <c r="F27" i="33"/>
  <c r="J29" i="33"/>
  <c r="F29" i="33"/>
  <c r="J31" i="33"/>
  <c r="F31" i="33"/>
  <c r="J45" i="33"/>
  <c r="F45" i="33"/>
  <c r="AB8" i="34"/>
  <c r="S13" i="34"/>
  <c r="H14" i="34"/>
  <c r="U23" i="34"/>
  <c r="W25" i="34"/>
  <c r="W28" i="34"/>
  <c r="W30" i="34"/>
  <c r="W32" i="34"/>
  <c r="S34" i="34"/>
  <c r="U35" i="34"/>
  <c r="W36" i="34"/>
  <c r="AB39" i="34"/>
  <c r="U39" i="34"/>
  <c r="AC40" i="34"/>
  <c r="W40" i="34"/>
  <c r="AB9" i="34"/>
  <c r="U9" i="34"/>
  <c r="AB28" i="34"/>
  <c r="U28" i="34"/>
  <c r="AB30" i="34"/>
  <c r="U30" i="34"/>
  <c r="AB32" i="34"/>
  <c r="U32" i="34"/>
  <c r="AC13" i="37"/>
  <c r="W13" i="37"/>
  <c r="AB30" i="37"/>
  <c r="U30" i="37"/>
  <c r="AC31" i="37"/>
  <c r="W31" i="37"/>
  <c r="AB38" i="37"/>
  <c r="U38" i="37"/>
  <c r="AA39" i="37"/>
  <c r="S39" i="37"/>
  <c r="AB40" i="37"/>
  <c r="U40" i="37"/>
  <c r="J26" i="37"/>
  <c r="F26" i="37"/>
  <c r="H26" i="37"/>
  <c r="J28" i="37"/>
  <c r="F28" i="37"/>
  <c r="AC12" i="35"/>
  <c r="AB13" i="35"/>
  <c r="U13" i="35"/>
  <c r="AB16" i="35"/>
  <c r="U16" i="35"/>
  <c r="AB20" i="35"/>
  <c r="U20" i="35"/>
  <c r="U23" i="35"/>
  <c r="AC27" i="35"/>
  <c r="W27" i="35"/>
  <c r="S27" i="35"/>
  <c r="U36" i="35"/>
  <c r="Q58" i="59"/>
  <c r="U9" i="21"/>
  <c r="S10" i="21"/>
  <c r="W10" i="21"/>
  <c r="U12" i="21"/>
  <c r="U14" i="21"/>
  <c r="U25" i="21"/>
  <c r="S26" i="21"/>
  <c r="W26" i="21"/>
  <c r="S28" i="21"/>
  <c r="W28" i="21"/>
  <c r="S30" i="21"/>
  <c r="W30" i="21"/>
  <c r="S32" i="21"/>
  <c r="W32" i="21"/>
  <c r="U34" i="21"/>
  <c r="S35" i="21"/>
  <c r="W35" i="21"/>
  <c r="U36" i="21"/>
  <c r="U38" i="21"/>
  <c r="S39" i="21"/>
  <c r="W39" i="21"/>
  <c r="U40" i="21"/>
  <c r="S41" i="21"/>
  <c r="W41" i="21"/>
  <c r="S43" i="21"/>
  <c r="W43" i="21"/>
  <c r="U44" i="21"/>
  <c r="U46" i="21"/>
  <c r="K144" i="21"/>
  <c r="S9" i="33"/>
  <c r="W9" i="33"/>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S10" i="34"/>
  <c r="W10" i="34"/>
  <c r="U11" i="34"/>
  <c r="U13" i="34"/>
  <c r="S15" i="34"/>
  <c r="W15" i="34"/>
  <c r="S17" i="34"/>
  <c r="W17" i="34"/>
  <c r="S19" i="34"/>
  <c r="W19" i="34"/>
  <c r="S21" i="34"/>
  <c r="W21" i="34"/>
  <c r="S23" i="34"/>
  <c r="W23" i="34"/>
  <c r="U25" i="34"/>
  <c r="S27" i="34"/>
  <c r="W27" i="34"/>
  <c r="S29" i="34"/>
  <c r="W29" i="34"/>
  <c r="S31" i="34"/>
  <c r="W31" i="34"/>
  <c r="S33" i="34"/>
  <c r="W33" i="34"/>
  <c r="U34" i="34"/>
  <c r="S35" i="34"/>
  <c r="W35" i="34"/>
  <c r="U36" i="34"/>
  <c r="AC37" i="34"/>
  <c r="W37" i="34"/>
  <c r="S37" i="34"/>
  <c r="S38" i="34"/>
  <c r="S42" i="34"/>
  <c r="S11" i="37"/>
  <c r="U12" i="37"/>
  <c r="S25" i="37"/>
  <c r="S29" i="37"/>
  <c r="S33" i="37"/>
  <c r="S37" i="37"/>
  <c r="AB9" i="37"/>
  <c r="U9" i="37"/>
  <c r="J12" i="37"/>
  <c r="F12" i="37"/>
  <c r="J14" i="37"/>
  <c r="F14" i="37"/>
  <c r="AB39" i="37"/>
  <c r="U39" i="37"/>
  <c r="S10" i="35"/>
  <c r="C79" i="35"/>
  <c r="J26" i="35"/>
  <c r="F26" i="35"/>
  <c r="H26" i="35"/>
  <c r="AB30" i="35"/>
  <c r="U30" i="35"/>
  <c r="AC31" i="35"/>
  <c r="W31" i="35"/>
  <c r="J9" i="35"/>
  <c r="F9" i="35"/>
  <c r="AB9" i="36"/>
  <c r="U9" i="36"/>
  <c r="AC14" i="36"/>
  <c r="W14" i="36"/>
  <c r="S14" i="36"/>
  <c r="AB22" i="36"/>
  <c r="U22" i="36"/>
  <c r="J33" i="36"/>
  <c r="F33" i="36"/>
  <c r="H33" i="36"/>
  <c r="U38" i="34"/>
  <c r="S39" i="34"/>
  <c r="W39" i="34"/>
  <c r="U40" i="34"/>
  <c r="S41" i="34"/>
  <c r="W41" i="34"/>
  <c r="U42" i="34"/>
  <c r="S43" i="34"/>
  <c r="W43" i="34"/>
  <c r="U44" i="34"/>
  <c r="S45" i="34"/>
  <c r="W45" i="34"/>
  <c r="S47" i="34"/>
  <c r="W47" i="34"/>
  <c r="S10" i="37"/>
  <c r="W10" i="37"/>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10" i="35"/>
  <c r="S11" i="35"/>
  <c r="W11" i="35"/>
  <c r="U12" i="35"/>
  <c r="S24" i="35"/>
  <c r="U25" i="35"/>
  <c r="S29" i="35"/>
  <c r="S33" i="35"/>
  <c r="U34" i="35"/>
  <c r="J23" i="35"/>
  <c r="F23" i="35"/>
  <c r="J25" i="35"/>
  <c r="F25" i="35"/>
  <c r="J34" i="35"/>
  <c r="F34" i="35"/>
  <c r="J36" i="35"/>
  <c r="F36" i="35"/>
  <c r="AA8" i="36"/>
  <c r="AB10" i="36"/>
  <c r="U10" i="36"/>
  <c r="AC11" i="36"/>
  <c r="W11" i="36"/>
  <c r="AB26" i="36"/>
  <c r="U26" i="36"/>
  <c r="AC27" i="36"/>
  <c r="W27" i="36"/>
  <c r="S27" i="36"/>
  <c r="AC30" i="36"/>
  <c r="W30" i="36"/>
  <c r="S30" i="36"/>
  <c r="AC34" i="36"/>
  <c r="W34" i="36"/>
  <c r="S34" i="36"/>
  <c r="S13" i="35"/>
  <c r="W13" i="35"/>
  <c r="S14" i="35"/>
  <c r="W14" i="35"/>
  <c r="S16" i="35"/>
  <c r="W16" i="35"/>
  <c r="S18" i="35"/>
  <c r="W18" i="35"/>
  <c r="S20" i="35"/>
  <c r="W20" i="35"/>
  <c r="U22" i="35"/>
  <c r="U24" i="35"/>
  <c r="U27" i="35"/>
  <c r="S28" i="35"/>
  <c r="W28" i="35"/>
  <c r="U29" i="35"/>
  <c r="S30" i="35"/>
  <c r="W30" i="35"/>
  <c r="U31" i="35"/>
  <c r="S32" i="35"/>
  <c r="W32" i="35"/>
  <c r="U33" i="35"/>
  <c r="U35" i="35"/>
  <c r="S9" i="36"/>
  <c r="S13" i="36"/>
  <c r="S16" i="36"/>
  <c r="S20" i="36"/>
  <c r="S25" i="36"/>
  <c r="S10" i="36"/>
  <c r="W10" i="36"/>
  <c r="U11" i="36"/>
  <c r="S12" i="36"/>
  <c r="W12" i="36"/>
  <c r="U13" i="36"/>
  <c r="U14" i="36"/>
  <c r="U16" i="36"/>
  <c r="U18" i="36"/>
  <c r="U20" i="36"/>
  <c r="S22" i="36"/>
  <c r="W22" i="36"/>
  <c r="U23" i="36"/>
  <c r="S24" i="36"/>
  <c r="W24" i="36"/>
  <c r="U25" i="36"/>
  <c r="S26" i="36"/>
  <c r="W26" i="36"/>
  <c r="S28" i="36"/>
  <c r="S32" i="36"/>
  <c r="C25" i="31"/>
  <c r="B22" i="31"/>
  <c r="U28" i="36"/>
  <c r="S29" i="36"/>
  <c r="W29" i="36"/>
  <c r="U30" i="36"/>
  <c r="S31" i="36"/>
  <c r="W31" i="36"/>
  <c r="U32" i="36"/>
  <c r="U34" i="36"/>
  <c r="F81" i="21"/>
  <c r="G81" i="21" s="1"/>
  <c r="H21" i="21"/>
  <c r="AB21" i="21" s="1"/>
  <c r="AA21" i="21"/>
  <c r="S21" i="21"/>
  <c r="J21" i="21"/>
  <c r="E83" i="21"/>
  <c r="F83" i="21" s="1"/>
  <c r="G83" i="21" s="1"/>
  <c r="H29" i="39"/>
  <c r="U29" i="39" s="1"/>
  <c r="H19" i="39"/>
  <c r="U19" i="39" s="1"/>
  <c r="AA23" i="21"/>
  <c r="S23" i="21"/>
  <c r="U23" i="21"/>
  <c r="W23" i="21"/>
  <c r="F79" i="21"/>
  <c r="G79" i="21" s="1"/>
  <c r="H17" i="21"/>
  <c r="U17" i="21" s="1"/>
  <c r="J23" i="39"/>
  <c r="W23" i="39" s="1"/>
  <c r="F97" i="39"/>
  <c r="G97" i="39" s="1"/>
  <c r="AA23" i="39"/>
  <c r="S23" i="39"/>
  <c r="AB23" i="39"/>
  <c r="J27" i="39"/>
  <c r="H27" i="39"/>
  <c r="F101" i="39"/>
  <c r="G101" i="39" s="1"/>
  <c r="F27" i="39"/>
  <c r="U25" i="39"/>
  <c r="F25" i="39"/>
  <c r="J25" i="39"/>
  <c r="F17" i="21"/>
  <c r="J17" i="21"/>
  <c r="AC29" i="39"/>
  <c r="AA19" i="39"/>
  <c r="S19" i="39"/>
  <c r="AC19" i="39"/>
  <c r="J17" i="39"/>
  <c r="F17" i="39"/>
  <c r="F91" i="39"/>
  <c r="G91" i="39" s="1"/>
  <c r="H17" i="39"/>
  <c r="F15" i="21"/>
  <c r="AA15" i="21" s="1"/>
  <c r="AC33" i="39"/>
  <c r="W33" i="39"/>
  <c r="U33" i="39"/>
  <c r="F33" i="39"/>
  <c r="AA36" i="39"/>
  <c r="W34" i="39"/>
  <c r="S34" i="39"/>
  <c r="U36" i="39"/>
  <c r="U34" i="39"/>
  <c r="W36" i="39"/>
  <c r="J15" i="21"/>
  <c r="H15" i="21"/>
  <c r="AB19" i="21"/>
  <c r="J19" i="21"/>
  <c r="U42" i="39"/>
  <c r="S42" i="39"/>
  <c r="W42" i="39"/>
  <c r="AC42" i="21"/>
  <c r="AP7" i="1"/>
  <c r="G7" i="1"/>
  <c r="AP8" i="1"/>
  <c r="G8" i="1"/>
  <c r="AP6" i="1"/>
  <c r="G6" i="1"/>
  <c r="C28" i="71"/>
  <c r="C28" i="15"/>
  <c r="C30" i="44"/>
  <c r="C31" i="43"/>
  <c r="C27" i="43"/>
  <c r="C25" i="12"/>
  <c r="C7" i="36"/>
  <c r="C46" i="36" s="1"/>
  <c r="C7" i="35"/>
  <c r="C48" i="35" s="1"/>
  <c r="C7" i="37"/>
  <c r="C52" i="37" s="1"/>
  <c r="C7" i="34"/>
  <c r="C59" i="34" s="1"/>
  <c r="C7" i="21"/>
  <c r="C58" i="21" s="1"/>
  <c r="C7" i="33"/>
  <c r="C58" i="33" s="1"/>
  <c r="G9" i="1"/>
  <c r="G10" i="1"/>
  <c r="G11" i="1"/>
  <c r="G12" i="1"/>
  <c r="G13" i="1"/>
  <c r="N67" i="9"/>
  <c r="C9" i="39"/>
  <c r="C70" i="39" s="1"/>
  <c r="C9" i="40"/>
  <c r="C65" i="40" s="1"/>
  <c r="G19" i="46"/>
  <c r="F30" i="6"/>
  <c r="E29" i="6"/>
  <c r="I4" i="6"/>
  <c r="E9" i="12"/>
  <c r="K8" i="1"/>
  <c r="G27" i="6"/>
  <c r="G31" i="6" s="1"/>
  <c r="BA13" i="3"/>
  <c r="D9" i="12"/>
  <c r="K7" i="1"/>
  <c r="AZ13" i="3"/>
  <c r="AZ5" i="3" s="1"/>
  <c r="BA5" i="3"/>
  <c r="E27" i="6" s="1"/>
  <c r="H5" i="3"/>
  <c r="S2" i="46"/>
  <c r="E3" i="6"/>
  <c r="C11" i="21"/>
  <c r="C13" i="39"/>
  <c r="E15" i="6"/>
  <c r="E14" i="6"/>
  <c r="E13" i="6"/>
  <c r="E12" i="6"/>
  <c r="E11" i="6"/>
  <c r="E10" i="6"/>
  <c r="E8" i="6"/>
  <c r="E5" i="6"/>
  <c r="K26" i="6"/>
  <c r="M26" i="6" s="1"/>
  <c r="I26" i="6" s="1"/>
  <c r="S26" i="6" s="1"/>
  <c r="K25" i="6"/>
  <c r="M25" i="6" s="1"/>
  <c r="I25" i="6" s="1"/>
  <c r="S25" i="6" s="1"/>
  <c r="K24" i="6"/>
  <c r="M24" i="6" s="1"/>
  <c r="I24" i="6" s="1"/>
  <c r="S24" i="6" s="1"/>
  <c r="K23" i="6"/>
  <c r="M23" i="6" s="1"/>
  <c r="I23" i="6" s="1"/>
  <c r="S23" i="6" s="1"/>
  <c r="K22" i="6"/>
  <c r="M22" i="6" s="1"/>
  <c r="I22" i="6" s="1"/>
  <c r="S22" i="6" s="1"/>
  <c r="K21" i="6"/>
  <c r="K20" i="6"/>
  <c r="D3" i="21"/>
  <c r="C9" i="12"/>
  <c r="E32" i="6"/>
  <c r="K19" i="6"/>
  <c r="L19" i="6"/>
  <c r="L27" i="6" s="1"/>
  <c r="K6" i="1"/>
  <c r="O11" i="1"/>
  <c r="P11" i="1" s="1"/>
  <c r="O12" i="1"/>
  <c r="P12" i="1" s="1"/>
  <c r="O13" i="1"/>
  <c r="P13" i="1" s="1"/>
  <c r="O14" i="1"/>
  <c r="P14" i="1" s="1"/>
  <c r="P9" i="1"/>
  <c r="P10" i="1"/>
  <c r="N109" i="46"/>
  <c r="N107" i="46"/>
  <c r="N106" i="46"/>
  <c r="N105" i="46"/>
  <c r="N104" i="46"/>
  <c r="N103" i="46"/>
  <c r="N102" i="46"/>
  <c r="S3" i="46"/>
  <c r="S5" i="46"/>
  <c r="S6" i="46"/>
  <c r="Y11" i="46"/>
  <c r="Y13" i="46" s="1"/>
  <c r="AA11" i="46"/>
  <c r="AA13" i="46" s="1"/>
  <c r="AC11" i="46"/>
  <c r="AC13" i="46" s="1"/>
  <c r="AE11" i="46"/>
  <c r="AE13" i="46" s="1"/>
  <c r="AG11" i="46"/>
  <c r="AG13" i="46" s="1"/>
  <c r="AI11" i="46"/>
  <c r="AI13" i="46" s="1"/>
  <c r="E22" i="46"/>
  <c r="G22" i="46"/>
  <c r="J22" i="46"/>
  <c r="C23" i="46"/>
  <c r="C21" i="46" s="1"/>
  <c r="D101" i="46"/>
  <c r="F101" i="46"/>
  <c r="H101" i="46"/>
  <c r="J101" i="46"/>
  <c r="L101" i="46"/>
  <c r="N104" i="45"/>
  <c r="B113" i="46"/>
  <c r="S4" i="46"/>
  <c r="S7" i="46"/>
  <c r="Z7" i="46"/>
  <c r="Z11" i="46"/>
  <c r="Z13" i="46" s="1"/>
  <c r="AB11" i="46"/>
  <c r="AB13" i="46" s="1"/>
  <c r="AD11" i="46"/>
  <c r="AD13" i="46" s="1"/>
  <c r="AF11" i="46"/>
  <c r="AF13" i="46" s="1"/>
  <c r="AH11" i="46"/>
  <c r="AH13" i="46" s="1"/>
  <c r="AJ11" i="46"/>
  <c r="AJ13" i="46" s="1"/>
  <c r="F22" i="46"/>
  <c r="H22" i="46"/>
  <c r="C101" i="46"/>
  <c r="E101" i="46"/>
  <c r="G101" i="46"/>
  <c r="I101" i="46"/>
  <c r="K101" i="46"/>
  <c r="M101" i="46"/>
  <c r="F13" i="39"/>
  <c r="G83" i="39"/>
  <c r="H83" i="39" s="1"/>
  <c r="I83" i="39" s="1"/>
  <c r="H13" i="39"/>
  <c r="E20" i="46"/>
  <c r="C4" i="65"/>
  <c r="B39" i="1" s="1"/>
  <c r="J1" i="65"/>
  <c r="E4" i="52"/>
  <c r="E6" i="52"/>
  <c r="E8" i="52"/>
  <c r="E10" i="52"/>
  <c r="E11" i="52"/>
  <c r="E13" i="52"/>
  <c r="E14" i="52"/>
  <c r="B4" i="52"/>
  <c r="B6" i="52"/>
  <c r="B7" i="52"/>
  <c r="B8" i="52"/>
  <c r="B9" i="52"/>
  <c r="B10" i="52"/>
  <c r="B11" i="52"/>
  <c r="B13" i="52"/>
  <c r="B14" i="52"/>
  <c r="E21" i="52"/>
  <c r="E22" i="52"/>
  <c r="E7" i="52"/>
  <c r="E9" i="52"/>
  <c r="C4" i="4" s="1"/>
  <c r="B20" i="55" s="1"/>
  <c r="B70" i="63" s="1"/>
  <c r="F43" i="15"/>
  <c r="F43" i="71"/>
  <c r="E2" i="65"/>
  <c r="F7" i="15"/>
  <c r="M29" i="71"/>
  <c r="M29" i="15"/>
  <c r="E3" i="65"/>
  <c r="D18" i="9" l="1"/>
  <c r="M44" i="9" s="1"/>
  <c r="AC36" i="35"/>
  <c r="W36" i="35"/>
  <c r="AC34" i="35"/>
  <c r="W34" i="35"/>
  <c r="AC25" i="35"/>
  <c r="W25" i="35"/>
  <c r="AC23" i="35"/>
  <c r="W23" i="35"/>
  <c r="AA33" i="36"/>
  <c r="S33" i="36"/>
  <c r="AC9" i="35"/>
  <c r="W9" i="35"/>
  <c r="AA26" i="35"/>
  <c r="S26" i="35"/>
  <c r="AA14" i="37"/>
  <c r="S14" i="37"/>
  <c r="AA12" i="37"/>
  <c r="S12" i="37"/>
  <c r="AC28" i="37"/>
  <c r="W28" i="37"/>
  <c r="AA26" i="37"/>
  <c r="S26" i="37"/>
  <c r="AB14" i="34"/>
  <c r="U14" i="34"/>
  <c r="AC45" i="33"/>
  <c r="W45" i="33"/>
  <c r="AC31" i="33"/>
  <c r="W31" i="33"/>
  <c r="AC29" i="33"/>
  <c r="W29" i="33"/>
  <c r="AC27" i="33"/>
  <c r="W27" i="33"/>
  <c r="AC45" i="21"/>
  <c r="W45" i="21"/>
  <c r="F19" i="21"/>
  <c r="AC13" i="21"/>
  <c r="W13" i="21"/>
  <c r="C64" i="59"/>
  <c r="D64" i="59" s="1"/>
  <c r="D65" i="59"/>
  <c r="C56" i="59"/>
  <c r="O57" i="59"/>
  <c r="D57" i="59"/>
  <c r="AA46" i="34"/>
  <c r="S46" i="34"/>
  <c r="AA14" i="34"/>
  <c r="S14" i="34"/>
  <c r="AA12" i="34"/>
  <c r="S12" i="34"/>
  <c r="AB14" i="33"/>
  <c r="U14" i="33"/>
  <c r="AB12" i="33"/>
  <c r="U12" i="33"/>
  <c r="AB37" i="21"/>
  <c r="U37" i="21"/>
  <c r="AA37" i="21"/>
  <c r="S37" i="21"/>
  <c r="S31" i="21"/>
  <c r="AA31" i="21"/>
  <c r="S29" i="21"/>
  <c r="AA29" i="21"/>
  <c r="S27" i="21"/>
  <c r="AA27" i="21"/>
  <c r="P57" i="59"/>
  <c r="E56" i="59"/>
  <c r="D49" i="59"/>
  <c r="C50" i="59"/>
  <c r="D13" i="59"/>
  <c r="C12" i="59"/>
  <c r="C7" i="46"/>
  <c r="AA16" i="40"/>
  <c r="S16" i="40"/>
  <c r="AA14" i="40"/>
  <c r="S14" i="40"/>
  <c r="AB33" i="40"/>
  <c r="U33" i="40"/>
  <c r="AA46" i="39"/>
  <c r="S46" i="39"/>
  <c r="AA38" i="39"/>
  <c r="S38" i="39"/>
  <c r="AA21" i="39"/>
  <c r="S21" i="39"/>
  <c r="H21" i="39"/>
  <c r="F95" i="39"/>
  <c r="G95" i="39" s="1"/>
  <c r="AC43" i="39"/>
  <c r="W43" i="39"/>
  <c r="C54" i="59"/>
  <c r="D53" i="59"/>
  <c r="C46" i="59"/>
  <c r="D45" i="59"/>
  <c r="D41" i="59"/>
  <c r="C42" i="59"/>
  <c r="C29" i="59"/>
  <c r="D28" i="59"/>
  <c r="C21" i="59"/>
  <c r="D20" i="59"/>
  <c r="AA35" i="40"/>
  <c r="S35" i="40"/>
  <c r="AA33" i="40"/>
  <c r="S33" i="40"/>
  <c r="F29" i="39"/>
  <c r="F103" i="39"/>
  <c r="G103" i="39" s="1"/>
  <c r="AA15" i="39"/>
  <c r="S15" i="39"/>
  <c r="S23" i="68"/>
  <c r="I43" i="68"/>
  <c r="K23" i="68"/>
  <c r="A9" i="51"/>
  <c r="B9" i="63" s="1"/>
  <c r="A9" i="64"/>
  <c r="T34" i="59"/>
  <c r="D34" i="59"/>
  <c r="E5" i="59"/>
  <c r="U6" i="59"/>
  <c r="K25" i="68"/>
  <c r="S25" i="68"/>
  <c r="AA36" i="35"/>
  <c r="S36" i="35"/>
  <c r="AA34" i="35"/>
  <c r="S34" i="35"/>
  <c r="AA25" i="35"/>
  <c r="S25" i="35"/>
  <c r="AA23" i="35"/>
  <c r="S23" i="35"/>
  <c r="AB33" i="36"/>
  <c r="U33" i="36"/>
  <c r="AC33" i="36"/>
  <c r="W33" i="36"/>
  <c r="AA9" i="35"/>
  <c r="S9" i="35"/>
  <c r="AB26" i="35"/>
  <c r="U26" i="35"/>
  <c r="AC26" i="35"/>
  <c r="W26" i="35"/>
  <c r="AC14" i="37"/>
  <c r="W14" i="37"/>
  <c r="AC12" i="37"/>
  <c r="W12" i="37"/>
  <c r="AA28" i="37"/>
  <c r="S28" i="37"/>
  <c r="AB26" i="37"/>
  <c r="U26" i="37"/>
  <c r="AC26" i="37"/>
  <c r="W26" i="37"/>
  <c r="AA45" i="33"/>
  <c r="S45" i="33"/>
  <c r="AA31" i="33"/>
  <c r="S31" i="33"/>
  <c r="AA29" i="33"/>
  <c r="S29" i="33"/>
  <c r="AA27" i="33"/>
  <c r="S27" i="33"/>
  <c r="AA45" i="21"/>
  <c r="S45" i="21"/>
  <c r="AA13" i="21"/>
  <c r="S13" i="21"/>
  <c r="C76" i="59"/>
  <c r="D76" i="59" s="1"/>
  <c r="D77" i="59"/>
  <c r="C72" i="59"/>
  <c r="D72" i="59" s="1"/>
  <c r="D73" i="59"/>
  <c r="C68" i="59"/>
  <c r="D68" i="59" s="1"/>
  <c r="D69" i="59"/>
  <c r="C60" i="59"/>
  <c r="D60" i="59" s="1"/>
  <c r="D61" i="59"/>
  <c r="N55" i="59"/>
  <c r="N56" i="59"/>
  <c r="AB46" i="34"/>
  <c r="U46" i="34"/>
  <c r="AC14" i="34"/>
  <c r="W14" i="34"/>
  <c r="AC12" i="34"/>
  <c r="W12" i="34"/>
  <c r="W14" i="33"/>
  <c r="AC14" i="33"/>
  <c r="AC12" i="33"/>
  <c r="W12" i="33"/>
  <c r="AC37" i="21"/>
  <c r="W37" i="21"/>
  <c r="AB31" i="21"/>
  <c r="U31" i="21"/>
  <c r="AB29" i="21"/>
  <c r="U29" i="21"/>
  <c r="AB27" i="21"/>
  <c r="U27" i="21"/>
  <c r="AA42" i="21"/>
  <c r="S42" i="21"/>
  <c r="V6" i="59"/>
  <c r="F5" i="59"/>
  <c r="G17" i="46"/>
  <c r="C16" i="46" s="1"/>
  <c r="D5" i="46" s="1"/>
  <c r="AC16" i="40"/>
  <c r="W16" i="40"/>
  <c r="AC14" i="40"/>
  <c r="W14" i="40"/>
  <c r="AC46" i="39"/>
  <c r="W46" i="39"/>
  <c r="AC38" i="39"/>
  <c r="W38" i="39"/>
  <c r="AC21" i="39"/>
  <c r="W21" i="39"/>
  <c r="U42" i="21"/>
  <c r="AB42" i="21"/>
  <c r="C25" i="59"/>
  <c r="D24" i="59"/>
  <c r="D17" i="59"/>
  <c r="C16" i="59"/>
  <c r="D16" i="59" s="1"/>
  <c r="AC35" i="40"/>
  <c r="W35" i="40"/>
  <c r="AC33" i="40"/>
  <c r="W33" i="40"/>
  <c r="AB43" i="39"/>
  <c r="U43" i="39"/>
  <c r="AC15" i="39"/>
  <c r="W15" i="39"/>
  <c r="S24" i="68"/>
  <c r="K24" i="68"/>
  <c r="A25" i="64"/>
  <c r="A25" i="51"/>
  <c r="B18" i="63" s="1"/>
  <c r="B38" i="63"/>
  <c r="A3" i="55"/>
  <c r="B56" i="63" s="1"/>
  <c r="S6" i="59"/>
  <c r="B5" i="59"/>
  <c r="G13" i="3"/>
  <c r="G5" i="3" s="1"/>
  <c r="B3" i="3" s="1"/>
  <c r="E94" i="68"/>
  <c r="D5" i="68"/>
  <c r="T82" i="68"/>
  <c r="AB19" i="39"/>
  <c r="U21" i="21"/>
  <c r="AC21" i="21"/>
  <c r="W21" i="21"/>
  <c r="AB29" i="39"/>
  <c r="AB17" i="21"/>
  <c r="AC23" i="39"/>
  <c r="AA25" i="39"/>
  <c r="S25" i="39"/>
  <c r="AC25" i="39"/>
  <c r="W25" i="39"/>
  <c r="AC27" i="39"/>
  <c r="W27" i="39"/>
  <c r="AB27" i="39"/>
  <c r="U27" i="39"/>
  <c r="AA27" i="39"/>
  <c r="S27" i="39"/>
  <c r="S17" i="21"/>
  <c r="AA17" i="21"/>
  <c r="AC17" i="21"/>
  <c r="W17" i="21"/>
  <c r="W17" i="39"/>
  <c r="AC17" i="39"/>
  <c r="AA17" i="39"/>
  <c r="S17" i="39"/>
  <c r="AB17" i="39"/>
  <c r="U17" i="39"/>
  <c r="S15" i="21"/>
  <c r="AA33" i="39"/>
  <c r="S33" i="39"/>
  <c r="W15" i="21"/>
  <c r="AC15" i="21"/>
  <c r="AB15" i="21"/>
  <c r="U15" i="21"/>
  <c r="AC19" i="21"/>
  <c r="W19" i="21"/>
  <c r="B40" i="1"/>
  <c r="F26" i="44" s="1"/>
  <c r="C26" i="44" s="1"/>
  <c r="E4" i="4"/>
  <c r="B21" i="55" s="1"/>
  <c r="B72" i="63" s="1"/>
  <c r="C67" i="40"/>
  <c r="D65" i="40"/>
  <c r="D58" i="33"/>
  <c r="E58" i="33" s="1"/>
  <c r="F58" i="33" s="1"/>
  <c r="G58" i="33" s="1"/>
  <c r="H58" i="33" s="1"/>
  <c r="I58" i="33" s="1"/>
  <c r="J58" i="33" s="1"/>
  <c r="K58" i="33" s="1"/>
  <c r="L58" i="33" s="1"/>
  <c r="M58" i="33" s="1"/>
  <c r="N58" i="33" s="1"/>
  <c r="O58" i="33" s="1"/>
  <c r="F7" i="33"/>
  <c r="D59" i="34"/>
  <c r="E59" i="34" s="1"/>
  <c r="F59" i="34" s="1"/>
  <c r="G59" i="34" s="1"/>
  <c r="H59" i="34" s="1"/>
  <c r="I59" i="34" s="1"/>
  <c r="J59" i="34" s="1"/>
  <c r="K59" i="34" s="1"/>
  <c r="L59" i="34" s="1"/>
  <c r="M59" i="34" s="1"/>
  <c r="N59" i="34" s="1"/>
  <c r="O59" i="34" s="1"/>
  <c r="J7" i="34"/>
  <c r="D48" i="35"/>
  <c r="E48" i="35" s="1"/>
  <c r="F48" i="35" s="1"/>
  <c r="G48" i="35" s="1"/>
  <c r="H48" i="35" s="1"/>
  <c r="I48" i="35" s="1"/>
  <c r="J48" i="35" s="1"/>
  <c r="K48" i="35" s="1"/>
  <c r="L48" i="35" s="1"/>
  <c r="M48" i="35" s="1"/>
  <c r="N48" i="35" s="1"/>
  <c r="O48" i="35" s="1"/>
  <c r="J7" i="35"/>
  <c r="P25" i="46"/>
  <c r="B73" i="39" s="1"/>
  <c r="P22" i="46"/>
  <c r="P24" i="46"/>
  <c r="B68" i="40" s="1"/>
  <c r="P23" i="46"/>
  <c r="P21" i="46"/>
  <c r="O19" i="46"/>
  <c r="C19" i="46"/>
  <c r="C72" i="39"/>
  <c r="D70" i="39"/>
  <c r="D58" i="21"/>
  <c r="E58" i="21" s="1"/>
  <c r="F58" i="21" s="1"/>
  <c r="G58" i="21" s="1"/>
  <c r="H58" i="21" s="1"/>
  <c r="I58" i="21" s="1"/>
  <c r="J58" i="21" s="1"/>
  <c r="K58" i="21" s="1"/>
  <c r="L58" i="21" s="1"/>
  <c r="M58" i="21" s="1"/>
  <c r="N58" i="21" s="1"/>
  <c r="O58" i="21" s="1"/>
  <c r="J7" i="21"/>
  <c r="D52" i="37"/>
  <c r="E52" i="37" s="1"/>
  <c r="F52" i="37" s="1"/>
  <c r="G52" i="37" s="1"/>
  <c r="H52" i="37" s="1"/>
  <c r="I52" i="37" s="1"/>
  <c r="J52" i="37" s="1"/>
  <c r="K52" i="37" s="1"/>
  <c r="L52" i="37" s="1"/>
  <c r="M52" i="37" s="1"/>
  <c r="N52" i="37" s="1"/>
  <c r="O52" i="37" s="1"/>
  <c r="J7" i="37"/>
  <c r="F7" i="37"/>
  <c r="D46" i="36"/>
  <c r="E46" i="36" s="1"/>
  <c r="F46" i="36" s="1"/>
  <c r="G46" i="36" s="1"/>
  <c r="H46" i="36" s="1"/>
  <c r="I46" i="36" s="1"/>
  <c r="J46" i="36" s="1"/>
  <c r="K46" i="36" s="1"/>
  <c r="L46" i="36" s="1"/>
  <c r="M46" i="36" s="1"/>
  <c r="N46" i="36" s="1"/>
  <c r="O46" i="36" s="1"/>
  <c r="J7" i="36"/>
  <c r="F7" i="36"/>
  <c r="K15" i="1"/>
  <c r="K16" i="1" s="1"/>
  <c r="E30" i="6"/>
  <c r="E31" i="6" s="1"/>
  <c r="F70" i="71"/>
  <c r="M8" i="1"/>
  <c r="F70" i="15"/>
  <c r="M7" i="15"/>
  <c r="F49" i="15"/>
  <c r="M7" i="1"/>
  <c r="M109" i="46"/>
  <c r="M107" i="46"/>
  <c r="M106" i="46"/>
  <c r="M105" i="46"/>
  <c r="M104" i="46"/>
  <c r="M103" i="46"/>
  <c r="M102" i="46"/>
  <c r="I109" i="46"/>
  <c r="I107" i="46"/>
  <c r="I106" i="46"/>
  <c r="I105" i="46"/>
  <c r="I104" i="46"/>
  <c r="I103" i="46"/>
  <c r="I102" i="46"/>
  <c r="E109" i="46"/>
  <c r="E107" i="46"/>
  <c r="E106" i="46"/>
  <c r="E105" i="46"/>
  <c r="E104" i="46"/>
  <c r="E103" i="46"/>
  <c r="E102" i="46"/>
  <c r="K109" i="46"/>
  <c r="K107" i="46"/>
  <c r="K106" i="46"/>
  <c r="K105" i="46"/>
  <c r="K104" i="46"/>
  <c r="K103" i="46"/>
  <c r="K102" i="46"/>
  <c r="G109" i="46"/>
  <c r="G107" i="46"/>
  <c r="G106" i="46"/>
  <c r="G105" i="46"/>
  <c r="G104" i="46"/>
  <c r="G103" i="46"/>
  <c r="G102" i="46"/>
  <c r="C109" i="46"/>
  <c r="C107" i="46"/>
  <c r="C106" i="46"/>
  <c r="C105" i="46"/>
  <c r="C104" i="46"/>
  <c r="C103" i="46"/>
  <c r="C102" i="46"/>
  <c r="I118" i="46"/>
  <c r="J118" i="46" s="1"/>
  <c r="K118" i="46" s="1"/>
  <c r="L118" i="46" s="1"/>
  <c r="M118" i="46" s="1"/>
  <c r="G118" i="46"/>
  <c r="H118" i="46" s="1"/>
  <c r="I117" i="46"/>
  <c r="J117" i="46" s="1"/>
  <c r="K117" i="46" s="1"/>
  <c r="L117" i="46" s="1"/>
  <c r="M117" i="46" s="1"/>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I116" i="46"/>
  <c r="J116" i="46" s="1"/>
  <c r="K116" i="46" s="1"/>
  <c r="L116" i="46" s="1"/>
  <c r="M116" i="46" s="1"/>
  <c r="I115" i="46"/>
  <c r="J115" i="46" s="1"/>
  <c r="K115" i="46" s="1"/>
  <c r="L115" i="46" s="1"/>
  <c r="M115" i="46" s="1"/>
  <c r="J109" i="46"/>
  <c r="J107" i="46"/>
  <c r="J106" i="46"/>
  <c r="J105" i="46"/>
  <c r="J104" i="46"/>
  <c r="J103" i="46"/>
  <c r="J102" i="46"/>
  <c r="F109" i="46"/>
  <c r="F107" i="46"/>
  <c r="F106" i="46"/>
  <c r="F105" i="46"/>
  <c r="F104" i="46"/>
  <c r="F103" i="46"/>
  <c r="F102" i="46"/>
  <c r="H16" i="1"/>
  <c r="AP16" i="1"/>
  <c r="F22" i="11" s="1"/>
  <c r="Q16" i="1"/>
  <c r="G16" i="1"/>
  <c r="M6" i="1"/>
  <c r="D12" i="11"/>
  <c r="C12" i="11" s="1"/>
  <c r="D21" i="12"/>
  <c r="C21" i="12" s="1"/>
  <c r="E59" i="40"/>
  <c r="E64" i="39"/>
  <c r="E61" i="40"/>
  <c r="E66" i="39"/>
  <c r="L109" i="46"/>
  <c r="L107" i="46"/>
  <c r="L106" i="46"/>
  <c r="L105" i="46"/>
  <c r="L104" i="46"/>
  <c r="L103" i="46"/>
  <c r="L102" i="46"/>
  <c r="H109" i="46"/>
  <c r="H107" i="46"/>
  <c r="H106" i="46"/>
  <c r="H105" i="46"/>
  <c r="H104" i="46"/>
  <c r="H103" i="46"/>
  <c r="H102" i="46"/>
  <c r="D109" i="46"/>
  <c r="D107" i="46"/>
  <c r="D106" i="46"/>
  <c r="D105" i="46"/>
  <c r="D104" i="46"/>
  <c r="D103" i="46"/>
  <c r="D102" i="46"/>
  <c r="D22" i="46"/>
  <c r="S6" i="1"/>
  <c r="K27" i="6"/>
  <c r="M19" i="6"/>
  <c r="S7" i="1"/>
  <c r="M20" i="6"/>
  <c r="I20" i="6" s="1"/>
  <c r="S20" i="6" s="1"/>
  <c r="M21" i="6"/>
  <c r="I21" i="6" s="1"/>
  <c r="S21" i="6" s="1"/>
  <c r="S8" i="1"/>
  <c r="E53" i="40"/>
  <c r="E58" i="39"/>
  <c r="F27" i="6"/>
  <c r="F31" i="6" s="1"/>
  <c r="H34" i="6" s="1"/>
  <c r="E16" i="6"/>
  <c r="E58" i="40"/>
  <c r="E63" i="39"/>
  <c r="E60" i="40"/>
  <c r="E65" i="39"/>
  <c r="E62" i="40"/>
  <c r="E67" i="39"/>
  <c r="J11" i="21"/>
  <c r="F11" i="21"/>
  <c r="H11" i="21"/>
  <c r="D10" i="11"/>
  <c r="C33" i="21"/>
  <c r="D16" i="12"/>
  <c r="D45" i="9"/>
  <c r="L38" i="9"/>
  <c r="B14" i="66" s="1"/>
  <c r="B1" i="66" s="1"/>
  <c r="D16" i="43"/>
  <c r="C16" i="43" s="1"/>
  <c r="D46" i="9"/>
  <c r="E6" i="6"/>
  <c r="C21" i="4"/>
  <c r="O5" i="54" s="1"/>
  <c r="B45" i="63" s="1"/>
  <c r="J83" i="39"/>
  <c r="K83" i="39" s="1"/>
  <c r="L83" i="39" s="1"/>
  <c r="M83" i="39" s="1"/>
  <c r="J13" i="39"/>
  <c r="AB13" i="39"/>
  <c r="U13" i="39"/>
  <c r="AA13" i="39"/>
  <c r="S13" i="39"/>
  <c r="F17" i="11"/>
  <c r="M11" i="71"/>
  <c r="J10" i="71" s="1"/>
  <c r="F11" i="71"/>
  <c r="C52" i="71" s="1"/>
  <c r="M11" i="15"/>
  <c r="J10" i="15" s="1"/>
  <c r="F11" i="15"/>
  <c r="C52" i="15" s="1"/>
  <c r="F13" i="44"/>
  <c r="C12" i="44" s="1"/>
  <c r="M13" i="44"/>
  <c r="J12" i="44" s="1"/>
  <c r="O28" i="46"/>
  <c r="M28" i="46"/>
  <c r="P28" i="46"/>
  <c r="N28" i="46"/>
  <c r="L48" i="71"/>
  <c r="F6" i="71"/>
  <c r="M8" i="71"/>
  <c r="F40" i="71"/>
  <c r="M28" i="71"/>
  <c r="F42" i="71"/>
  <c r="M22" i="71"/>
  <c r="F9" i="71"/>
  <c r="F38" i="71"/>
  <c r="F37" i="71"/>
  <c r="F7" i="71"/>
  <c r="F26" i="71"/>
  <c r="F8" i="71"/>
  <c r="M24" i="15"/>
  <c r="M28" i="15"/>
  <c r="M8" i="15"/>
  <c r="J36" i="15"/>
  <c r="F37" i="15"/>
  <c r="F36" i="15"/>
  <c r="L47" i="15"/>
  <c r="M22" i="15"/>
  <c r="M9" i="15"/>
  <c r="L48" i="15"/>
  <c r="M26" i="15"/>
  <c r="F16" i="15"/>
  <c r="F11" i="44"/>
  <c r="F39" i="44"/>
  <c r="C19" i="44"/>
  <c r="M26" i="44"/>
  <c r="L49" i="44"/>
  <c r="M28" i="44"/>
  <c r="M24" i="44"/>
  <c r="M31" i="44"/>
  <c r="F9" i="44"/>
  <c r="L48" i="44"/>
  <c r="F15" i="44"/>
  <c r="F43" i="44"/>
  <c r="M29" i="44"/>
  <c r="F37" i="44"/>
  <c r="C17" i="71"/>
  <c r="F13" i="71"/>
  <c r="F36" i="71"/>
  <c r="L47" i="71"/>
  <c r="M9" i="71"/>
  <c r="M26" i="71"/>
  <c r="J15" i="71"/>
  <c r="M23" i="71"/>
  <c r="M24" i="71"/>
  <c r="F16" i="71"/>
  <c r="M6" i="71"/>
  <c r="M27" i="71"/>
  <c r="J36" i="71"/>
  <c r="F40" i="15"/>
  <c r="M23" i="15"/>
  <c r="F38" i="15"/>
  <c r="F42" i="15"/>
  <c r="F6" i="15"/>
  <c r="F26" i="15"/>
  <c r="M27" i="15"/>
  <c r="F9" i="15"/>
  <c r="M6" i="15"/>
  <c r="F8" i="15"/>
  <c r="F13" i="15"/>
  <c r="J15" i="15"/>
  <c r="M23" i="44"/>
  <c r="M25" i="44"/>
  <c r="F45" i="44"/>
  <c r="F10" i="44"/>
  <c r="J17" i="44"/>
  <c r="F8" i="44"/>
  <c r="F40" i="44"/>
  <c r="M10" i="44"/>
  <c r="F46" i="44"/>
  <c r="F28" i="44"/>
  <c r="F38" i="44"/>
  <c r="F18" i="44"/>
  <c r="M30" i="44"/>
  <c r="M8" i="44"/>
  <c r="M11" i="44"/>
  <c r="C17" i="15"/>
  <c r="F21" i="43" l="1"/>
  <c r="C23" i="43" s="1"/>
  <c r="D21" i="43" s="1"/>
  <c r="C29" i="44"/>
  <c r="C8" i="44"/>
  <c r="C34" i="44" s="1"/>
  <c r="J22" i="44"/>
  <c r="F50" i="15"/>
  <c r="C27" i="15"/>
  <c r="C6" i="15"/>
  <c r="C33" i="15" s="1"/>
  <c r="F65" i="15"/>
  <c r="F67" i="15"/>
  <c r="Q72" i="71"/>
  <c r="L59" i="71"/>
  <c r="L58" i="71"/>
  <c r="F63" i="71"/>
  <c r="C36" i="44"/>
  <c r="Q73" i="44"/>
  <c r="L60" i="44"/>
  <c r="L59" i="44"/>
  <c r="M9" i="44"/>
  <c r="J8" i="44" s="1"/>
  <c r="J20" i="44" s="1"/>
  <c r="J58" i="44"/>
  <c r="J56" i="44" s="1"/>
  <c r="J59" i="44" s="1"/>
  <c r="Q52" i="44" s="1"/>
  <c r="J61" i="44"/>
  <c r="Q50" i="44" s="1"/>
  <c r="J54" i="44"/>
  <c r="I55" i="44"/>
  <c r="J60" i="44"/>
  <c r="L57" i="44"/>
  <c r="J60" i="15"/>
  <c r="Q49" i="15" s="1"/>
  <c r="I54" i="15"/>
  <c r="L60" i="15"/>
  <c r="J57" i="15"/>
  <c r="J55" i="15" s="1"/>
  <c r="J58" i="15" s="1"/>
  <c r="Q51" i="15" s="1"/>
  <c r="L57" i="15"/>
  <c r="J53" i="15"/>
  <c r="J59" i="15"/>
  <c r="L56" i="15"/>
  <c r="L58" i="15"/>
  <c r="L59" i="15"/>
  <c r="F63" i="15"/>
  <c r="F64" i="15"/>
  <c r="Q72" i="15"/>
  <c r="F50" i="71"/>
  <c r="C27" i="71"/>
  <c r="F49" i="71"/>
  <c r="M7" i="71"/>
  <c r="J6" i="71" s="1"/>
  <c r="J18" i="71" s="1"/>
  <c r="F64" i="71"/>
  <c r="F65" i="71"/>
  <c r="F67" i="71"/>
  <c r="C6" i="71"/>
  <c r="J60" i="71"/>
  <c r="Q49" i="71" s="1"/>
  <c r="I54" i="71"/>
  <c r="L60" i="71"/>
  <c r="J57" i="71"/>
  <c r="J55" i="71" s="1"/>
  <c r="J58" i="71" s="1"/>
  <c r="Q51" i="71" s="1"/>
  <c r="L57" i="71"/>
  <c r="J53" i="71"/>
  <c r="J59" i="71"/>
  <c r="L56" i="71"/>
  <c r="J6" i="15"/>
  <c r="J18" i="15" s="1"/>
  <c r="K7" i="68"/>
  <c r="H69" i="68"/>
  <c r="D7" i="68"/>
  <c r="E13" i="3"/>
  <c r="I3" i="6"/>
  <c r="E569" i="3"/>
  <c r="E565" i="3"/>
  <c r="E561" i="3"/>
  <c r="E557" i="3"/>
  <c r="E553" i="3"/>
  <c r="E549" i="3"/>
  <c r="E545" i="3"/>
  <c r="E541" i="3"/>
  <c r="E537" i="3"/>
  <c r="E533" i="3"/>
  <c r="E529" i="3"/>
  <c r="E525" i="3"/>
  <c r="E521" i="3"/>
  <c r="E572" i="3"/>
  <c r="E568" i="3"/>
  <c r="E564" i="3"/>
  <c r="E560" i="3"/>
  <c r="E556" i="3"/>
  <c r="E552" i="3"/>
  <c r="E548" i="3"/>
  <c r="E544" i="3"/>
  <c r="E540" i="3"/>
  <c r="E536" i="3"/>
  <c r="E532" i="3"/>
  <c r="E528" i="3"/>
  <c r="E524" i="3"/>
  <c r="E520"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L6" i="3"/>
  <c r="P6" i="3"/>
  <c r="T6" i="3"/>
  <c r="X6" i="3"/>
  <c r="AB6" i="3"/>
  <c r="AF6" i="3"/>
  <c r="AJ6" i="3"/>
  <c r="AN6" i="3"/>
  <c r="AR6" i="3"/>
  <c r="E17" i="3"/>
  <c r="E21" i="3"/>
  <c r="E25" i="3"/>
  <c r="E29" i="3"/>
  <c r="E33" i="3"/>
  <c r="E37" i="3"/>
  <c r="E41" i="3"/>
  <c r="E45" i="3"/>
  <c r="E49" i="3"/>
  <c r="E53" i="3"/>
  <c r="E57" i="3"/>
  <c r="E61" i="3"/>
  <c r="E65" i="3"/>
  <c r="E69" i="3"/>
  <c r="E73" i="3"/>
  <c r="E77" i="3"/>
  <c r="E81" i="3"/>
  <c r="E85" i="3"/>
  <c r="E89" i="3"/>
  <c r="K6" i="3"/>
  <c r="O6" i="3"/>
  <c r="S6" i="3"/>
  <c r="W6" i="3"/>
  <c r="AA6" i="3"/>
  <c r="AG6" i="3"/>
  <c r="AK6" i="3"/>
  <c r="AO6" i="3"/>
  <c r="AS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AY6" i="3"/>
  <c r="E571" i="3"/>
  <c r="E567" i="3"/>
  <c r="E563" i="3"/>
  <c r="E559" i="3"/>
  <c r="E555" i="3"/>
  <c r="E551" i="3"/>
  <c r="E547" i="3"/>
  <c r="E543" i="3"/>
  <c r="E539" i="3"/>
  <c r="E535" i="3"/>
  <c r="E531" i="3"/>
  <c r="E527" i="3"/>
  <c r="E523" i="3"/>
  <c r="E519" i="3"/>
  <c r="E570" i="3"/>
  <c r="E566" i="3"/>
  <c r="E562" i="3"/>
  <c r="E558" i="3"/>
  <c r="E554" i="3"/>
  <c r="E550" i="3"/>
  <c r="E546" i="3"/>
  <c r="E542" i="3"/>
  <c r="E538" i="3"/>
  <c r="E534" i="3"/>
  <c r="E530" i="3"/>
  <c r="E526" i="3"/>
  <c r="E522"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J6" i="3"/>
  <c r="N6" i="3"/>
  <c r="R6" i="3"/>
  <c r="V6" i="3"/>
  <c r="Z6" i="3"/>
  <c r="AD6" i="3"/>
  <c r="AH6" i="3"/>
  <c r="AL6" i="3"/>
  <c r="AP6" i="3"/>
  <c r="E15" i="3"/>
  <c r="E19" i="3"/>
  <c r="E23" i="3"/>
  <c r="E27" i="3"/>
  <c r="E31" i="3"/>
  <c r="E35" i="3"/>
  <c r="E39" i="3"/>
  <c r="E43" i="3"/>
  <c r="E47" i="3"/>
  <c r="E51" i="3"/>
  <c r="E55" i="3"/>
  <c r="E59" i="3"/>
  <c r="E63" i="3"/>
  <c r="E67" i="3"/>
  <c r="E71" i="3"/>
  <c r="E75" i="3"/>
  <c r="E79" i="3"/>
  <c r="E83" i="3"/>
  <c r="E87" i="3"/>
  <c r="E91" i="3"/>
  <c r="I6" i="3"/>
  <c r="M6" i="3"/>
  <c r="Q6" i="3"/>
  <c r="U6" i="3"/>
  <c r="Y6" i="3"/>
  <c r="AE6" i="3"/>
  <c r="AI6" i="3"/>
  <c r="AM6" i="3"/>
  <c r="AQ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C26" i="59"/>
  <c r="D25" i="59"/>
  <c r="K43" i="68"/>
  <c r="S43" i="68"/>
  <c r="D16" i="68" s="1"/>
  <c r="S29" i="39"/>
  <c r="AA29" i="39"/>
  <c r="C22" i="59"/>
  <c r="D21" i="59"/>
  <c r="C30" i="59"/>
  <c r="D29" i="59"/>
  <c r="T46" i="59"/>
  <c r="D46" i="59"/>
  <c r="T54" i="59"/>
  <c r="D54" i="59"/>
  <c r="AB21" i="39"/>
  <c r="U21" i="39"/>
  <c r="C5" i="46"/>
  <c r="C29" i="46" s="1"/>
  <c r="D12" i="59"/>
  <c r="C11" i="59"/>
  <c r="T50" i="59"/>
  <c r="D50" i="59"/>
  <c r="P55" i="59"/>
  <c r="P56" i="59"/>
  <c r="AA19" i="21"/>
  <c r="S19" i="21"/>
  <c r="H33" i="6"/>
  <c r="J7" i="44"/>
  <c r="J26" i="44" s="1"/>
  <c r="C48" i="15"/>
  <c r="C47" i="15" s="1"/>
  <c r="C65" i="15" s="1"/>
  <c r="H7" i="36"/>
  <c r="AB7" i="36" s="1"/>
  <c r="T36" i="36" s="1"/>
  <c r="G36" i="36" s="1"/>
  <c r="H7" i="37"/>
  <c r="E75" i="68"/>
  <c r="H65" i="68"/>
  <c r="E92" i="68" s="1"/>
  <c r="G61" i="68"/>
  <c r="T42" i="59"/>
  <c r="D42" i="59"/>
  <c r="O56" i="59"/>
  <c r="D56" i="59"/>
  <c r="O55" i="59"/>
  <c r="F26" i="12"/>
  <c r="C27" i="12" s="1"/>
  <c r="D26" i="12" s="1"/>
  <c r="C32" i="12" s="1"/>
  <c r="D30" i="12" s="1"/>
  <c r="F24" i="71"/>
  <c r="C24" i="71" s="1"/>
  <c r="F24" i="15"/>
  <c r="C24" i="15" s="1"/>
  <c r="C32" i="15"/>
  <c r="W7" i="36"/>
  <c r="AC7" i="36"/>
  <c r="V36" i="36" s="1"/>
  <c r="I36" i="36" s="1"/>
  <c r="U7" i="36"/>
  <c r="W7" i="37"/>
  <c r="AC7" i="37"/>
  <c r="V42" i="37" s="1"/>
  <c r="I42" i="37" s="1"/>
  <c r="AB7" i="37"/>
  <c r="T42" i="37" s="1"/>
  <c r="G42" i="37" s="1"/>
  <c r="U7" i="37"/>
  <c r="W7" i="21"/>
  <c r="AC7" i="21"/>
  <c r="S7" i="36"/>
  <c r="AA7" i="36"/>
  <c r="R36" i="36" s="1"/>
  <c r="S7" i="37"/>
  <c r="AA7" i="37"/>
  <c r="R42" i="37" s="1"/>
  <c r="F7" i="21"/>
  <c r="H7" i="21"/>
  <c r="E70" i="39"/>
  <c r="D72" i="39"/>
  <c r="C39" i="46"/>
  <c r="C38" i="46"/>
  <c r="C37" i="46"/>
  <c r="C36" i="46"/>
  <c r="C35" i="46"/>
  <c r="C34" i="46"/>
  <c r="C33" i="46"/>
  <c r="T15" i="46"/>
  <c r="V15" i="46" s="1"/>
  <c r="T14" i="46"/>
  <c r="V14" i="46" s="1"/>
  <c r="T13" i="46"/>
  <c r="V13" i="46" s="1"/>
  <c r="T12" i="46"/>
  <c r="V12" i="46" s="1"/>
  <c r="T9" i="46"/>
  <c r="V9" i="46" s="1"/>
  <c r="T8" i="46"/>
  <c r="V8" i="46" s="1"/>
  <c r="T16" i="46"/>
  <c r="V16" i="46" s="1"/>
  <c r="T10" i="46"/>
  <c r="V10" i="46" s="1"/>
  <c r="T11" i="46"/>
  <c r="V11" i="46" s="1"/>
  <c r="T2" i="46"/>
  <c r="V2" i="46" s="1"/>
  <c r="T4" i="46"/>
  <c r="V4" i="46" s="1"/>
  <c r="W7" i="35"/>
  <c r="AC7" i="35"/>
  <c r="V38" i="35" s="1"/>
  <c r="I38" i="35" s="1"/>
  <c r="W7" i="34"/>
  <c r="AC7" i="34"/>
  <c r="V49" i="34" s="1"/>
  <c r="I49" i="34" s="1"/>
  <c r="AA7" i="33"/>
  <c r="R48" i="33" s="1"/>
  <c r="S7" i="33"/>
  <c r="T6" i="46"/>
  <c r="V6" i="46" s="1"/>
  <c r="T5" i="46"/>
  <c r="V5" i="46" s="1"/>
  <c r="F7" i="35"/>
  <c r="H7" i="35"/>
  <c r="F7" i="34"/>
  <c r="H7" i="34"/>
  <c r="H7" i="33"/>
  <c r="J7" i="33"/>
  <c r="E65" i="40"/>
  <c r="D67" i="40"/>
  <c r="T3" i="46"/>
  <c r="V3" i="46" s="1"/>
  <c r="T7" i="46"/>
  <c r="V7" i="46" s="1"/>
  <c r="C10" i="71"/>
  <c r="O8" i="1"/>
  <c r="P8" i="1" s="1"/>
  <c r="O7" i="1"/>
  <c r="P7" i="1" s="1"/>
  <c r="D13" i="11"/>
  <c r="C13" i="11" s="1"/>
  <c r="D22" i="12"/>
  <c r="C22" i="12" s="1"/>
  <c r="C11" i="11" s="1"/>
  <c r="C10" i="11" s="1"/>
  <c r="H33" i="21"/>
  <c r="J33" i="21"/>
  <c r="F33" i="21"/>
  <c r="AA11" i="21"/>
  <c r="S11" i="21"/>
  <c r="E68" i="39"/>
  <c r="H12" i="40"/>
  <c r="F12" i="40"/>
  <c r="J12" i="39"/>
  <c r="F12" i="39"/>
  <c r="J12" i="40"/>
  <c r="H12" i="39"/>
  <c r="F18" i="11"/>
  <c r="F24" i="43"/>
  <c r="C26" i="43" s="1"/>
  <c r="D24" i="43" s="1"/>
  <c r="F33" i="12"/>
  <c r="C34" i="12" s="1"/>
  <c r="D33" i="12" s="1"/>
  <c r="C7" i="66"/>
  <c r="C8" i="66"/>
  <c r="D19" i="12"/>
  <c r="C19" i="12" s="1"/>
  <c r="C16" i="12"/>
  <c r="AB11" i="21"/>
  <c r="U11" i="21"/>
  <c r="AC11" i="21"/>
  <c r="W11" i="21"/>
  <c r="M27" i="6"/>
  <c r="I19" i="6"/>
  <c r="S16" i="1"/>
  <c r="T8" i="1" s="1"/>
  <c r="C15" i="43"/>
  <c r="M16" i="1"/>
  <c r="P6" i="1"/>
  <c r="O6" i="1"/>
  <c r="O16" i="1" s="1"/>
  <c r="C30" i="46"/>
  <c r="E30" i="46" s="1"/>
  <c r="E29" i="46"/>
  <c r="D113" i="46"/>
  <c r="C115" i="46"/>
  <c r="AC13" i="39"/>
  <c r="W13" i="39"/>
  <c r="J28" i="44"/>
  <c r="J31" i="44" s="1"/>
  <c r="C18" i="44"/>
  <c r="C16" i="71"/>
  <c r="C16" i="15"/>
  <c r="C14" i="71"/>
  <c r="J5" i="71" l="1"/>
  <c r="J24" i="71" s="1"/>
  <c r="C10" i="15"/>
  <c r="C5" i="15" s="1"/>
  <c r="C38" i="15" s="1"/>
  <c r="C7" i="44"/>
  <c r="C40" i="44" s="1"/>
  <c r="C5" i="71"/>
  <c r="C38" i="71" s="1"/>
  <c r="J5" i="15"/>
  <c r="L47" i="44"/>
  <c r="C18" i="11"/>
  <c r="AY572" i="3"/>
  <c r="AY568" i="3"/>
  <c r="AY564" i="3"/>
  <c r="AY560" i="3"/>
  <c r="AY556" i="3"/>
  <c r="AY552" i="3"/>
  <c r="AY548" i="3"/>
  <c r="AY544" i="3"/>
  <c r="AY540" i="3"/>
  <c r="AY536" i="3"/>
  <c r="AY532" i="3"/>
  <c r="AY528" i="3"/>
  <c r="AY524" i="3"/>
  <c r="AY520" i="3"/>
  <c r="AY569" i="3"/>
  <c r="AY565" i="3"/>
  <c r="AY561" i="3"/>
  <c r="AY557" i="3"/>
  <c r="AY553" i="3"/>
  <c r="AY549" i="3"/>
  <c r="AY545" i="3"/>
  <c r="AY541" i="3"/>
  <c r="AY537" i="3"/>
  <c r="AY533" i="3"/>
  <c r="AY529" i="3"/>
  <c r="AY525" i="3"/>
  <c r="AY521"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517" i="3"/>
  <c r="AY513" i="3"/>
  <c r="AY509" i="3"/>
  <c r="AY505" i="3"/>
  <c r="AY501"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88" i="3"/>
  <c r="AY84" i="3"/>
  <c r="AY80" i="3"/>
  <c r="AY76" i="3"/>
  <c r="AY72" i="3"/>
  <c r="AY68" i="3"/>
  <c r="AY64" i="3"/>
  <c r="AY60" i="3"/>
  <c r="AY56" i="3"/>
  <c r="AY52" i="3"/>
  <c r="AY48" i="3"/>
  <c r="AY44" i="3"/>
  <c r="AY40" i="3"/>
  <c r="AY36" i="3"/>
  <c r="AY32" i="3"/>
  <c r="AY28" i="3"/>
  <c r="AY24" i="3"/>
  <c r="AY20" i="3"/>
  <c r="AY16" i="3"/>
  <c r="BS6" i="3"/>
  <c r="BO6" i="3"/>
  <c r="BK6" i="3"/>
  <c r="BG6" i="3"/>
  <c r="BC6" i="3"/>
  <c r="D3" i="6"/>
  <c r="AY570" i="3"/>
  <c r="AY566" i="3"/>
  <c r="AY562" i="3"/>
  <c r="AY558" i="3"/>
  <c r="AY554" i="3"/>
  <c r="AY550" i="3"/>
  <c r="AY546" i="3"/>
  <c r="AY542" i="3"/>
  <c r="AY538" i="3"/>
  <c r="AY534" i="3"/>
  <c r="AY530" i="3"/>
  <c r="AY526" i="3"/>
  <c r="AY522" i="3"/>
  <c r="AY571" i="3"/>
  <c r="AY567" i="3"/>
  <c r="AY563" i="3"/>
  <c r="AY559" i="3"/>
  <c r="AY555" i="3"/>
  <c r="AY551" i="3"/>
  <c r="AY547" i="3"/>
  <c r="AY543" i="3"/>
  <c r="AY539" i="3"/>
  <c r="AY535" i="3"/>
  <c r="AY531" i="3"/>
  <c r="AY527" i="3"/>
  <c r="AY523" i="3"/>
  <c r="AY519"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90" i="3"/>
  <c r="AY86" i="3"/>
  <c r="AY82" i="3"/>
  <c r="AY78" i="3"/>
  <c r="AY74" i="3"/>
  <c r="AY70" i="3"/>
  <c r="AY66" i="3"/>
  <c r="AY62" i="3"/>
  <c r="AY58" i="3"/>
  <c r="AY54" i="3"/>
  <c r="AY50" i="3"/>
  <c r="AY46" i="3"/>
  <c r="AY42" i="3"/>
  <c r="AY38" i="3"/>
  <c r="AY34" i="3"/>
  <c r="AY30" i="3"/>
  <c r="AY26" i="3"/>
  <c r="AY22" i="3"/>
  <c r="AY18" i="3"/>
  <c r="AY14" i="3"/>
  <c r="BQ6" i="3"/>
  <c r="BM6" i="3"/>
  <c r="BI6" i="3"/>
  <c r="BE6" i="3"/>
  <c r="BA6" i="3"/>
  <c r="E82" i="68"/>
  <c r="E89" i="68" s="1"/>
  <c r="M7" i="68"/>
  <c r="Q53" i="71"/>
  <c r="F1" i="71"/>
  <c r="C32" i="71"/>
  <c r="C33" i="71"/>
  <c r="Q61" i="15"/>
  <c r="Q74" i="15"/>
  <c r="Q58" i="15"/>
  <c r="Q67" i="15"/>
  <c r="F1" i="44"/>
  <c r="Q54" i="44"/>
  <c r="Q75" i="44"/>
  <c r="Q62" i="44"/>
  <c r="Q62" i="71"/>
  <c r="Q75" i="71"/>
  <c r="I73" i="68"/>
  <c r="O61" i="68"/>
  <c r="G68" i="68"/>
  <c r="K61" i="68"/>
  <c r="K68" i="68" s="1"/>
  <c r="O85" i="68"/>
  <c r="I85" i="68"/>
  <c r="F75" i="68"/>
  <c r="D11" i="59"/>
  <c r="C10" i="59"/>
  <c r="T30" i="59"/>
  <c r="D30" i="59"/>
  <c r="T22" i="59"/>
  <c r="D22" i="59"/>
  <c r="E86" i="68"/>
  <c r="E88" i="68" s="1"/>
  <c r="E90" i="68" s="1"/>
  <c r="K10" i="68"/>
  <c r="T26" i="59"/>
  <c r="D26" i="59"/>
  <c r="H6" i="3"/>
  <c r="E6" i="3" s="1"/>
  <c r="AC6" i="3"/>
  <c r="Q58" i="71"/>
  <c r="Q67" i="71"/>
  <c r="C48" i="71"/>
  <c r="C47" i="71" s="1"/>
  <c r="C60" i="71" s="1"/>
  <c r="Q75" i="15"/>
  <c r="Q62" i="15"/>
  <c r="F1" i="15"/>
  <c r="Q53" i="15"/>
  <c r="Q76" i="44"/>
  <c r="Q63" i="44"/>
  <c r="Q61" i="71"/>
  <c r="Q74" i="71"/>
  <c r="C60" i="15"/>
  <c r="C59" i="15"/>
  <c r="E67" i="40"/>
  <c r="F65" i="40"/>
  <c r="U7" i="33"/>
  <c r="AB7" i="33"/>
  <c r="T48" i="33" s="1"/>
  <c r="G48" i="33" s="1"/>
  <c r="S7" i="34"/>
  <c r="AA7" i="34"/>
  <c r="R49" i="34" s="1"/>
  <c r="S7" i="35"/>
  <c r="AA7" i="35"/>
  <c r="R38" i="35" s="1"/>
  <c r="I53" i="34"/>
  <c r="J53" i="34" s="1"/>
  <c r="I42" i="35"/>
  <c r="J42" i="35" s="1"/>
  <c r="G34" i="46"/>
  <c r="I34" i="46" s="1"/>
  <c r="E34" i="46"/>
  <c r="G36" i="46"/>
  <c r="I36" i="46" s="1"/>
  <c r="E36" i="46"/>
  <c r="G38" i="46"/>
  <c r="I38" i="46" s="1"/>
  <c r="E38" i="46"/>
  <c r="AB7" i="21"/>
  <c r="U7" i="21"/>
  <c r="E42" i="37"/>
  <c r="R43" i="37"/>
  <c r="E36" i="36"/>
  <c r="R37" i="36"/>
  <c r="I47" i="37"/>
  <c r="J47" i="37" s="1"/>
  <c r="I46" i="37"/>
  <c r="J46" i="37" s="1"/>
  <c r="I41" i="36"/>
  <c r="J41" i="36" s="1"/>
  <c r="I40" i="36"/>
  <c r="J40" i="36" s="1"/>
  <c r="AC7" i="33"/>
  <c r="V48" i="33" s="1"/>
  <c r="I48" i="33" s="1"/>
  <c r="W7" i="33"/>
  <c r="AB7" i="34"/>
  <c r="T49" i="34" s="1"/>
  <c r="G49" i="34" s="1"/>
  <c r="U7" i="34"/>
  <c r="AB7" i="35"/>
  <c r="T38" i="35" s="1"/>
  <c r="G38" i="35" s="1"/>
  <c r="U7" i="35"/>
  <c r="R49" i="33"/>
  <c r="E48" i="33"/>
  <c r="G33" i="46"/>
  <c r="I33" i="46" s="1"/>
  <c r="C27" i="46" s="1"/>
  <c r="E33" i="46"/>
  <c r="G35" i="46"/>
  <c r="I35" i="46" s="1"/>
  <c r="E35" i="46"/>
  <c r="G37" i="46"/>
  <c r="I37" i="46" s="1"/>
  <c r="E37" i="46"/>
  <c r="G39" i="46"/>
  <c r="I39" i="46" s="1"/>
  <c r="E39" i="46"/>
  <c r="E72" i="39"/>
  <c r="F70" i="39"/>
  <c r="S7" i="21"/>
  <c r="AA7" i="21"/>
  <c r="G47" i="37"/>
  <c r="H47" i="37" s="1"/>
  <c r="G46" i="37"/>
  <c r="H46" i="37" s="1"/>
  <c r="G41" i="36"/>
  <c r="H41" i="36" s="1"/>
  <c r="G40" i="36"/>
  <c r="H40" i="36" s="1"/>
  <c r="T6" i="1"/>
  <c r="C15" i="71"/>
  <c r="C18" i="71"/>
  <c r="C15" i="12"/>
  <c r="P16" i="1"/>
  <c r="C13" i="12" s="1"/>
  <c r="C26" i="46"/>
  <c r="L16" i="1"/>
  <c r="C13" i="43"/>
  <c r="N16" i="1"/>
  <c r="C29" i="43" s="1"/>
  <c r="C20" i="12"/>
  <c r="T9" i="1"/>
  <c r="T12" i="1"/>
  <c r="T10" i="1"/>
  <c r="T13" i="1"/>
  <c r="T11" i="1"/>
  <c r="AC12" i="40"/>
  <c r="W12" i="40"/>
  <c r="AC12" i="39"/>
  <c r="W12" i="39"/>
  <c r="AB12" i="40"/>
  <c r="U12" i="40"/>
  <c r="T7" i="1"/>
  <c r="AC33" i="21"/>
  <c r="V48" i="21" s="1"/>
  <c r="I48" i="21" s="1"/>
  <c r="W33" i="21"/>
  <c r="I27" i="6"/>
  <c r="S19" i="6"/>
  <c r="S27" i="6" s="1"/>
  <c r="AB12" i="39"/>
  <c r="U12" i="39"/>
  <c r="AA12" i="39"/>
  <c r="S12" i="39"/>
  <c r="AA12" i="40"/>
  <c r="S12" i="40"/>
  <c r="R48" i="21"/>
  <c r="AA33" i="21"/>
  <c r="S33" i="21"/>
  <c r="AB33" i="21"/>
  <c r="T48" i="21" s="1"/>
  <c r="G48" i="21" s="1"/>
  <c r="U33" i="21"/>
  <c r="C17" i="11"/>
  <c r="C19" i="11" s="1"/>
  <c r="C20" i="11" s="1"/>
  <c r="C21" i="11" s="1"/>
  <c r="C22" i="11" s="1"/>
  <c r="C23" i="11" s="1"/>
  <c r="B2" i="11" s="1"/>
  <c r="B4" i="11" s="1"/>
  <c r="Q58" i="44"/>
  <c r="Q67" i="44"/>
  <c r="Q49" i="44"/>
  <c r="Q55" i="44" s="1"/>
  <c r="C14" i="15"/>
  <c r="AE8" i="1"/>
  <c r="F41" i="71" s="1"/>
  <c r="AE7" i="1"/>
  <c r="F41" i="15" s="1"/>
  <c r="E7" i="67"/>
  <c r="C16" i="44"/>
  <c r="F7" i="67"/>
  <c r="J26" i="71" l="1"/>
  <c r="J24" i="15"/>
  <c r="J26" i="15"/>
  <c r="F68" i="15"/>
  <c r="J29" i="15"/>
  <c r="F68" i="71"/>
  <c r="J29" i="71"/>
  <c r="K15" i="68"/>
  <c r="T10" i="59"/>
  <c r="D10" i="59"/>
  <c r="C9" i="59"/>
  <c r="E85" i="68"/>
  <c r="D15" i="68"/>
  <c r="E46" i="9"/>
  <c r="F46" i="9"/>
  <c r="K38" i="9"/>
  <c r="C14" i="66" s="1"/>
  <c r="B2" i="66" s="1"/>
  <c r="D28" i="6"/>
  <c r="D26" i="6"/>
  <c r="D25" i="6"/>
  <c r="D24" i="6"/>
  <c r="D23" i="6"/>
  <c r="D22" i="6"/>
  <c r="D9" i="6"/>
  <c r="D5" i="6"/>
  <c r="D15" i="6"/>
  <c r="D14" i="6"/>
  <c r="E63" i="40"/>
  <c r="F45" i="9"/>
  <c r="E45" i="9"/>
  <c r="D29" i="6"/>
  <c r="H26" i="6"/>
  <c r="H25" i="6"/>
  <c r="H24" i="6"/>
  <c r="H23" i="6"/>
  <c r="H22" i="6"/>
  <c r="H21" i="6"/>
  <c r="H19" i="6"/>
  <c r="H27" i="6" s="1"/>
  <c r="D8" i="6"/>
  <c r="D21" i="6"/>
  <c r="R21" i="6" s="1"/>
  <c r="R8" i="1" s="1"/>
  <c r="D19" i="6"/>
  <c r="D13" i="6"/>
  <c r="D6" i="6"/>
  <c r="D12" i="6"/>
  <c r="C22" i="4"/>
  <c r="D20" i="6"/>
  <c r="R20" i="6" s="1"/>
  <c r="R7" i="1" s="1"/>
  <c r="H20" i="6"/>
  <c r="D11" i="6"/>
  <c r="D10" i="6"/>
  <c r="C59" i="71"/>
  <c r="C65" i="71"/>
  <c r="E78" i="68"/>
  <c r="E76" i="68" s="1"/>
  <c r="D11" i="68"/>
  <c r="K17" i="68"/>
  <c r="E4" i="67"/>
  <c r="C49" i="33"/>
  <c r="B3" i="33" s="1"/>
  <c r="B2" i="33" s="1"/>
  <c r="C48" i="33"/>
  <c r="E41" i="36"/>
  <c r="F41" i="36" s="1"/>
  <c r="E40" i="36"/>
  <c r="F40" i="36" s="1"/>
  <c r="E47" i="37"/>
  <c r="F47" i="37" s="1"/>
  <c r="E46" i="37"/>
  <c r="F46" i="37" s="1"/>
  <c r="R39" i="35"/>
  <c r="E38" i="35"/>
  <c r="E49" i="34"/>
  <c r="R50" i="34"/>
  <c r="G53" i="33"/>
  <c r="H53" i="33" s="1"/>
  <c r="G52" i="33"/>
  <c r="H52" i="33" s="1"/>
  <c r="G65" i="40"/>
  <c r="F67" i="40"/>
  <c r="G70" i="39"/>
  <c r="F72" i="39"/>
  <c r="E53" i="33"/>
  <c r="F53" i="33" s="1"/>
  <c r="E52" i="33"/>
  <c r="F52" i="33" s="1"/>
  <c r="G43" i="35"/>
  <c r="H43" i="35" s="1"/>
  <c r="G42" i="35"/>
  <c r="H42" i="35" s="1"/>
  <c r="G54" i="34"/>
  <c r="H54" i="34" s="1"/>
  <c r="G53" i="34"/>
  <c r="H53" i="34" s="1"/>
  <c r="I53" i="33"/>
  <c r="J53" i="33" s="1"/>
  <c r="I52" i="33"/>
  <c r="J52" i="33" s="1"/>
  <c r="C37" i="36"/>
  <c r="B3" i="36" s="1"/>
  <c r="B2" i="36" s="1"/>
  <c r="C36" i="36"/>
  <c r="C43" i="37"/>
  <c r="B3" i="37" s="1"/>
  <c r="B2" i="37" s="1"/>
  <c r="C42" i="37"/>
  <c r="C19" i="71"/>
  <c r="C20" i="71" s="1"/>
  <c r="B5" i="11"/>
  <c r="B3" i="11"/>
  <c r="C18" i="15"/>
  <c r="C15" i="15"/>
  <c r="C20" i="44"/>
  <c r="C17" i="44"/>
  <c r="E3" i="67"/>
  <c r="G53" i="21"/>
  <c r="H53" i="21" s="1"/>
  <c r="G52" i="21"/>
  <c r="H52" i="21" s="1"/>
  <c r="E48" i="21"/>
  <c r="I53" i="21" s="1"/>
  <c r="J53" i="21" s="1"/>
  <c r="R49" i="21"/>
  <c r="I52" i="21"/>
  <c r="J52" i="21" s="1"/>
  <c r="T16" i="1"/>
  <c r="C14" i="12"/>
  <c r="C17" i="12"/>
  <c r="C14" i="43"/>
  <c r="C17" i="43"/>
  <c r="B2" i="46"/>
  <c r="B7" i="67"/>
  <c r="M21" i="71"/>
  <c r="F35" i="71"/>
  <c r="M21" i="15"/>
  <c r="F35" i="15"/>
  <c r="F62" i="15" l="1"/>
  <c r="C61" i="15" s="1"/>
  <c r="C58" i="15" s="1"/>
  <c r="C34" i="15"/>
  <c r="C31" i="15" s="1"/>
  <c r="J20" i="15"/>
  <c r="C34" i="71"/>
  <c r="C31" i="71" s="1"/>
  <c r="F62" i="71"/>
  <c r="C61" i="71" s="1"/>
  <c r="C58" i="71" s="1"/>
  <c r="J20" i="71"/>
  <c r="D13" i="68"/>
  <c r="E81" i="68"/>
  <c r="F99" i="68"/>
  <c r="H76" i="68"/>
  <c r="R23" i="6"/>
  <c r="R25" i="6"/>
  <c r="D30" i="6"/>
  <c r="J40" i="39"/>
  <c r="H40" i="39"/>
  <c r="F40" i="39"/>
  <c r="D14" i="68"/>
  <c r="O59" i="68" s="1"/>
  <c r="O68" i="68" s="1"/>
  <c r="D6" i="68"/>
  <c r="E5" i="68"/>
  <c r="N5" i="54"/>
  <c r="B43" i="63" s="1"/>
  <c r="A20" i="51"/>
  <c r="B15" i="63" s="1"/>
  <c r="A6" i="51"/>
  <c r="B7" i="63" s="1"/>
  <c r="A6" i="64"/>
  <c r="A20" i="64"/>
  <c r="R19" i="6"/>
  <c r="D27" i="6"/>
  <c r="D31" i="6" s="1"/>
  <c r="D16" i="6"/>
  <c r="R22" i="6"/>
  <c r="R24" i="6"/>
  <c r="R26" i="6"/>
  <c r="D7" i="66"/>
  <c r="D8" i="66"/>
  <c r="D9" i="59"/>
  <c r="C8" i="59"/>
  <c r="C50" i="34"/>
  <c r="B3" i="34" s="1"/>
  <c r="B2" i="34" s="1"/>
  <c r="C49" i="34"/>
  <c r="E43" i="35"/>
  <c r="F43" i="35" s="1"/>
  <c r="E42" i="35"/>
  <c r="F42" i="35" s="1"/>
  <c r="I43" i="35"/>
  <c r="J43" i="35" s="1"/>
  <c r="G72" i="39"/>
  <c r="H70" i="39"/>
  <c r="G67" i="40"/>
  <c r="H65" i="40"/>
  <c r="E54" i="34"/>
  <c r="F54" i="34" s="1"/>
  <c r="E53" i="34"/>
  <c r="F53" i="34" s="1"/>
  <c r="I54" i="34"/>
  <c r="J54" i="34" s="1"/>
  <c r="C39" i="35"/>
  <c r="B3" i="35" s="1"/>
  <c r="B2" i="35" s="1"/>
  <c r="C38" i="35"/>
  <c r="C19" i="15"/>
  <c r="C20" i="15" s="1"/>
  <c r="C23" i="15" s="1"/>
  <c r="C23" i="71"/>
  <c r="C26" i="71"/>
  <c r="C21" i="44"/>
  <c r="C22" i="44" s="1"/>
  <c r="C28" i="44" s="1"/>
  <c r="C18" i="12"/>
  <c r="C23" i="12" s="1"/>
  <c r="B2" i="67"/>
  <c r="C18" i="43"/>
  <c r="C49" i="21"/>
  <c r="B3" i="21" s="1"/>
  <c r="C48" i="21"/>
  <c r="B4" i="46"/>
  <c r="D4" i="46"/>
  <c r="B3" i="46"/>
  <c r="E52" i="21"/>
  <c r="F52" i="21" s="1"/>
  <c r="E53" i="21"/>
  <c r="F53" i="21" s="1"/>
  <c r="R6" i="1" l="1"/>
  <c r="R16" i="1" s="1"/>
  <c r="R27" i="6"/>
  <c r="AA40" i="39"/>
  <c r="S40" i="39"/>
  <c r="AC40" i="39"/>
  <c r="W40" i="39"/>
  <c r="E80" i="68"/>
  <c r="E83" i="68"/>
  <c r="D8" i="59"/>
  <c r="C7" i="59"/>
  <c r="I5" i="6"/>
  <c r="I6" i="6"/>
  <c r="AB40" i="39"/>
  <c r="U40" i="39"/>
  <c r="D12" i="68"/>
  <c r="D10" i="68" s="1"/>
  <c r="I65" i="40"/>
  <c r="H67" i="40"/>
  <c r="I70" i="39"/>
  <c r="H72" i="39"/>
  <c r="C29" i="71"/>
  <c r="J14" i="71" s="1"/>
  <c r="C26" i="15"/>
  <c r="C29" i="15" s="1"/>
  <c r="C25" i="44"/>
  <c r="C31" i="44" s="1"/>
  <c r="Q51" i="44" s="1"/>
  <c r="B2" i="21"/>
  <c r="C8" i="12"/>
  <c r="C10" i="12" s="1"/>
  <c r="C19" i="43"/>
  <c r="C22" i="43" s="1"/>
  <c r="C21" i="43" s="1"/>
  <c r="B3" i="67"/>
  <c r="B4" i="67"/>
  <c r="D7" i="59" l="1"/>
  <c r="C6" i="59"/>
  <c r="F80" i="68"/>
  <c r="E79" i="68"/>
  <c r="E73" i="68" s="1"/>
  <c r="I72" i="39"/>
  <c r="J70" i="39"/>
  <c r="I67" i="40"/>
  <c r="J65" i="40"/>
  <c r="J13" i="71"/>
  <c r="J23" i="71" s="1"/>
  <c r="J22" i="71"/>
  <c r="C13" i="71"/>
  <c r="C35" i="44"/>
  <c r="C33" i="44" s="1"/>
  <c r="C56" i="71"/>
  <c r="C63" i="71" s="1"/>
  <c r="Q50" i="71"/>
  <c r="J19" i="71"/>
  <c r="J17" i="71" s="1"/>
  <c r="C36" i="71"/>
  <c r="J21" i="44"/>
  <c r="J19" i="44" s="1"/>
  <c r="J16" i="44"/>
  <c r="J24" i="44" s="1"/>
  <c r="C25" i="43"/>
  <c r="C24" i="43" s="1"/>
  <c r="C28" i="43" s="1"/>
  <c r="C30" i="43" s="1"/>
  <c r="C32" i="43" s="1"/>
  <c r="B2" i="43" s="1"/>
  <c r="C15" i="44"/>
  <c r="C39" i="44" s="1"/>
  <c r="C38" i="44"/>
  <c r="C56" i="15"/>
  <c r="C63" i="15" s="1"/>
  <c r="J19" i="15"/>
  <c r="J17" i="15" s="1"/>
  <c r="Q50" i="15"/>
  <c r="C36" i="15"/>
  <c r="C13" i="15"/>
  <c r="J14" i="15"/>
  <c r="T6" i="59" l="1"/>
  <c r="D6" i="59"/>
  <c r="C5" i="59"/>
  <c r="J15" i="44"/>
  <c r="J25" i="44" s="1"/>
  <c r="K65" i="40"/>
  <c r="J67" i="40"/>
  <c r="K70" i="39"/>
  <c r="J72" i="39"/>
  <c r="J16" i="71"/>
  <c r="J25" i="71" s="1"/>
  <c r="Q71" i="71"/>
  <c r="J35" i="71"/>
  <c r="C55" i="71"/>
  <c r="C64" i="71" s="1"/>
  <c r="C57" i="71" s="1"/>
  <c r="C66" i="71" s="1"/>
  <c r="C67" i="71" s="1"/>
  <c r="C70" i="71" s="1"/>
  <c r="C37" i="71"/>
  <c r="C30" i="71" s="1"/>
  <c r="C39" i="71" s="1"/>
  <c r="C32" i="44"/>
  <c r="C42" i="44" s="1"/>
  <c r="Q71" i="44" s="1"/>
  <c r="B5" i="43"/>
  <c r="B3" i="43"/>
  <c r="B4" i="43"/>
  <c r="Q72" i="44"/>
  <c r="C43" i="44"/>
  <c r="J18" i="44"/>
  <c r="J27" i="44" s="1"/>
  <c r="J22" i="15"/>
  <c r="J13" i="15"/>
  <c r="J23" i="15" s="1"/>
  <c r="Q71" i="15"/>
  <c r="J35" i="15"/>
  <c r="C55" i="15"/>
  <c r="C64" i="15" s="1"/>
  <c r="C57" i="15" s="1"/>
  <c r="C66" i="15" s="1"/>
  <c r="C67" i="15" s="1"/>
  <c r="C37" i="15"/>
  <c r="C30" i="15" s="1"/>
  <c r="C39" i="15" s="1"/>
  <c r="L51" i="71"/>
  <c r="L51" i="15"/>
  <c r="D5" i="59" l="1"/>
  <c r="M20" i="46"/>
  <c r="K72" i="39"/>
  <c r="L70" i="39"/>
  <c r="K67" i="40"/>
  <c r="L65" i="40"/>
  <c r="C44" i="44"/>
  <c r="C45" i="44" s="1"/>
  <c r="B2" i="44" s="1"/>
  <c r="Q68" i="71"/>
  <c r="Q70" i="71"/>
  <c r="Q69" i="71" s="1"/>
  <c r="C40" i="71"/>
  <c r="Q70" i="44"/>
  <c r="J39" i="71"/>
  <c r="J40" i="71" s="1"/>
  <c r="J16" i="15"/>
  <c r="J25" i="15" s="1"/>
  <c r="Q68" i="15"/>
  <c r="C70" i="15"/>
  <c r="C40" i="15"/>
  <c r="C46" i="15" s="1"/>
  <c r="Q70" i="15"/>
  <c r="Q69" i="15" s="1"/>
  <c r="J39" i="15"/>
  <c r="J40" i="15" s="1"/>
  <c r="L52" i="44" l="1"/>
  <c r="L58" i="44" s="1"/>
  <c r="L61" i="44" s="1"/>
  <c r="M65" i="40"/>
  <c r="L67" i="40"/>
  <c r="M70" i="39"/>
  <c r="L72" i="39"/>
  <c r="C46" i="71"/>
  <c r="Q66" i="71"/>
  <c r="Q76" i="71" s="1"/>
  <c r="B2" i="71"/>
  <c r="J42" i="71"/>
  <c r="J43" i="71" s="1"/>
  <c r="Q57" i="71"/>
  <c r="Q63" i="71" s="1"/>
  <c r="Q48" i="71"/>
  <c r="Q54" i="71" s="1"/>
  <c r="C43" i="71"/>
  <c r="Q69" i="44"/>
  <c r="Q57" i="15"/>
  <c r="Q63" i="15" s="1"/>
  <c r="C43" i="15"/>
  <c r="J42" i="15"/>
  <c r="J43" i="15" s="1"/>
  <c r="Q66" i="15"/>
  <c r="Q76" i="15" s="1"/>
  <c r="Q48" i="15"/>
  <c r="Q54" i="15" s="1"/>
  <c r="B2" i="15"/>
  <c r="B5" i="44"/>
  <c r="B4" i="44"/>
  <c r="B3" i="44"/>
  <c r="M72" i="39" l="1"/>
  <c r="N70" i="39"/>
  <c r="N72" i="39" s="1"/>
  <c r="M67" i="40"/>
  <c r="N65" i="40"/>
  <c r="N67" i="40" s="1"/>
  <c r="E10" i="12"/>
  <c r="M7" i="12" s="1"/>
  <c r="B3" i="71"/>
  <c r="E8" i="12" s="1"/>
  <c r="B3" i="15"/>
  <c r="D8" i="12" s="1"/>
  <c r="D10" i="12"/>
  <c r="Q59" i="44"/>
  <c r="Q64" i="44" s="1"/>
  <c r="Q68" i="44"/>
  <c r="Q77" i="44" s="1"/>
  <c r="H9" i="40" l="1"/>
  <c r="F9" i="40"/>
  <c r="J9" i="40"/>
  <c r="J9" i="39"/>
  <c r="H9" i="39"/>
  <c r="F9" i="39"/>
  <c r="C6" i="12"/>
  <c r="C29" i="12" s="1"/>
  <c r="AA9" i="39" l="1"/>
  <c r="R49" i="39" s="1"/>
  <c r="S9" i="39"/>
  <c r="AC9" i="39"/>
  <c r="V49" i="39" s="1"/>
  <c r="I49" i="39" s="1"/>
  <c r="W9" i="39"/>
  <c r="S9" i="40"/>
  <c r="AA9" i="40"/>
  <c r="R44" i="40" s="1"/>
  <c r="U9" i="39"/>
  <c r="AB9" i="39"/>
  <c r="T49" i="39" s="1"/>
  <c r="G49" i="39" s="1"/>
  <c r="W9" i="40"/>
  <c r="AC9" i="40"/>
  <c r="V44" i="40" s="1"/>
  <c r="I44" i="40" s="1"/>
  <c r="AB9" i="40"/>
  <c r="T44" i="40" s="1"/>
  <c r="G44" i="40" s="1"/>
  <c r="U9" i="40"/>
  <c r="C24" i="12"/>
  <c r="C28" i="12" s="1"/>
  <c r="C26" i="12" s="1"/>
  <c r="C31" i="12" s="1"/>
  <c r="C30" i="12" s="1"/>
  <c r="G49" i="40" l="1"/>
  <c r="H49" i="40" s="1"/>
  <c r="G48" i="40"/>
  <c r="H48" i="40" s="1"/>
  <c r="I53" i="39"/>
  <c r="J53" i="39" s="1"/>
  <c r="I48" i="40"/>
  <c r="J48" i="40" s="1"/>
  <c r="G53" i="39"/>
  <c r="H53" i="39" s="1"/>
  <c r="G54" i="39"/>
  <c r="H54" i="39" s="1"/>
  <c r="R45" i="40"/>
  <c r="E44" i="40"/>
  <c r="E49" i="39"/>
  <c r="R50" i="39"/>
  <c r="C35" i="12"/>
  <c r="C33" i="12" s="1"/>
  <c r="C36" i="12" s="1"/>
  <c r="B2" i="12" s="1"/>
  <c r="C19" i="9"/>
  <c r="C50" i="39" l="1"/>
  <c r="C49" i="39"/>
  <c r="E49" i="40"/>
  <c r="F49" i="40" s="1"/>
  <c r="E48" i="40"/>
  <c r="F48" i="40" s="1"/>
  <c r="E54" i="39"/>
  <c r="F54" i="39" s="1"/>
  <c r="E53" i="39"/>
  <c r="F53" i="39" s="1"/>
  <c r="C45" i="40"/>
  <c r="C44" i="40"/>
  <c r="I49" i="40"/>
  <c r="J49" i="40" s="1"/>
  <c r="I54" i="39"/>
  <c r="J54" i="39" s="1"/>
  <c r="B4" i="12"/>
  <c r="B5" i="12"/>
  <c r="L43" i="9"/>
  <c r="B3" i="12"/>
  <c r="C20" i="9"/>
  <c r="C21" i="9"/>
  <c r="B54" i="40" l="1"/>
  <c r="F54" i="40" s="1"/>
  <c r="B58" i="40"/>
  <c r="F58" i="40" s="1"/>
  <c r="B60" i="40"/>
  <c r="F60" i="40" s="1"/>
  <c r="B62" i="40"/>
  <c r="F62" i="40" s="1"/>
  <c r="B55" i="40"/>
  <c r="F55" i="40" s="1"/>
  <c r="B56" i="40"/>
  <c r="F56" i="40" s="1"/>
  <c r="B59" i="40"/>
  <c r="F59" i="40" s="1"/>
  <c r="B61" i="40"/>
  <c r="F61" i="40" s="1"/>
  <c r="B53" i="40"/>
  <c r="F53" i="40" s="1"/>
  <c r="B57" i="40"/>
  <c r="F57" i="40" s="1"/>
  <c r="F63" i="40"/>
  <c r="B2" i="40" s="1"/>
  <c r="B60" i="39"/>
  <c r="F60" i="39" s="1"/>
  <c r="B66" i="39"/>
  <c r="F66" i="39" s="1"/>
  <c r="B64" i="39"/>
  <c r="F64" i="39" s="1"/>
  <c r="B61" i="39"/>
  <c r="F61" i="39" s="1"/>
  <c r="B62" i="39"/>
  <c r="F62" i="39" s="1"/>
  <c r="B58" i="39"/>
  <c r="F58" i="39" s="1"/>
  <c r="B67" i="39"/>
  <c r="F67" i="39" s="1"/>
  <c r="B65" i="39"/>
  <c r="F65" i="39" s="1"/>
  <c r="B63" i="39"/>
  <c r="F63" i="39" s="1"/>
  <c r="B59" i="39"/>
  <c r="F59" i="39" s="1"/>
  <c r="F68" i="39" l="1"/>
  <c r="B2" i="39" s="1"/>
  <c r="B3" i="39" s="1"/>
  <c r="B3" i="40"/>
  <c r="B5" i="40"/>
  <c r="B4" i="40"/>
  <c r="D19" i="9"/>
  <c r="D20" i="9"/>
  <c r="G19" i="9" l="1"/>
  <c r="N43" i="9" s="1"/>
  <c r="D22" i="9"/>
  <c r="L44" i="9"/>
  <c r="B5" i="39"/>
  <c r="B4" i="39"/>
  <c r="G20" i="9"/>
  <c r="D21" i="9"/>
  <c r="G22" i="9" l="1"/>
  <c r="G21" i="9"/>
  <c r="R24" i="31" s="1"/>
  <c r="U24" i="31" s="1"/>
  <c r="D27" i="9"/>
  <c r="D28" i="9" s="1"/>
  <c r="C32" i="9"/>
  <c r="C33" i="9" s="1"/>
  <c r="O38" i="9" l="1"/>
  <c r="K25" i="9" s="1"/>
  <c r="C35" i="9"/>
  <c r="F42" i="9" s="1"/>
  <c r="C42" i="9"/>
  <c r="D14" i="66" s="1"/>
  <c r="S24" i="31"/>
  <c r="C34" i="9"/>
  <c r="E42" i="9" s="1"/>
  <c r="P5" i="54" s="1"/>
  <c r="B46" i="63" s="1"/>
  <c r="R25" i="31"/>
  <c r="S25" i="31" s="1"/>
  <c r="O43" i="9"/>
  <c r="D42" i="9"/>
  <c r="Q5" i="54" s="1"/>
  <c r="B47" i="63" s="1"/>
  <c r="N38" i="9"/>
  <c r="K28" i="9" s="1"/>
  <c r="D63" i="9" l="1"/>
  <c r="C111" i="9" s="1"/>
  <c r="C104" i="9" s="1"/>
  <c r="R5" i="54"/>
  <c r="B48" i="63" s="1"/>
  <c r="C44" i="9"/>
  <c r="E44" i="9" s="1"/>
  <c r="N68" i="9"/>
  <c r="K26" i="9"/>
  <c r="S22" i="31"/>
  <c r="R22" i="31" s="1"/>
  <c r="B21" i="31" s="1"/>
  <c r="M38" i="9"/>
  <c r="K27" i="9" s="1"/>
  <c r="U25" i="31"/>
  <c r="F14" i="66"/>
  <c r="E14" i="66"/>
  <c r="C103" i="9"/>
  <c r="D77" i="9" l="1"/>
  <c r="N75" i="9" s="1"/>
  <c r="C90" i="9"/>
  <c r="C82" i="9"/>
  <c r="C81" i="9" s="1"/>
  <c r="C85" i="9" s="1"/>
  <c r="C86" i="9" s="1"/>
  <c r="D72" i="9" s="1"/>
  <c r="N69" i="9"/>
  <c r="M85" i="9" s="1"/>
  <c r="N85" i="9" s="1"/>
  <c r="D71" i="9"/>
  <c r="D66" i="9" s="1"/>
  <c r="N72" i="9" s="1"/>
  <c r="D70" i="9"/>
  <c r="C96" i="9"/>
  <c r="C91" i="9" s="1"/>
  <c r="G14" i="66"/>
  <c r="D44" i="9"/>
  <c r="F44" i="9"/>
  <c r="O39" i="9"/>
  <c r="K29" i="9" s="1"/>
  <c r="K30" i="9" s="1"/>
  <c r="B20" i="31"/>
  <c r="M87" i="9"/>
  <c r="N87" i="9" s="1"/>
  <c r="C113" i="9"/>
  <c r="C114" i="9" s="1"/>
  <c r="E114" i="9" s="1"/>
  <c r="E115" i="9" s="1"/>
  <c r="M86" i="9" l="1"/>
  <c r="N86" i="9" s="1"/>
  <c r="M88" i="9"/>
  <c r="N88" i="9" s="1"/>
  <c r="C97" i="9"/>
  <c r="C98" i="9" s="1"/>
  <c r="E98" i="9" s="1"/>
  <c r="E99" i="9" s="1"/>
  <c r="M83" i="9"/>
  <c r="N83" i="9" s="1"/>
  <c r="M84" i="9"/>
  <c r="N84" i="9" s="1"/>
  <c r="R6" i="54"/>
  <c r="B50" i="63" s="1"/>
  <c r="C99" i="9"/>
  <c r="C115" i="9"/>
  <c r="D76" i="9" s="1"/>
  <c r="D74" i="9" s="1"/>
  <c r="N74" i="9" s="1"/>
  <c r="O77" i="9" s="1"/>
  <c r="Q77" i="9" s="1"/>
  <c r="N89" i="9" l="1"/>
  <c r="O89" i="9" s="1"/>
  <c r="O79" i="9"/>
  <c r="O80" i="9" s="1"/>
  <c r="O78" i="9"/>
  <c r="O81" i="9" l="1"/>
  <c r="D15" i="66" l="1"/>
  <c r="E15" i="66" l="1"/>
  <c r="F15" i="66"/>
  <c r="G15" i="66"/>
  <c r="B6" i="66" s="1"/>
  <c r="B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作者</author>
  </authors>
  <commentList>
    <comment ref="O21" authorId="0">
      <text>
        <r>
          <rPr>
            <b/>
            <sz val="9"/>
            <rFont val="宋体"/>
            <family val="3"/>
            <charset val="134"/>
          </rPr>
          <t>作者:</t>
        </r>
        <r>
          <rPr>
            <sz val="9"/>
            <rFont val="宋体"/>
            <family val="3"/>
            <charset val="134"/>
          </rPr>
          <t xml:space="preserve">
默认由业主自行加板，特殊情况须说明</t>
        </r>
      </text>
    </comment>
    <comment ref="P21" authorId="0">
      <text>
        <r>
          <rPr>
            <b/>
            <sz val="9"/>
            <rFont val="宋体"/>
            <family val="3"/>
            <charset val="134"/>
          </rPr>
          <t>作者:</t>
        </r>
        <r>
          <rPr>
            <sz val="9"/>
            <rFont val="宋体"/>
            <family val="3"/>
            <charset val="134"/>
          </rPr>
          <t xml:space="preserve">
注明与地库包含关系</t>
        </r>
      </text>
    </comment>
    <comment ref="R21" authorId="0">
      <text>
        <r>
          <rPr>
            <b/>
            <sz val="9"/>
            <rFont val="宋体"/>
            <family val="3"/>
            <charset val="134"/>
          </rPr>
          <t>作者:</t>
        </r>
        <r>
          <rPr>
            <sz val="9"/>
            <rFont val="宋体"/>
            <family val="3"/>
            <charset val="134"/>
          </rPr>
          <t xml:space="preserve">
填写阳露台未计入规划部分面积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<sst xmlns="http://schemas.openxmlformats.org/spreadsheetml/2006/main" count="8408" uniqueCount="3347">
  <si>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</si>
  <si>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</si>
  <si>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</si>
  <si>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</si>
  <si>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</si>
  <si>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</si>
  <si>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</si>
  <si>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</si>
  <si>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</si>
  <si>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</si>
  <si>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</si>
  <si>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</si>
  <si>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</si>
  <si>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</si>
  <si>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</si>
  <si>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</si>
  <si>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</si>
  <si>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</si>
  <si>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</si>
  <si>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</si>
  <si>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</si>
  <si>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</si>
  <si>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</si>
  <si>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</si>
  <si>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</si>
  <si>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</si>
  <si>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</si>
  <si>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</si>
  <si>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</si>
  <si>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</si>
  <si>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</si>
  <si>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</si>
  <si>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</si>
  <si>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</si>
  <si>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</si>
  <si>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</si>
  <si>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</si>
  <si>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</si>
  <si>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</si>
  <si>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</si>
  <si>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</si>
  <si>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</si>
  <si>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</si>
  <si>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</si>
  <si>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</si>
  <si>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</si>
  <si>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</si>
  <si>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</si>
  <si>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</si>
  <si>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</si>
  <si>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</si>
  <si>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</si>
  <si>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</si>
  <si>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</si>
  <si>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</si>
  <si>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</si>
  <si>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</si>
  <si>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</si>
  <si>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</si>
  <si>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</si>
  <si>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</si>
  <si>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</si>
  <si>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</si>
  <si>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</si>
  <si>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</si>
  <si>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</si>
  <si>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</si>
  <si>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</si>
  <si>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</si>
  <si>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</si>
  <si>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</si>
  <si>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</si>
  <si>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</si>
  <si>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</si>
  <si>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</si>
  <si>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</si>
  <si>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</si>
  <si>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</si>
  <si>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</si>
  <si>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</si>
  <si>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</si>
  <si>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</si>
  <si>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</si>
  <si>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</si>
  <si>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</si>
  <si>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</si>
  <si>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</si>
  <si>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</si>
  <si>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</si>
  <si>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</si>
  <si>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</si>
  <si>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</si>
  <si>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</si>
  <si>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</si>
  <si>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</si>
  <si>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</si>
  <si>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</si>
  <si>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</si>
  <si>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</si>
  <si>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</si>
  <si>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</si>
  <si>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</si>
  <si>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</si>
  <si>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</si>
  <si>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</si>
  <si>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</si>
  <si>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</si>
  <si>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</si>
  <si>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</si>
  <si>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</si>
  <si>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</si>
  <si>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</si>
  <si>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</si>
  <si>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</si>
  <si>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</si>
  <si>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</si>
  <si>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</si>
  <si>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</si>
  <si>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</si>
  <si>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</si>
  <si>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</si>
  <si>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</si>
  <si>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</si>
  <si>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</si>
  <si>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</si>
  <si>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</si>
  <si>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</si>
  <si>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</si>
  <si>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</si>
  <si>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</si>
  <si>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</si>
  <si>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</si>
  <si>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</si>
  <si>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</si>
  <si>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</si>
  <si>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</si>
  <si>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</si>
  <si>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</si>
  <si>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</si>
  <si>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</si>
  <si>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</si>
  <si>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</si>
  <si>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</si>
  <si>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</si>
  <si>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</si>
  <si>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</si>
  <si>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</si>
  <si>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</si>
  <si>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</si>
  <si>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</si>
  <si>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</si>
  <si>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</si>
  <si>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</si>
  <si>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</si>
  <si>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</si>
  <si>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</si>
  <si>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</si>
  <si>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</si>
  <si>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</si>
  <si>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</si>
  <si>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</si>
  <si>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</si>
  <si>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</si>
  <si>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</si>
  <si>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</si>
  <si>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</si>
  <si>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</si>
  <si>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</si>
  <si>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</si>
  <si>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</si>
  <si>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</si>
  <si>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</si>
  <si>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</si>
  <si>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</si>
  <si>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</si>
  <si>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</si>
  <si>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</si>
  <si>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</si>
  <si>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</si>
  <si>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</si>
  <si>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</si>
  <si>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</si>
  <si>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</si>
  <si>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</si>
  <si>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</si>
  <si>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</si>
  <si>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</si>
  <si>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</si>
  <si>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</si>
  <si>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</si>
  <si>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</si>
  <si>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</si>
  <si>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</si>
  <si>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</si>
  <si>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</si>
  <si>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</si>
  <si>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</si>
  <si>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</si>
  <si>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</si>
  <si>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</si>
  <si>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</si>
  <si>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</si>
  <si>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</si>
  <si>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</si>
  <si>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</si>
  <si>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</si>
  <si>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</si>
  <si>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</si>
  <si>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</si>
  <si>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</si>
  <si>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</si>
  <si>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</si>
  <si>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</si>
  <si>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</si>
  <si>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</si>
  <si>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</si>
  <si>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</si>
  <si>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</si>
  <si>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</si>
  <si>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</si>
  <si>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</si>
  <si>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</si>
  <si>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</si>
  <si>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</si>
  <si>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</si>
  <si>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</si>
  <si>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</si>
  <si>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</si>
  <si>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</si>
  <si>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</si>
  <si>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</si>
  <si>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</si>
  <si>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</si>
  <si>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</si>
  <si>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</si>
  <si>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</si>
  <si>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</si>
  <si>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</si>
  <si>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</si>
  <si>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</si>
  <si>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</si>
  <si>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</si>
  <si>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</si>
  <si>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</si>
  <si>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</si>
  <si>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</si>
  <si>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</si>
  <si>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</si>
  <si>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</si>
  <si>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</si>
  <si>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</si>
  <si>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</si>
  <si>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</si>
  <si>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</si>
  <si>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</si>
  <si>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</si>
  <si>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</si>
  <si>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</si>
  <si>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</si>
  <si>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</si>
  <si>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</si>
  <si>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</si>
  <si>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</si>
  <si>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</si>
  <si>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</si>
  <si>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</si>
  <si>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</si>
  <si>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</si>
  <si>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</si>
  <si>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</si>
  <si>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</si>
  <si>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</si>
  <si>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</si>
  <si>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</si>
  <si>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</si>
  <si>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</si>
  <si>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</si>
  <si>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</si>
  <si>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</si>
  <si>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</si>
  <si>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</si>
  <si>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</si>
  <si>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</si>
  <si>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</si>
  <si>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</si>
  <si>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</si>
  <si>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</si>
  <si>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</si>
  <si>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</si>
  <si>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</si>
  <si>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</si>
  <si>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</si>
  <si>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</si>
  <si>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</si>
  <si>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</si>
  <si>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</si>
  <si>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</si>
  <si>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</si>
  <si>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</si>
  <si>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</si>
  <si>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</si>
  <si>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</si>
  <si>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</si>
  <si>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</si>
  <si>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</si>
  <si>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</si>
  <si>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</si>
  <si>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</si>
  <si>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</si>
  <si>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</si>
  <si>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</si>
  <si>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</si>
  <si>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</si>
  <si>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</si>
  <si>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</si>
  <si>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</si>
  <si>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</si>
  <si>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</si>
  <si>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</si>
  <si>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</si>
  <si>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</si>
  <si>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</si>
  <si>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</si>
  <si>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</si>
  <si>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</si>
  <si>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</si>
  <si>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</si>
  <si>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</si>
  <si>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</si>
  <si>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</si>
  <si>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</si>
  <si>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</si>
  <si>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</si>
  <si>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</si>
  <si>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</si>
  <si>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</si>
  <si>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</si>
  <si>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</si>
  <si>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</si>
  <si>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</si>
  <si>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</si>
  <si>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</si>
  <si>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</si>
  <si>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</si>
  <si>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</si>
  <si>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</si>
  <si>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</si>
  <si>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</si>
  <si>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</si>
  <si>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</si>
  <si>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</si>
  <si>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</si>
  <si>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</si>
  <si>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</si>
  <si>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</si>
  <si>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</si>
  <si>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</si>
  <si>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</si>
  <si>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</si>
  <si>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</si>
  <si>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</si>
  <si>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</si>
  <si>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</si>
  <si>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</si>
  <si>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</si>
  <si>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</si>
  <si>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</si>
  <si>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</si>
  <si>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</si>
  <si>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</si>
  <si>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</si>
  <si>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</si>
  <si>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</si>
  <si>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</si>
  <si>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</si>
  <si>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</si>
  <si>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</si>
  <si>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</si>
  <si>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</si>
  <si>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</si>
  <si>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</si>
  <si>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</si>
  <si>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</si>
  <si>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</si>
  <si>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</si>
  <si>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</si>
  <si>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</si>
  <si>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</si>
  <si>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</si>
  <si>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</si>
  <si>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</si>
  <si>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</si>
  <si>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</si>
  <si>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</si>
  <si>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</si>
  <si>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</si>
  <si>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</si>
  <si>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</si>
  <si>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</si>
  <si>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</si>
  <si>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</si>
  <si>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</si>
  <si>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</si>
  <si>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</si>
  <si>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</si>
  <si>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</si>
  <si>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</si>
  <si>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</si>
  <si>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</si>
  <si>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</si>
  <si>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</si>
  <si>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</si>
  <si>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</si>
  <si>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</si>
  <si>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</si>
  <si>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</si>
  <si>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</si>
  <si>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</si>
  <si>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</si>
  <si>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</si>
  <si>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</si>
  <si>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</si>
  <si>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</si>
  <si>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</si>
  <si>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</si>
  <si>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</si>
  <si>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</si>
  <si>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</si>
  <si>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</si>
  <si>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</si>
  <si>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</si>
  <si>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</si>
  <si>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</si>
  <si>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</si>
  <si>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</si>
  <si>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</si>
  <si>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</si>
  <si>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</si>
  <si>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</si>
  <si>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</si>
  <si>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</si>
  <si>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</si>
  <si>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</si>
  <si>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</si>
  <si>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</si>
  <si>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</si>
  <si>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</si>
  <si>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</si>
  <si>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</si>
  <si>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</si>
  <si>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</si>
  <si>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</si>
  <si>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</si>
  <si>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</si>
  <si>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</si>
  <si>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</si>
  <si>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</si>
  <si>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</si>
  <si>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</si>
  <si>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</si>
  <si>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</si>
  <si>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</si>
  <si>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</si>
  <si>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</si>
  <si>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</si>
  <si>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</si>
  <si>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</si>
  <si>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</si>
  <si>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</si>
  <si>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</si>
  <si>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</si>
  <si>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</si>
  <si>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</si>
  <si>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</si>
  <si>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</si>
  <si>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</si>
  <si>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</si>
  <si>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</si>
  <si>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</si>
  <si>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</si>
  <si>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</si>
  <si>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</si>
  <si>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</si>
  <si>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</si>
  <si>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</si>
  <si>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</si>
  <si>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</si>
  <si>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</si>
  <si>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</si>
  <si>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</si>
  <si>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</si>
  <si>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</si>
  <si>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</si>
  <si>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</si>
  <si>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</si>
  <si>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</si>
  <si>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</si>
  <si>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</si>
  <si>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</si>
  <si>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</si>
  <si>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</si>
  <si>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</si>
  <si>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</si>
  <si>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</si>
  <si>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</si>
  <si>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</si>
  <si>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</si>
  <si>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</si>
  <si>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</si>
  <si>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</si>
  <si>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</si>
  <si>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</si>
  <si>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</si>
  <si>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</si>
  <si>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</si>
  <si>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</si>
  <si>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</si>
  <si>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</si>
  <si>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</si>
  <si>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</si>
  <si>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</si>
  <si>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</si>
  <si>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</si>
  <si>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</si>
  <si>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</si>
  <si>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</si>
  <si>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</si>
  <si>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</si>
  <si>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</si>
  <si>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</si>
  <si>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</si>
  <si>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</si>
  <si>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</si>
  <si>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</si>
  <si>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</si>
  <si>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</si>
  <si>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</si>
  <si>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</si>
  <si>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</si>
  <si>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</si>
  <si>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</si>
  <si>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</si>
  <si>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</si>
  <si>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</si>
  <si>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</si>
  <si>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</si>
  <si>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</si>
  <si>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</si>
  <si>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</si>
  <si>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</si>
  <si>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</si>
  <si>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</si>
  <si>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</si>
  <si>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</si>
  <si>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</si>
  <si>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</si>
  <si>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</si>
  <si>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</si>
  <si>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</si>
  <si>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</si>
  <si>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</si>
  <si>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</si>
  <si>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</si>
  <si>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</si>
  <si>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</si>
  <si>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</si>
  <si>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</si>
  <si>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</si>
  <si>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</si>
  <si>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</si>
  <si>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</si>
  <si>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</si>
  <si>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</si>
  <si>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</si>
  <si>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</si>
  <si>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</si>
  <si>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</si>
  <si>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</si>
  <si>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</si>
  <si>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</si>
  <si>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</si>
  <si>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</si>
  <si>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</si>
  <si>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</si>
  <si>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</si>
  <si>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</si>
  <si>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</si>
  <si>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</si>
  <si>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</si>
  <si>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</si>
  <si>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</si>
  <si>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</si>
  <si>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</si>
  <si>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</si>
  <si>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</si>
  <si>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</si>
  <si>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</si>
  <si>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</si>
  <si>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</si>
  <si>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</si>
  <si>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</si>
  <si>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</si>
  <si>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</si>
  <si>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</si>
  <si>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</si>
  <si>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</si>
  <si>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</si>
  <si>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</si>
  <si>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</si>
  <si>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</si>
  <si>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</si>
  <si>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</si>
  <si>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</si>
  <si>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</si>
  <si>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</si>
  <si>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</si>
  <si>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</si>
  <si>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</si>
  <si>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</si>
  <si>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</si>
  <si>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</si>
  <si>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</si>
  <si>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</si>
  <si>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</si>
  <si>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</si>
  <si>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</si>
  <si>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</si>
  <si>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</si>
  <si>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</si>
  <si>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</si>
  <si>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</si>
  <si>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</si>
  <si>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</si>
  <si>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</si>
  <si>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</si>
  <si>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</si>
  <si>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</si>
  <si>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</si>
  <si>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</si>
  <si>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</si>
  <si>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</si>
  <si>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</si>
  <si>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</si>
  <si>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</si>
  <si>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</si>
  <si>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</si>
  <si>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</si>
  <si>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</si>
  <si>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</si>
  <si>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</si>
  <si>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</si>
  <si>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</si>
  <si>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</si>
  <si>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</si>
  <si>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</si>
  <si>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</si>
  <si>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</si>
  <si>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</si>
  <si>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</si>
  <si>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</si>
  <si>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</si>
  <si>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</si>
  <si>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</si>
  <si>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</si>
  <si>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</si>
  <si>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</si>
  <si>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</si>
  <si>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</si>
  <si>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</si>
  <si>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</si>
  <si>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</si>
  <si>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</si>
  <si>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</si>
  <si>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</si>
  <si>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</si>
  <si>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</si>
  <si>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</si>
  <si>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</si>
  <si>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</si>
  <si>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</si>
  <si>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</si>
  <si>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</si>
  <si>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</si>
  <si>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</si>
  <si>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</si>
  <si>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</si>
  <si>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</si>
  <si>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</si>
  <si>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</si>
  <si>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</si>
  <si>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</si>
  <si>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</si>
  <si>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</si>
  <si>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</si>
  <si>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</si>
  <si>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</si>
  <si>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</si>
  <si>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</si>
  <si>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</si>
  <si>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</si>
  <si>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</si>
  <si>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</si>
  <si>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</si>
  <si>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</si>
  <si>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</si>
  <si>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</si>
  <si>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</si>
  <si>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</si>
  <si>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</si>
  <si>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</si>
  <si>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</si>
  <si>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</si>
  <si>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</si>
  <si>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</si>
  <si>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</si>
  <si>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</si>
  <si>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</si>
  <si>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</si>
  <si>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</si>
  <si>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</si>
  <si>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</si>
  <si>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</si>
  <si>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</si>
  <si>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</si>
  <si>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</si>
  <si>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</si>
  <si>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</si>
  <si>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</si>
  <si>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</si>
  <si>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</si>
  <si>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</si>
  <si>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</si>
  <si>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</si>
  <si>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</si>
  <si>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</si>
  <si>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</si>
  <si>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</si>
  <si>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</si>
  <si>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</si>
  <si>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</si>
  <si>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</si>
  <si>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</si>
  <si>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</si>
  <si>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</si>
  <si>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</si>
  <si>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</si>
  <si>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</si>
  <si>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</si>
  <si>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</si>
  <si>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</si>
  <si>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</si>
  <si>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</si>
  <si>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</si>
  <si>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</si>
  <si>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</si>
  <si>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</si>
  <si>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</si>
  <si>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</si>
  <si>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</si>
  <si>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</si>
  <si>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</si>
  <si>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</si>
  <si>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</si>
  <si>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</si>
  <si>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</si>
  <si>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</si>
  <si>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</si>
  <si>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</si>
  <si>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</si>
  <si>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</si>
  <si>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</si>
  <si>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</si>
  <si>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</si>
  <si>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</si>
  <si>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</si>
  <si>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</si>
  <si>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</si>
  <si>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</si>
  <si>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</si>
  <si>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</si>
  <si>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</si>
  <si>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</si>
  <si>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</si>
  <si>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</si>
  <si>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</si>
  <si>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</si>
  <si>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</si>
  <si>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</si>
  <si>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</si>
  <si>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</si>
  <si>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</si>
  <si>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</si>
  <si>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</si>
  <si>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</si>
  <si>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</si>
  <si>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</si>
  <si>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</si>
  <si>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</si>
  <si>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</si>
  <si>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</si>
  <si>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</si>
  <si>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</si>
  <si>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</si>
  <si>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</si>
  <si>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</si>
  <si>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</si>
  <si>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</si>
  <si>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</si>
  <si>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</si>
  <si>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</si>
  <si>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</si>
  <si>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</si>
  <si>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</si>
  <si>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</si>
  <si>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</si>
  <si>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</si>
  <si>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</si>
  <si>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</si>
  <si>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</si>
  <si>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</si>
  <si>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</si>
  <si>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</si>
  <si>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</si>
  <si>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</si>
  <si>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</si>
  <si>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</si>
  <si>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</si>
  <si>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</si>
  <si>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</si>
  <si>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</si>
  <si>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</si>
  <si>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</si>
  <si>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</si>
  <si>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</si>
  <si>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</si>
  <si>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</si>
  <si>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</si>
  <si>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</si>
  <si>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</si>
  <si>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</si>
  <si>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</si>
  <si>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</si>
  <si>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</si>
  <si>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</si>
  <si>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</si>
  <si>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</si>
  <si>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</si>
  <si>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</si>
  <si>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</si>
  <si>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</si>
  <si>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</si>
  <si>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</si>
  <si>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</si>
  <si>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</si>
  <si>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</si>
  <si>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</si>
  <si>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</si>
  <si>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</si>
  <si>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</si>
  <si>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</si>
  <si>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</si>
  <si>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</si>
  <si>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</si>
  <si>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</si>
  <si>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</si>
  <si>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</si>
  <si>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</si>
  <si>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</si>
  <si>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</si>
  <si>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</si>
  <si>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</si>
  <si>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</si>
  <si>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</si>
  <si>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</si>
  <si>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</si>
  <si>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</si>
  <si>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</si>
  <si>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</si>
  <si>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</si>
  <si>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</si>
  <si>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</si>
  <si>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</si>
  <si>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</si>
  <si>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</si>
  <si>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</si>
  <si>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</si>
  <si>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</si>
  <si>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</si>
  <si>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</si>
  <si>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</si>
  <si>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</si>
  <si>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</si>
  <si>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</si>
  <si>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</si>
  <si>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</si>
  <si>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</si>
  <si>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</si>
  <si>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</si>
  <si>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</si>
  <si>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</si>
  <si>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</si>
  <si>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</si>
  <si>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</si>
  <si>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</si>
  <si>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</si>
  <si>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</si>
  <si>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</si>
  <si>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</si>
  <si>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</si>
  <si>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</si>
  <si>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</si>
  <si>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</si>
  <si>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</si>
  <si>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</si>
  <si>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</si>
  <si>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</si>
  <si>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</si>
  <si>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</si>
  <si>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</si>
  <si>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</si>
  <si>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</si>
  <si>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</si>
  <si>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</si>
  <si>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</si>
  <si>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</si>
  <si>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</si>
  <si>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</si>
  <si>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</si>
  <si>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</si>
  <si>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</si>
  <si>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</si>
  <si>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</si>
  <si>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</si>
  <si>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</si>
  <si>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</si>
  <si>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</si>
  <si>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</si>
  <si>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</si>
  <si>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</si>
  <si>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</si>
  <si>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</si>
  <si>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</si>
  <si>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</si>
  <si>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</si>
  <si>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</si>
  <si>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</si>
  <si>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</si>
  <si>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</si>
  <si>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</si>
  <si>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</si>
  <si>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</si>
  <si>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</si>
  <si>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</si>
  <si>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</si>
  <si>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</si>
  <si>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</si>
  <si>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</si>
  <si>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</si>
  <si>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</si>
  <si>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</si>
  <si>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</si>
  <si>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</si>
  <si>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</si>
  <si>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</si>
  <si>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</si>
  <si>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</si>
  <si>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</si>
  <si>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</si>
  <si>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</si>
  <si>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</si>
  <si>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</si>
  <si>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</si>
  <si>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</si>
  <si>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</si>
  <si>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</si>
  <si>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</si>
  <si>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</si>
  <si>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</si>
  <si>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</si>
  <si>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</si>
  <si>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</si>
  <si>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</si>
  <si>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</si>
  <si>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</si>
  <si>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</si>
  <si>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</si>
  <si>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</si>
  <si>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</si>
  <si>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</si>
  <si>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</si>
  <si>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</si>
  <si>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</si>
  <si>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</si>
  <si>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</si>
  <si>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</si>
  <si>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</si>
  <si>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</si>
  <si>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</si>
  <si>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</si>
  <si>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</si>
  <si>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</si>
  <si>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</si>
  <si>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</si>
  <si>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</si>
  <si>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</si>
  <si>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</si>
  <si>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</si>
  <si>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</si>
  <si>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</si>
  <si>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</si>
  <si>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</si>
  <si>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</si>
  <si>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</si>
  <si>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</si>
  <si>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</si>
  <si>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</si>
  <si>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</si>
  <si>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</si>
  <si>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</si>
  <si>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</si>
  <si>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</si>
  <si>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</si>
  <si>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</si>
  <si>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</si>
  <si>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</si>
  <si>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</si>
  <si>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</si>
  <si>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</si>
  <si>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</si>
  <si>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</si>
  <si>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</si>
  <si>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</si>
  <si>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</si>
  <si>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</si>
  <si>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</si>
  <si>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</si>
  <si>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</si>
  <si>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</si>
  <si>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</si>
  <si>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</si>
  <si>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</si>
  <si>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</si>
  <si>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</si>
  <si>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</si>
  <si>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</si>
  <si>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</si>
  <si>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</si>
  <si>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</si>
  <si>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</si>
  <si>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</si>
  <si>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</si>
  <si>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</si>
  <si>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</si>
  <si>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</si>
  <si>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</si>
  <si>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</si>
  <si>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</si>
  <si>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</si>
  <si>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</si>
  <si>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</si>
  <si>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</si>
  <si>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</si>
  <si>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</si>
  <si>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</si>
  <si>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</si>
  <si>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</si>
  <si>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</si>
  <si>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</si>
  <si>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</si>
  <si>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</si>
  <si>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</si>
  <si>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</si>
  <si>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</si>
  <si>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</si>
  <si>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</si>
  <si>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</si>
  <si>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</si>
  <si>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</si>
  <si>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</si>
  <si>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</si>
  <si>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</si>
  <si>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</si>
  <si>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</si>
  <si>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</si>
  <si>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</si>
  <si>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</si>
  <si>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</si>
  <si>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</si>
  <si>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</si>
  <si>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</si>
  <si>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</si>
  <si>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</si>
  <si>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</si>
  <si>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</si>
  <si>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</si>
  <si>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</si>
  <si>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</si>
  <si>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</si>
  <si>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</si>
  <si>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</si>
  <si>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</si>
  <si>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</si>
  <si>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</si>
  <si>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</si>
  <si>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</si>
  <si>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</si>
  <si>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</si>
  <si>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</si>
  <si>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</si>
  <si>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</si>
  <si>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</si>
  <si>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</si>
  <si>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</si>
  <si>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</si>
  <si>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</si>
  <si>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</si>
  <si>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</si>
  <si>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</si>
  <si>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</si>
  <si>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</si>
  <si>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</si>
  <si>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</si>
  <si>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</si>
  <si>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</si>
  <si>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</si>
  <si>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</si>
  <si>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</si>
  <si>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</si>
  <si>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</si>
  <si>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</si>
  <si>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</si>
  <si>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</si>
  <si>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</si>
  <si>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</si>
  <si>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</si>
  <si>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</si>
  <si>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</si>
  <si>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</si>
  <si>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</si>
  <si>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</si>
  <si>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</si>
  <si>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</si>
  <si>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</si>
  <si>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</si>
  <si>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</si>
  <si>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</si>
  <si>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</si>
  <si>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</si>
  <si>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</si>
  <si>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</si>
  <si>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</si>
  <si>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</si>
  <si>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</si>
  <si>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</si>
  <si>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</si>
  <si>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</si>
  <si>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</si>
  <si>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</si>
  <si>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</si>
  <si>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</si>
  <si>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</si>
  <si>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</si>
  <si>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</si>
  <si>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</si>
  <si>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</si>
  <si>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</si>
  <si>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</si>
  <si>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</si>
  <si>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</si>
  <si>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</si>
  <si>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</si>
  <si>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</si>
  <si>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</si>
  <si>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</si>
  <si>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</si>
  <si>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</si>
  <si>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</si>
  <si>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</si>
  <si>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</si>
  <si>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</si>
  <si>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</si>
  <si>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</si>
  <si>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</si>
  <si>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</si>
  <si>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</si>
  <si>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</si>
  <si>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</si>
  <si>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</si>
  <si>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</si>
  <si>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</si>
  <si>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</si>
  <si>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</si>
  <si>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</si>
  <si>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</si>
  <si>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</si>
  <si>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</si>
  <si>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</si>
  <si>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</si>
  <si>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</si>
  <si>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</si>
  <si>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</si>
  <si>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</si>
  <si>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</si>
  <si>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</si>
  <si>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</si>
  <si>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</si>
  <si>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</si>
  <si>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</si>
  <si>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</si>
  <si>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</si>
  <si>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</si>
  <si>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</si>
  <si>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</si>
  <si>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</si>
  <si>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</si>
  <si>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</si>
  <si>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</si>
  <si>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</si>
  <si>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</si>
  <si>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</si>
  <si>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</si>
  <si>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</si>
  <si>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</si>
  <si>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</si>
  <si>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</si>
  <si>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</si>
  <si>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</si>
  <si>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</si>
  <si>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</si>
  <si>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</si>
  <si>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</si>
  <si>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</si>
  <si>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</si>
  <si>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</si>
  <si>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</si>
  <si>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</si>
  <si>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</si>
  <si>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</si>
  <si>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</si>
  <si>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</si>
  <si>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</si>
  <si>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</si>
  <si>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</si>
  <si>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</si>
  <si>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</si>
  <si>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</si>
  <si>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</si>
  <si>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</si>
  <si>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</si>
  <si>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</si>
  <si>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</si>
  <si>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</si>
  <si>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</si>
  <si>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</si>
  <si>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</si>
  <si>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</si>
  <si>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</si>
  <si>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</si>
  <si>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</si>
  <si>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</si>
  <si>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</si>
  <si>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</si>
  <si>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</si>
  <si>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</si>
  <si>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</si>
  <si>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</si>
  <si>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</si>
  <si>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</si>
  <si>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</si>
  <si>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</si>
  <si>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</si>
  <si>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</si>
  <si>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</si>
  <si>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</si>
  <si>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</si>
  <si>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</si>
  <si>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</si>
  <si>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</si>
  <si>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</si>
  <si>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</si>
  <si>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</si>
  <si>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</si>
  <si>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</si>
  <si>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</si>
  <si>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</si>
  <si>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</si>
  <si>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</si>
  <si>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</si>
  <si>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</si>
  <si>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</si>
  <si>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</si>
  <si>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</si>
  <si>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</si>
  <si>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</si>
  <si>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</si>
  <si>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</si>
  <si>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</si>
  <si>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</si>
  <si>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</si>
  <si>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</si>
  <si>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</si>
  <si>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</si>
  <si>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</si>
  <si>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</si>
  <si>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</si>
  <si>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</si>
  <si>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</si>
  <si>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</si>
  <si>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</si>
  <si>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</si>
  <si>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</si>
  <si>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</si>
  <si>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</si>
  <si>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</si>
  <si>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</si>
  <si>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</si>
  <si>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</si>
  <si>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</si>
  <si>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</si>
  <si>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</si>
  <si>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</si>
  <si>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</si>
  <si>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</si>
  <si>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</si>
  <si>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</si>
  <si>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</si>
  <si>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</si>
  <si>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</si>
  <si>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</si>
  <si>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</si>
  <si>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</si>
  <si>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</si>
  <si>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</si>
  <si>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</si>
  <si>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</si>
  <si>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</si>
  <si>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</si>
  <si>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</si>
  <si>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</si>
  <si>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</si>
  <si>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</si>
  <si>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</si>
  <si>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</si>
  <si>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</si>
  <si>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</si>
  <si>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</si>
  <si>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</si>
  <si>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</si>
  <si>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</si>
  <si>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</si>
  <si>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</si>
  <si>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</si>
  <si>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</si>
  <si>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</si>
  <si>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</si>
  <si>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</si>
  <si>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</si>
  <si>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</si>
  <si>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</si>
  <si>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</si>
  <si>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</si>
  <si>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</si>
  <si>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</si>
  <si>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</si>
  <si>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</si>
  <si>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</si>
  <si>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</si>
  <si>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</si>
  <si>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</si>
  <si>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</si>
  <si>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</si>
  <si>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</si>
  <si>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</si>
  <si>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</si>
  <si>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</si>
  <si>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</si>
  <si>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</si>
  <si>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</si>
  <si>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</si>
  <si>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</si>
  <si>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</si>
  <si>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</si>
  <si>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</si>
  <si>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</si>
  <si>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</si>
  <si>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</si>
  <si>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</si>
  <si>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</si>
  <si>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</si>
  <si>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</si>
  <si>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</si>
  <si>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</si>
  <si>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</si>
  <si>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</si>
  <si>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</si>
  <si>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</si>
  <si>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</si>
  <si>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</si>
  <si>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</si>
  <si>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</si>
  <si>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</si>
  <si>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</si>
  <si>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</si>
  <si>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</si>
  <si>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</si>
  <si>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</si>
  <si>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</si>
  <si>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</si>
  <si>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</si>
  <si>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</si>
  <si>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</si>
  <si>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</si>
  <si>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</si>
  <si>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</si>
  <si>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</si>
  <si>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</si>
  <si>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</si>
  <si>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</si>
  <si>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</si>
  <si>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</si>
  <si>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</si>
  <si>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</si>
  <si>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</si>
  <si>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</si>
  <si>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</si>
  <si>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</si>
  <si>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</si>
  <si>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</si>
  <si>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</si>
  <si>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</si>
  <si>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</si>
  <si>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</si>
  <si>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</si>
  <si>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</si>
  <si>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</si>
  <si>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</si>
  <si>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</si>
  <si>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</si>
  <si>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</si>
  <si>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</si>
  <si>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</si>
  <si>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</si>
  <si>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</si>
  <si>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</si>
  <si>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</si>
  <si>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</si>
  <si>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</si>
  <si>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</si>
  <si>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</si>
  <si>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</si>
  <si>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</si>
  <si>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</si>
  <si>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</si>
  <si>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</si>
  <si>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</si>
  <si>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</si>
  <si>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</si>
  <si>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</si>
  <si>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</si>
  <si>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</si>
  <si>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</si>
  <si>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</si>
  <si>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</si>
  <si>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</si>
  <si>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</si>
  <si>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</si>
  <si>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</si>
  <si>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</si>
  <si>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</si>
  <si>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</si>
  <si>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</si>
  <si>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</si>
  <si>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</si>
  <si>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</si>
  <si>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</si>
  <si>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</si>
  <si>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</si>
  <si>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</si>
  <si>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</si>
  <si>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</si>
  <si>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</si>
  <si>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</si>
  <si>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</si>
  <si>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</si>
  <si>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</si>
  <si>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</si>
  <si>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</si>
  <si>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</si>
  <si>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</si>
  <si>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</si>
  <si>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</si>
  <si>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</si>
  <si>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</si>
  <si>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</si>
  <si>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</si>
  <si>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</si>
  <si>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</si>
  <si>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</si>
  <si>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</si>
  <si>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</si>
  <si>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</si>
  <si>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</si>
  <si>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</si>
  <si>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</si>
  <si>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</si>
  <si>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</si>
  <si>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</si>
  <si>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</si>
  <si>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</si>
  <si>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</si>
  <si>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</si>
  <si>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</si>
  <si>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</si>
  <si>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</si>
  <si>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</si>
  <si>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</si>
  <si>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</si>
  <si>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</si>
  <si>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</si>
  <si>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</si>
  <si>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</si>
  <si>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</si>
  <si>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</si>
  <si>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</si>
  <si>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</si>
  <si>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</si>
  <si>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</si>
  <si>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</si>
  <si>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</si>
  <si>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</si>
  <si>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</si>
  <si>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</si>
  <si>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</si>
  <si>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</si>
  <si>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</si>
  <si>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</si>
  <si>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</si>
  <si>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</si>
  <si>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</si>
  <si>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</si>
  <si>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</si>
  <si>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</si>
  <si>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</si>
  <si>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</si>
  <si>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</si>
  <si>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</si>
  <si>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</si>
  <si>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</si>
  <si>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</si>
  <si>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</si>
  <si>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</si>
  <si>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</si>
  <si>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</si>
  <si>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</si>
  <si>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</si>
  <si>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</si>
  <si>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</si>
  <si>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</si>
  <si>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</si>
  <si>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</si>
  <si>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</si>
  <si>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</si>
  <si>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</si>
  <si>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</si>
  <si>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</si>
  <si>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</si>
  <si>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</si>
  <si>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</si>
  <si>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</si>
  <si>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</si>
  <si>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</si>
  <si>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</si>
  <si>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</si>
  <si>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</si>
  <si>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</si>
  <si>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</si>
  <si>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</si>
  <si>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</si>
  <si>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</si>
  <si>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</si>
  <si>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</si>
  <si>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</si>
  <si>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</si>
  <si>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</si>
  <si>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</si>
  <si>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</si>
  <si>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</si>
  <si>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</si>
  <si>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</si>
  <si>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</si>
  <si>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</si>
  <si>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</si>
  <si>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</si>
  <si>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</si>
  <si>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</si>
  <si>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</si>
  <si>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</si>
  <si>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</si>
  <si>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</si>
  <si>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</si>
  <si>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</si>
  <si>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</si>
  <si>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</si>
  <si>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</si>
  <si>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</si>
  <si>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</si>
  <si>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</si>
  <si>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</si>
  <si>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</si>
  <si>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</si>
  <si>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</si>
  <si>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</si>
  <si>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</si>
  <si>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</si>
  <si>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</si>
  <si>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</si>
  <si>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</si>
  <si>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</si>
  <si>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</si>
  <si>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</si>
  <si>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</si>
  <si>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</si>
  <si>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</si>
  <si>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</si>
  <si>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</si>
  <si>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</si>
  <si>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</si>
  <si>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</si>
  <si>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</si>
  <si>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</si>
  <si>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</si>
  <si>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</si>
  <si>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</si>
  <si>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</si>
  <si>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</si>
  <si>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</si>
  <si>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</si>
  <si>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</si>
  <si>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</si>
  <si>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</si>
  <si>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</si>
  <si>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</si>
  <si>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</si>
  <si>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</si>
  <si>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</si>
  <si>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</si>
  <si>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</si>
  <si>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</si>
  <si>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</si>
  <si>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</si>
  <si>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</si>
  <si>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</si>
  <si>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</si>
  <si>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</si>
  <si>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</si>
  <si>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</si>
  <si>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</si>
  <si>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</si>
  <si>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</si>
  <si>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</si>
  <si>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</si>
  <si>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</si>
  <si>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</si>
  <si>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</si>
  <si>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</si>
  <si>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</si>
  <si>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</si>
  <si>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</si>
  <si>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</si>
  <si>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</si>
  <si>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</si>
  <si>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</si>
  <si>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</si>
  <si>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</si>
  <si>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</si>
  <si>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</si>
  <si>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</si>
  <si>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</si>
  <si>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</si>
  <si>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</si>
  <si>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</si>
  <si>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</si>
  <si>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</si>
  <si>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</si>
  <si>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</si>
  <si>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</si>
  <si>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</si>
  <si>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</si>
  <si>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</si>
  <si>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</si>
  <si>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</si>
  <si>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</si>
  <si>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</si>
  <si>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</si>
  <si>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</si>
  <si>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</si>
  <si>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</si>
  <si>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</si>
  <si>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</si>
  <si>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</si>
  <si>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</si>
  <si>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</si>
  <si>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</si>
  <si>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</si>
  <si>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</si>
  <si>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</si>
  <si>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</si>
  <si>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</si>
  <si>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</si>
  <si>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</si>
  <si>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</si>
  <si>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</si>
  <si>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</si>
  <si>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</si>
  <si>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</si>
  <si>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</si>
  <si>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</si>
  <si>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</si>
  <si>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</si>
  <si>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</si>
  <si>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</si>
  <si>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</si>
  <si>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</si>
  <si>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</si>
  <si>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</si>
  <si>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</si>
  <si>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</si>
  <si>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</si>
  <si>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</si>
  <si>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</si>
  <si>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</si>
  <si>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</si>
  <si>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</si>
  <si>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</si>
  <si>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</si>
  <si>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</si>
  <si>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</si>
  <si>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</si>
  <si>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</si>
  <si>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</si>
  <si>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</si>
  <si>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</si>
  <si>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</si>
  <si>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</si>
  <si>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</si>
  <si>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</si>
  <si>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</si>
  <si>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</si>
  <si>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</si>
  <si>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</si>
  <si>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</si>
  <si>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</si>
  <si>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</si>
  <si>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</si>
  <si>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</si>
  <si>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</si>
  <si>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</si>
  <si>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</si>
  <si>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</si>
  <si>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</si>
  <si>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</si>
  <si>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</si>
  <si>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</si>
  <si>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</si>
  <si>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</si>
  <si>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</si>
  <si>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</si>
  <si>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</si>
  <si>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</si>
  <si>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</si>
  <si>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</si>
  <si>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</si>
  <si>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</si>
  <si>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</si>
  <si>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</si>
  <si>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</si>
  <si>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</si>
  <si>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</si>
  <si>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</si>
  <si>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</si>
  <si>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</si>
  <si>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</si>
  <si>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</si>
  <si>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</si>
  <si>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</si>
  <si>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</si>
  <si>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</si>
  <si>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</si>
  <si>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</si>
  <si>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</si>
  <si>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</si>
  <si>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</si>
  <si>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</si>
  <si>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</si>
  <si>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</si>
  <si>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</si>
  <si>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</si>
  <si>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</si>
  <si>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</si>
  <si>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</si>
  <si>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</si>
  <si>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</si>
  <si>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</si>
  <si>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</si>
  <si>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</si>
  <si>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</si>
  <si>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</si>
  <si>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</si>
  <si>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</si>
  <si>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</si>
  <si>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</si>
  <si>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</si>
  <si>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</si>
  <si>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</si>
  <si>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</si>
  <si>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</si>
  <si>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</si>
  <si>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</si>
  <si>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</si>
  <si>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</si>
  <si>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</si>
  <si>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</si>
  <si>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</si>
  <si>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</si>
  <si>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</si>
  <si>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</si>
  <si>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</si>
  <si>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</si>
  <si>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</si>
  <si>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</si>
  <si>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</si>
  <si>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</si>
  <si>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</si>
  <si>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</si>
  <si>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</si>
  <si>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</si>
  <si>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</si>
  <si>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</si>
  <si>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</si>
  <si>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</si>
  <si>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</si>
  <si>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</si>
  <si>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</si>
  <si>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</si>
  <si>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</si>
  <si>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</si>
  <si>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</si>
  <si>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</si>
  <si>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</si>
  <si>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</si>
  <si>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</si>
  <si>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</si>
  <si>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</si>
  <si>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</si>
  <si>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</si>
  <si>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</si>
  <si>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</si>
  <si>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</si>
  <si>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</si>
  <si>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</si>
  <si>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</si>
  <si>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</si>
  <si>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</si>
  <si>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</si>
  <si>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</si>
  <si>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</si>
  <si>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</si>
  <si>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</si>
  <si>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</si>
  <si>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</si>
  <si>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</si>
  <si>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</si>
  <si>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</si>
  <si>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</si>
  <si>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</si>
  <si>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</si>
  <si>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</si>
  <si>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</si>
  <si>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</si>
  <si>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</si>
  <si>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</si>
  <si>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</si>
  <si>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</si>
  <si>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</si>
  <si>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</si>
  <si>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</si>
  <si>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</si>
  <si>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</si>
  <si>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</si>
  <si>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</si>
  <si>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</si>
  <si>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</si>
  <si>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</si>
  <si>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</si>
  <si>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</si>
  <si>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</si>
  <si>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</si>
  <si>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</si>
  <si>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</si>
  <si>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</si>
  <si>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</si>
  <si>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</si>
  <si>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</si>
  <si>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</si>
  <si>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</si>
  <si>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</si>
  <si>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</si>
  <si>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</si>
  <si>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</si>
  <si>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</si>
  <si>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</si>
  <si>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</si>
  <si>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</si>
  <si>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</si>
  <si>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</si>
  <si>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</si>
  <si>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</si>
  <si>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</si>
  <si>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</si>
  <si>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</si>
  <si>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</si>
  <si>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</si>
  <si>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</si>
  <si>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</si>
  <si>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</si>
  <si>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</si>
  <si>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</si>
  <si>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</si>
  <si>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</si>
  <si>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</si>
  <si>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</si>
  <si>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</si>
  <si>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</si>
  <si>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</si>
  <si>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</si>
  <si>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</si>
  <si>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</si>
  <si>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</si>
  <si>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</si>
  <si>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</si>
  <si>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</si>
  <si>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</si>
  <si>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</si>
  <si>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</si>
  <si>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</si>
  <si>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</si>
  <si>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</si>
  <si>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</si>
  <si>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</si>
  <si>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</si>
  <si>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</si>
  <si>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</si>
  <si>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</si>
  <si>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</si>
  <si>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</si>
  <si>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</si>
  <si>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</si>
  <si>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</si>
  <si>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</si>
  <si>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</si>
  <si>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</si>
  <si>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</si>
  <si>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</si>
  <si>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</si>
  <si>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</si>
  <si>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</si>
  <si>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</si>
  <si>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</si>
  <si>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</si>
  <si>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</si>
  <si>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</si>
  <si>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</si>
  <si>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</si>
  <si>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</si>
  <si>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</si>
  <si>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</si>
  <si>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</si>
  <si>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</si>
  <si>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</si>
  <si>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</si>
  <si>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</si>
  <si>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</si>
  <si>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</si>
  <si>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</si>
  <si>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</si>
  <si>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</si>
  <si>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</si>
  <si>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</si>
  <si>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</si>
  <si>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</si>
  <si>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</si>
  <si>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</si>
  <si>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</si>
  <si>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</si>
  <si>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</si>
  <si>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</si>
  <si>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</si>
  <si>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</si>
  <si>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</si>
  <si>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</si>
  <si>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</si>
  <si>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</si>
  <si>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</si>
  <si>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</si>
  <si>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</si>
  <si>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</si>
  <si>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</si>
  <si>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</si>
  <si>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</si>
  <si>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</si>
  <si>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</si>
  <si>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</si>
  <si>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</si>
  <si>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</si>
  <si>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</si>
  <si>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</si>
  <si>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</si>
  <si>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</si>
  <si>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</si>
  <si>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</si>
  <si>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</si>
  <si>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</si>
  <si>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</si>
  <si>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</si>
  <si>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</si>
  <si>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</si>
  <si>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</si>
  <si>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</si>
  <si>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</si>
  <si>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</si>
  <si>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</si>
  <si>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</si>
  <si>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</si>
  <si>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</si>
  <si>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</si>
  <si>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</si>
  <si>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</si>
  <si>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</si>
  <si>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</si>
  <si>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</si>
  <si>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</si>
  <si>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</si>
  <si>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</si>
  <si>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</si>
  <si>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</si>
  <si>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</si>
  <si>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</si>
  <si>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</si>
  <si>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</si>
  <si>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</si>
  <si>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</si>
  <si>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</si>
  <si>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</si>
  <si>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</si>
  <si>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</si>
  <si>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</si>
  <si>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</si>
  <si>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</si>
  <si>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</si>
  <si>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</si>
  <si>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</si>
  <si>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</si>
  <si>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</si>
  <si>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</si>
  <si>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</si>
  <si>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</si>
  <si>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</si>
  <si>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</si>
  <si>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</si>
  <si>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</si>
  <si>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</si>
  <si>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</si>
  <si>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</si>
  <si>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</si>
  <si>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</si>
  <si>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</si>
  <si>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</si>
  <si>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</si>
  <si>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</si>
  <si>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</si>
  <si>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</si>
  <si>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</si>
  <si>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</si>
  <si>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</si>
  <si>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</si>
  <si>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</si>
  <si>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</si>
  <si>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</si>
  <si>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</si>
  <si>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</si>
  <si>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</si>
  <si>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</si>
  <si>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</si>
  <si>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</si>
  <si>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</si>
  <si>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</si>
  <si>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</si>
  <si>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</si>
  <si>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</si>
  <si>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</si>
  <si>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</si>
  <si>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</si>
  <si>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</si>
  <si>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</si>
  <si>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</si>
  <si>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</si>
  <si>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</si>
  <si>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</si>
  <si>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</si>
  <si>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</si>
  <si>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</si>
  <si>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</si>
  <si>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</si>
  <si>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</si>
  <si>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</si>
  <si>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</si>
  <si>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</si>
  <si>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</si>
  <si>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</si>
  <si>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</si>
  <si>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</si>
  <si>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</si>
  <si>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</si>
  <si>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</si>
  <si>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</si>
  <si>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</si>
  <si>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</si>
  <si>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</si>
  <si>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</si>
  <si>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</si>
  <si>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</si>
  <si>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</si>
  <si>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</si>
  <si>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</si>
  <si>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</si>
  <si>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</si>
  <si>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</si>
  <si>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</si>
  <si>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</si>
  <si>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</si>
  <si>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</si>
  <si>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</si>
  <si>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</si>
  <si>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</si>
  <si>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</si>
  <si>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</si>
  <si>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</si>
  <si>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</si>
  <si>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</si>
  <si>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</si>
  <si>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</si>
  <si>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</si>
  <si>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</si>
  <si>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</si>
  <si>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</si>
  <si>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</si>
  <si>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</si>
  <si>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</si>
  <si>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</si>
  <si>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</si>
  <si>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</si>
  <si>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</si>
  <si>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</si>
  <si>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</si>
  <si>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</si>
  <si>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</si>
  <si>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</si>
  <si>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</si>
  <si>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</si>
  <si>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</si>
  <si>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</si>
  <si>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</si>
  <si>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</si>
  <si>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</si>
  <si>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</si>
  <si>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</si>
  <si>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</si>
  <si>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</si>
  <si>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</si>
  <si>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</si>
  <si>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</si>
  <si>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</si>
  <si>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</si>
  <si>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</si>
  <si>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</si>
  <si>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</si>
  <si>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</si>
  <si>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</si>
  <si>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</si>
  <si>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</si>
  <si>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</si>
  <si>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</si>
  <si>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</si>
  <si>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</si>
  <si>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</si>
  <si>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</si>
  <si>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</si>
  <si>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</si>
  <si>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</si>
  <si>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</si>
  <si>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</si>
  <si>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</si>
  <si>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</si>
  <si>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</si>
  <si>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</si>
  <si>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</si>
  <si>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</si>
  <si>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</si>
  <si>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</si>
  <si>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</si>
  <si>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</si>
  <si>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</si>
  <si>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</si>
  <si>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</si>
  <si>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</si>
  <si>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</si>
  <si>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</si>
  <si>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</si>
  <si>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</si>
  <si>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</si>
  <si>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</si>
  <si>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</si>
  <si>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</si>
  <si>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</si>
  <si>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</si>
  <si>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</si>
  <si>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</si>
  <si>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</si>
  <si>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</si>
  <si>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</si>
  <si>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</si>
  <si>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</si>
  <si>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</si>
  <si>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</si>
  <si>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</si>
  <si>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</si>
  <si>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</si>
  <si>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</si>
  <si>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</si>
  <si>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</si>
  <si>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</si>
  <si>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</si>
  <si>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</si>
  <si>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</si>
  <si>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</si>
  <si>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</si>
  <si>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</si>
  <si>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</si>
  <si>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</si>
  <si>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</si>
  <si>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</si>
  <si>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</si>
  <si>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</si>
  <si>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</si>
  <si>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</si>
  <si>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</si>
  <si>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</si>
  <si>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</si>
  <si>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</si>
  <si>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</si>
  <si>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</si>
  <si>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</si>
  <si>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</si>
  <si>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</si>
  <si>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</si>
  <si>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</si>
  <si>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</si>
  <si>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</si>
  <si>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</si>
  <si>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</si>
  <si>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</si>
  <si>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</si>
  <si>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</si>
  <si>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</si>
  <si>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</si>
  <si>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</si>
  <si>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</si>
  <si>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</si>
  <si>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</si>
  <si>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</si>
  <si>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</si>
  <si>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</si>
  <si>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</si>
  <si>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</si>
  <si>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</si>
  <si>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</si>
  <si>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</si>
  <si>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</si>
  <si>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</si>
  <si>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</si>
  <si>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</si>
  <si>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</si>
  <si>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</si>
  <si>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</si>
  <si>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</si>
  <si>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</si>
  <si>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</si>
  <si>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</si>
  <si>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</si>
  <si>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</si>
  <si>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</si>
  <si>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</si>
  <si>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</si>
  <si>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</si>
  <si>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</si>
  <si>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</si>
  <si>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</si>
  <si>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</si>
  <si>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</si>
  <si>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</si>
  <si>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</si>
  <si>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</si>
  <si>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</si>
  <si>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</si>
  <si>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</si>
  <si>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</si>
  <si>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</si>
  <si>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</si>
  <si>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</si>
  <si>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</si>
  <si>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</si>
  <si>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</si>
  <si>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</si>
  <si>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</si>
  <si>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</si>
  <si>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</si>
  <si>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</si>
  <si>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</si>
  <si>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</si>
  <si>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</si>
  <si>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</si>
  <si>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</si>
  <si>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</si>
  <si>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</si>
  <si>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</si>
  <si>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</si>
  <si>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</si>
  <si>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</si>
  <si>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</si>
  <si>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</si>
  <si>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</si>
  <si>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</si>
  <si>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</si>
  <si>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</si>
  <si>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</si>
  <si>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</si>
  <si>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</si>
  <si>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</si>
  <si>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</si>
  <si>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</si>
  <si>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</si>
  <si>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</si>
  <si>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</si>
  <si>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</si>
  <si>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</si>
  <si>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</si>
  <si>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</si>
  <si>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</si>
  <si>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</si>
  <si>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</si>
  <si>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</si>
  <si>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</si>
  <si>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</si>
  <si>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</si>
  <si>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</si>
  <si>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</si>
  <si>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</si>
  <si>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</si>
  <si>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</si>
  <si>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</si>
  <si>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</si>
  <si>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</si>
  <si>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</si>
  <si>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</si>
  <si>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</si>
  <si>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</si>
  <si>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</si>
  <si>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</si>
  <si>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</si>
  <si>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</si>
  <si>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</si>
  <si>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</si>
  <si>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</si>
  <si>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</si>
  <si>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</si>
  <si>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</si>
  <si>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</si>
  <si>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</si>
  <si>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</si>
  <si>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</si>
  <si>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</si>
  <si>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</si>
  <si>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</si>
  <si>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</si>
  <si>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</si>
  <si>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</si>
  <si>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</si>
  <si>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</si>
  <si>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</si>
  <si>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</si>
  <si>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</si>
  <si>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</si>
  <si>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</si>
  <si>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</si>
  <si>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</si>
  <si>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</si>
  <si>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</si>
  <si>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</si>
  <si>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</si>
  <si>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</si>
  <si>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</si>
  <si>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</si>
  <si>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</si>
  <si>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</si>
  <si>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</si>
  <si>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</si>
  <si>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</si>
  <si>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</si>
  <si>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</si>
  <si>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</si>
  <si>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</si>
  <si>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</si>
  <si>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</si>
  <si>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</si>
  <si>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</si>
  <si>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</si>
  <si>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</si>
  <si>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</si>
  <si>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</si>
  <si>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</si>
  <si>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</si>
  <si>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</si>
  <si>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</si>
  <si>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</si>
  <si>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</si>
  <si>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</si>
  <si>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</si>
  <si>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</si>
  <si>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</si>
  <si>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</si>
  <si>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</si>
  <si>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</si>
  <si>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</si>
  <si>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</si>
  <si>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</si>
  <si>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</si>
  <si>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</si>
  <si>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</si>
  <si>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</si>
  <si>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</si>
  <si>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</si>
  <si>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</si>
  <si>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</si>
  <si>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</si>
  <si>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</si>
  <si>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</si>
  <si>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</si>
  <si>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</si>
  <si>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</si>
  <si>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</si>
  <si>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</si>
  <si>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</si>
  <si>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</si>
  <si>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</si>
  <si>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</si>
  <si>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</si>
  <si>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</si>
  <si>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</si>
  <si>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</si>
  <si>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</si>
  <si>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</si>
  <si>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</si>
  <si>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</si>
  <si>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</si>
  <si>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</si>
  <si>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</si>
  <si>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</si>
  <si>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</si>
  <si>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</si>
  <si>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</si>
  <si>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</si>
  <si>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</si>
  <si>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</si>
  <si>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</si>
  <si>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</si>
  <si>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</si>
  <si>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</si>
  <si>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</si>
  <si>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</si>
  <si>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</si>
  <si>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</si>
  <si>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</si>
  <si>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</si>
  <si>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</si>
  <si>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</si>
  <si>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</si>
  <si>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</si>
  <si>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</si>
  <si>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</si>
  <si>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</si>
  <si>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</si>
  <si>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</si>
  <si>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</si>
  <si>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</si>
  <si>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</si>
  <si>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</si>
  <si>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</si>
  <si>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</si>
  <si>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</si>
  <si>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</si>
  <si>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</si>
  <si>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</si>
  <si>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</si>
  <si>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</si>
  <si>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</si>
  <si>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</si>
  <si>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</si>
  <si>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</si>
  <si>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</si>
  <si>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</si>
  <si>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</si>
  <si>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</si>
  <si>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</si>
  <si>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</si>
  <si>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</si>
  <si>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</si>
  <si>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</si>
  <si>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</si>
  <si>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</si>
  <si>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</si>
  <si>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</si>
  <si>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</si>
  <si>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</si>
  <si>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</si>
  <si>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</si>
  <si>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</si>
  <si>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</si>
  <si>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</si>
  <si>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</si>
  <si>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</si>
  <si>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</si>
  <si>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</si>
  <si>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</si>
  <si>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</si>
  <si>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</si>
  <si>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</si>
  <si>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</si>
  <si>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</si>
  <si>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</si>
  <si>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</si>
  <si>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</si>
  <si>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</si>
  <si>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</si>
  <si>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</si>
  <si>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</si>
  <si>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</si>
  <si>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</si>
  <si>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</si>
  <si>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</si>
  <si>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</si>
  <si>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</si>
  <si>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</si>
  <si>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</si>
  <si>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</si>
  <si>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</si>
  <si>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</si>
  <si>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</si>
  <si>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</si>
  <si>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</si>
  <si>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</si>
  <si>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</si>
  <si>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</si>
  <si>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</si>
  <si>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</si>
  <si>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</si>
  <si>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</si>
  <si>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</si>
  <si>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</si>
  <si>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</si>
  <si>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</si>
  <si>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</si>
  <si>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</si>
  <si>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</si>
  <si>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</si>
  <si>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</si>
  <si>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</si>
  <si>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</si>
  <si>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</si>
  <si>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</si>
  <si>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</si>
  <si>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</si>
  <si>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</si>
  <si>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</si>
  <si>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</si>
  <si>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</si>
  <si>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</si>
  <si>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</si>
  <si>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</si>
  <si>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</si>
  <si>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</si>
  <si>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</si>
  <si>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</si>
  <si>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</si>
  <si>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</si>
  <si>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</si>
  <si>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</si>
  <si>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</si>
  <si>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</si>
  <si>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</si>
  <si>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</si>
  <si>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</si>
  <si>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</si>
  <si>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</si>
  <si>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</si>
  <si>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</si>
  <si>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</si>
  <si>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</si>
  <si>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</si>
  <si>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</si>
  <si>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</si>
  <si>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</si>
  <si>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</si>
  <si>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</si>
  <si>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</si>
  <si>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</si>
  <si>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</si>
  <si>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</si>
  <si>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</si>
  <si>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</si>
  <si>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</si>
  <si>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</si>
  <si>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</si>
  <si>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</si>
  <si>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</si>
  <si>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</si>
  <si>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</si>
  <si>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</si>
  <si>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</si>
  <si>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</si>
  <si>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</si>
  <si>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</si>
  <si>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</si>
  <si>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</si>
  <si>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</si>
  <si>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</si>
  <si>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</si>
  <si>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</si>
  <si>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</si>
  <si>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</si>
  <si>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</si>
  <si>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</si>
  <si>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</si>
  <si>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</si>
  <si>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</si>
  <si>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</si>
  <si>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</si>
  <si>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</si>
  <si>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</si>
  <si>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</si>
  <si>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</si>
  <si>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</si>
  <si>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</si>
  <si>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</si>
  <si>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</si>
  <si>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</si>
  <si>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</si>
  <si>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</si>
  <si>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</si>
  <si>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</si>
  <si>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</si>
  <si>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</si>
  <si>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</si>
  <si>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</si>
  <si>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</si>
  <si>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</si>
  <si>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</si>
  <si>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</si>
  <si>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</si>
  <si>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</si>
  <si>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</si>
  <si>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</si>
  <si>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</si>
  <si>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</si>
  <si>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</si>
  <si>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</si>
  <si>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</si>
  <si>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</si>
  <si>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</si>
  <si>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</si>
  <si>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</si>
  <si>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</si>
  <si>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</si>
  <si>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</si>
  <si>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</si>
  <si>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</si>
  <si>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</si>
  <si>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</si>
  <si>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</si>
  <si>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</si>
  <si>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</si>
  <si>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</si>
  <si>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</si>
  <si>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</si>
  <si>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</si>
  <si>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</si>
  <si>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</si>
  <si>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</si>
  <si>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</si>
  <si>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</si>
  <si>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</si>
  <si>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</si>
  <si>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</si>
  <si>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</si>
  <si>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</si>
  <si>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</si>
  <si>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</si>
  <si>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</si>
  <si>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</si>
  <si>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</si>
  <si>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</si>
  <si>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</si>
  <si>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</si>
  <si>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</si>
  <si>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</si>
  <si>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</si>
  <si>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</si>
  <si>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</si>
  <si>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</si>
  <si>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</si>
  <si>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</si>
  <si>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</si>
  <si>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</si>
  <si>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</si>
  <si>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</si>
  <si>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</si>
  <si>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</si>
  <si>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</si>
  <si>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</si>
  <si>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</si>
  <si>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</si>
  <si>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</si>
  <si>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</si>
  <si>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</si>
  <si>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</si>
  <si>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</si>
  <si>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</si>
  <si>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</si>
  <si>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</si>
  <si>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</si>
  <si>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</si>
  <si>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</si>
  <si>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</si>
  <si>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</si>
  <si>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</si>
  <si>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</si>
  <si>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</si>
  <si>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</si>
  <si>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</si>
  <si>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</si>
  <si>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</si>
  <si>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</si>
  <si>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</si>
  <si>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</si>
  <si>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</si>
  <si>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</si>
  <si>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</si>
  <si>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</si>
  <si>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</si>
  <si>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</si>
  <si>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</si>
  <si>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</si>
  <si>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</si>
  <si>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</si>
  <si>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</si>
  <si>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</si>
  <si>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</si>
  <si>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</si>
  <si>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</si>
  <si>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</si>
  <si>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</si>
  <si>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</si>
  <si>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</si>
  <si>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</si>
  <si>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</si>
  <si>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</si>
  <si>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</si>
  <si>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</si>
  <si>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</si>
  <si>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</si>
  <si>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</si>
  <si>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</si>
  <si>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</si>
  <si>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</si>
  <si>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</si>
  <si>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</si>
  <si>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</si>
  <si>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</si>
  <si>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</si>
  <si>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</si>
  <si>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</si>
  <si>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</si>
  <si>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</si>
  <si>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</si>
  <si>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</si>
  <si>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</si>
  <si>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</si>
  <si>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</si>
  <si>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</si>
  <si>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</si>
  <si>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</si>
  <si>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</si>
  <si>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</si>
  <si>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</si>
  <si>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</si>
  <si>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</si>
  <si>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</si>
  <si>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</si>
  <si>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</si>
  <si>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</si>
  <si>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</si>
  <si>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</si>
  <si>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</si>
  <si>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</si>
  <si>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</si>
  <si>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</si>
  <si>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</si>
  <si>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</si>
  <si>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</si>
  <si>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</si>
  <si>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</si>
  <si>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</si>
  <si>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</si>
  <si>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</si>
  <si>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</si>
  <si>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</si>
  <si>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</si>
  <si>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</si>
  <si>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</si>
  <si>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</si>
  <si>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</si>
  <si>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</si>
  <si>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</si>
  <si>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</si>
  <si>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</si>
  <si>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</si>
  <si>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</si>
  <si>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</si>
  <si>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</si>
  <si>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</si>
  <si>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</si>
  <si>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</si>
  <si>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</si>
  <si>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</si>
  <si>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</si>
  <si>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</si>
  <si>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</si>
  <si>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</si>
  <si>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</si>
  <si>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</si>
  <si>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</si>
  <si>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</si>
  <si>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</si>
  <si>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</si>
  <si>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</si>
  <si>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</si>
  <si>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</si>
  <si>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</si>
  <si>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</si>
  <si>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</si>
  <si>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</si>
  <si>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</si>
  <si>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</si>
  <si>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</si>
  <si>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</si>
  <si>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</si>
  <si>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</si>
  <si>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</si>
  <si>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</si>
  <si>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</si>
  <si>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</si>
  <si>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</si>
  <si>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</si>
  <si>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</si>
  <si>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</si>
  <si>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</si>
  <si>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</si>
  <si>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</si>
  <si>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</si>
  <si>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</si>
  <si>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</si>
  <si>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</si>
  <si>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</si>
  <si>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</si>
  <si>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</si>
  <si>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</si>
  <si>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</si>
  <si>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</si>
  <si>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</si>
  <si>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</si>
  <si>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</si>
  <si>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</si>
  <si>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</si>
  <si>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</si>
  <si>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</si>
  <si>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</si>
  <si>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</si>
  <si>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</si>
  <si>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</si>
  <si>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</si>
  <si>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</si>
  <si>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</si>
  <si>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</si>
  <si>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</si>
  <si>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</si>
  <si>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</si>
  <si>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</si>
  <si>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</si>
  <si>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</si>
  <si>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</si>
  <si>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</si>
  <si>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</si>
  <si>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</si>
  <si>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</si>
  <si>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</si>
  <si>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</si>
  <si>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</si>
  <si>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</si>
  <si>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</si>
  <si>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</si>
  <si>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</si>
  <si>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</si>
  <si>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</si>
  <si>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</si>
  <si>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</si>
  <si>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</si>
  <si>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</si>
  <si>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</si>
  <si>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</si>
  <si>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</si>
  <si>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</si>
  <si>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</si>
  <si>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</si>
  <si>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</si>
  <si>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</si>
  <si>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</si>
  <si>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</si>
  <si>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</si>
  <si>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</si>
  <si>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</si>
  <si>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</si>
  <si>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</si>
  <si>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</si>
  <si>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</si>
  <si>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</si>
  <si>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</si>
  <si>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</si>
  <si>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</si>
  <si>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</si>
  <si>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</si>
  <si>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</si>
  <si>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</si>
  <si>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</si>
  <si>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</si>
  <si>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</si>
  <si>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</si>
  <si>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</si>
  <si>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</si>
  <si>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</si>
  <si>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</si>
  <si>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</si>
  <si>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</si>
  <si>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</si>
  <si>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</si>
  <si>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</si>
  <si>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</si>
  <si>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</si>
  <si>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</si>
  <si>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</si>
  <si>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</si>
  <si>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</si>
  <si>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</si>
  <si>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</si>
  <si>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</si>
  <si>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</si>
  <si>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</si>
  <si>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</si>
  <si>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</si>
  <si>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</si>
  <si>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</si>
  <si>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</si>
  <si>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</si>
  <si>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</si>
  <si>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</si>
  <si>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</si>
  <si>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说明</t>
  </si>
  <si>
    <t>土地信息总指标</t>
  </si>
  <si>
    <t>场地挡墙长度高度统计</t>
  </si>
  <si>
    <t>总用地面积</t>
  </si>
  <si>
    <t>户数</t>
  </si>
  <si>
    <t>类型</t>
  </si>
  <si>
    <t>挡墙形式</t>
  </si>
  <si>
    <t>长度</t>
  </si>
  <si>
    <t>高度</t>
  </si>
  <si>
    <t>面积</t>
  </si>
  <si>
    <t>备注</t>
  </si>
  <si>
    <t>建筑占地面积</t>
  </si>
  <si>
    <t>居住人口数</t>
  </si>
  <si>
    <t>挡墙</t>
    <phoneticPr fontId="3" type="noConversion"/>
  </si>
  <si>
    <t>配建体育设施</t>
  </si>
  <si>
    <t>-</t>
    <phoneticPr fontId="3" type="noConversion"/>
  </si>
  <si>
    <t>建筑密度</t>
  </si>
  <si>
    <t>人防面积</t>
  </si>
  <si>
    <t>……</t>
  </si>
  <si>
    <t>绿地率</t>
  </si>
  <si>
    <t>土方总挖方</t>
  </si>
  <si>
    <t>土方总填方</t>
  </si>
  <si>
    <t>总建筑面积</t>
  </si>
  <si>
    <t>车位数</t>
  </si>
  <si>
    <t>其中：地上</t>
  </si>
  <si>
    <t>备注：挡墙长度及高度</t>
    <phoneticPr fontId="3" type="noConversion"/>
  </si>
  <si>
    <t xml:space="preserve">      地下</t>
    <phoneticPr fontId="283" type="noConversion"/>
  </si>
  <si>
    <t>其中</t>
    <phoneticPr fontId="283" type="noConversion"/>
  </si>
  <si>
    <t>夹层（非机动车库）</t>
    <phoneticPr fontId="3" type="noConversion"/>
  </si>
  <si>
    <t>设置于夹层</t>
    <phoneticPr fontId="283" type="noConversion"/>
  </si>
  <si>
    <t>车库及设备用房</t>
    <phoneticPr fontId="3" type="noConversion"/>
  </si>
  <si>
    <t>配套用房</t>
    <phoneticPr fontId="3" type="noConversion"/>
  </si>
  <si>
    <t>其中：地下</t>
  </si>
  <si>
    <t>其中人防车位269个</t>
    <phoneticPr fontId="283" type="noConversion"/>
  </si>
  <si>
    <t>不计容赠送部分</t>
    <phoneticPr fontId="3" type="noConversion"/>
  </si>
  <si>
    <t>凸窗赠送</t>
    <phoneticPr fontId="3" type="noConversion"/>
  </si>
  <si>
    <t>挑空赠送</t>
    <phoneticPr fontId="3" type="noConversion"/>
  </si>
  <si>
    <t>地下非机动车位</t>
    <phoneticPr fontId="3" type="noConversion"/>
  </si>
  <si>
    <t>不计容面积</t>
    <phoneticPr fontId="283" type="noConversion"/>
  </si>
  <si>
    <t>首层架空</t>
    <phoneticPr fontId="283" type="noConversion"/>
  </si>
  <si>
    <t>梯户比（T几）</t>
  </si>
  <si>
    <t>栋数</t>
  </si>
  <si>
    <t>总层数</t>
  </si>
  <si>
    <t>算量层数</t>
  </si>
  <si>
    <t>标准层面积</t>
  </si>
  <si>
    <t>单栋面积</t>
  </si>
  <si>
    <t>建筑面积合计</t>
  </si>
  <si>
    <t>占地面积</t>
  </si>
  <si>
    <t>电梯数（单栋电梯数*栋数）</t>
  </si>
  <si>
    <t>层高</t>
  </si>
  <si>
    <t>挑空跃层赠送</t>
  </si>
  <si>
    <r>
      <t>地下室赠送（-</t>
    </r>
    <r>
      <rPr>
        <b/>
        <sz val="9"/>
        <rFont val="宋体"/>
        <family val="3"/>
        <charset val="134"/>
      </rPr>
      <t>5.5</t>
    </r>
    <r>
      <rPr>
        <b/>
        <sz val="9"/>
        <rFont val="宋体"/>
        <family val="3"/>
        <charset val="134"/>
      </rPr>
      <t>m）</t>
    </r>
    <phoneticPr fontId="3" type="noConversion"/>
  </si>
  <si>
    <t>地下室赠送（-3m）</t>
  </si>
  <si>
    <t>院馆改房间赠送</t>
    <phoneticPr fontId="3" type="noConversion"/>
  </si>
  <si>
    <t>假飘窗赠送</t>
  </si>
  <si>
    <t>首层架空层</t>
    <phoneticPr fontId="283" type="noConversion"/>
  </si>
  <si>
    <t>一</t>
  </si>
  <si>
    <t>住宅合计</t>
    <phoneticPr fontId="283" type="noConversion"/>
  </si>
  <si>
    <r>
      <t>高层T6(95*2+85*2+11</t>
    </r>
    <r>
      <rPr>
        <sz val="9"/>
        <color indexed="8"/>
        <rFont val="宋体"/>
        <family val="3"/>
        <charset val="134"/>
      </rPr>
      <t>9</t>
    </r>
    <r>
      <rPr>
        <sz val="9"/>
        <color indexed="8"/>
        <rFont val="宋体"/>
        <family val="3"/>
        <charset val="134"/>
      </rPr>
      <t>*2)</t>
    </r>
    <phoneticPr fontId="283" type="noConversion"/>
  </si>
  <si>
    <r>
      <t>高层T6</t>
    </r>
    <r>
      <rPr>
        <sz val="9"/>
        <color indexed="8"/>
        <rFont val="宋体"/>
        <family val="3"/>
        <charset val="134"/>
      </rPr>
      <t>(85*</t>
    </r>
    <r>
      <rPr>
        <sz val="9"/>
        <color indexed="8"/>
        <rFont val="宋体"/>
        <family val="3"/>
        <charset val="134"/>
      </rPr>
      <t>4</t>
    </r>
    <r>
      <rPr>
        <sz val="9"/>
        <color indexed="8"/>
        <rFont val="宋体"/>
        <family val="3"/>
        <charset val="134"/>
      </rPr>
      <t>+95</t>
    </r>
    <r>
      <rPr>
        <sz val="9"/>
        <color indexed="8"/>
        <rFont val="宋体"/>
        <family val="3"/>
        <charset val="134"/>
      </rPr>
      <t>*2</t>
    </r>
    <r>
      <rPr>
        <sz val="9"/>
        <color indexed="8"/>
        <rFont val="宋体"/>
        <family val="3"/>
        <charset val="134"/>
      </rPr>
      <t>)</t>
    </r>
    <phoneticPr fontId="283" type="noConversion"/>
  </si>
  <si>
    <r>
      <t>高层T6(95*4+8</t>
    </r>
    <r>
      <rPr>
        <sz val="9"/>
        <color indexed="8"/>
        <rFont val="宋体"/>
        <family val="3"/>
        <charset val="134"/>
      </rPr>
      <t>5</t>
    </r>
    <r>
      <rPr>
        <sz val="9"/>
        <color indexed="8"/>
        <rFont val="宋体"/>
        <family val="3"/>
        <charset val="134"/>
      </rPr>
      <t>*2)</t>
    </r>
    <phoneticPr fontId="283" type="noConversion"/>
  </si>
  <si>
    <r>
      <t>高层T8(95*</t>
    </r>
    <r>
      <rPr>
        <sz val="9"/>
        <color indexed="8"/>
        <rFont val="宋体"/>
        <family val="3"/>
        <charset val="134"/>
      </rPr>
      <t>4</t>
    </r>
    <r>
      <rPr>
        <sz val="9"/>
        <color indexed="8"/>
        <rFont val="宋体"/>
        <family val="3"/>
        <charset val="134"/>
      </rPr>
      <t>+85*4)</t>
    </r>
    <phoneticPr fontId="283" type="noConversion"/>
  </si>
  <si>
    <t>二</t>
  </si>
  <si>
    <t>洋房合计</t>
  </si>
  <si>
    <t>底跃顶跃洋房（7F）</t>
    <phoneticPr fontId="3" type="noConversion"/>
  </si>
  <si>
    <r>
      <t>底跃顶跃洋房（7F底商</t>
    </r>
    <r>
      <rPr>
        <sz val="9"/>
        <color indexed="8"/>
        <rFont val="宋体"/>
        <family val="3"/>
        <charset val="134"/>
      </rPr>
      <t>）</t>
    </r>
    <phoneticPr fontId="3" type="noConversion"/>
  </si>
  <si>
    <r>
      <t>底跃顶跃洋房（9F底商</t>
    </r>
    <r>
      <rPr>
        <sz val="9"/>
        <color indexed="8"/>
        <rFont val="宋体"/>
        <family val="3"/>
        <charset val="134"/>
      </rPr>
      <t>）</t>
    </r>
    <phoneticPr fontId="3" type="noConversion"/>
  </si>
  <si>
    <t>底跃顶跃洋房（9F）</t>
    <phoneticPr fontId="3" type="noConversion"/>
  </si>
  <si>
    <t>底跃顶跃洋房（底公配）</t>
    <phoneticPr fontId="3" type="noConversion"/>
  </si>
  <si>
    <t>三</t>
    <phoneticPr fontId="3" type="noConversion"/>
  </si>
  <si>
    <t>别墅合计</t>
    <phoneticPr fontId="3" type="noConversion"/>
  </si>
  <si>
    <t>住宅总计</t>
    <phoneticPr fontId="3" type="noConversion"/>
  </si>
  <si>
    <t>商业/办公</t>
  </si>
  <si>
    <t>栋面积</t>
  </si>
  <si>
    <t>占地面积（标准层面积）</t>
  </si>
  <si>
    <t>架空层/灰空间（结构空腔）</t>
  </si>
  <si>
    <t>地下室赠送（层高3米）</t>
    <phoneticPr fontId="283" type="noConversion"/>
  </si>
  <si>
    <t>地下室赠送（层高2）</t>
  </si>
  <si>
    <t>院馆改房间赠送</t>
    <phoneticPr fontId="3" type="noConversion"/>
  </si>
  <si>
    <t>自持/销售</t>
  </si>
  <si>
    <t>住宅商业</t>
    <phoneticPr fontId="283" type="noConversion"/>
  </si>
  <si>
    <t>1F底商</t>
    <phoneticPr fontId="283" type="noConversion"/>
  </si>
  <si>
    <t>2F底商</t>
    <phoneticPr fontId="283" type="noConversion"/>
  </si>
  <si>
    <t>独立商业</t>
    <phoneticPr fontId="283" type="noConversion"/>
  </si>
  <si>
    <t>办公</t>
    <phoneticPr fontId="283" type="noConversion"/>
  </si>
  <si>
    <t>商业合计</t>
  </si>
  <si>
    <t>地上计容配套设施</t>
  </si>
  <si>
    <t>地下用房</t>
  </si>
  <si>
    <t>归属位置</t>
  </si>
  <si>
    <t>社区卫生服务</t>
    <phoneticPr fontId="3" type="noConversion"/>
  </si>
  <si>
    <t>10㎡/10000㎡地上住宅建面</t>
    <phoneticPr fontId="283" type="noConversion"/>
  </si>
  <si>
    <t>集中设置于A2地块</t>
    <phoneticPr fontId="283" type="noConversion"/>
  </si>
  <si>
    <t>车库一层</t>
    <phoneticPr fontId="3" type="noConversion"/>
  </si>
  <si>
    <t>生鲜超市</t>
    <phoneticPr fontId="3" type="noConversion"/>
  </si>
  <si>
    <t xml:space="preserve">50㎡/10000㎡地上住宅建面 </t>
    <phoneticPr fontId="283" type="noConversion"/>
  </si>
  <si>
    <t>集中设置于A1地块</t>
    <phoneticPr fontId="283" type="noConversion"/>
  </si>
  <si>
    <t>车库二层</t>
    <phoneticPr fontId="3" type="noConversion"/>
  </si>
  <si>
    <t>社区用房</t>
    <phoneticPr fontId="3" type="noConversion"/>
  </si>
  <si>
    <t xml:space="preserve">30㎡/100户  </t>
    <phoneticPr fontId="283" type="noConversion"/>
  </si>
  <si>
    <t>集中设置于A3地块</t>
    <phoneticPr fontId="283" type="noConversion"/>
  </si>
  <si>
    <t>生鲜超市</t>
    <phoneticPr fontId="283" type="noConversion"/>
  </si>
  <si>
    <t>物业管理</t>
    <phoneticPr fontId="3" type="noConversion"/>
  </si>
  <si>
    <t>地上住宅建面的3‰，一半可地下</t>
    <phoneticPr fontId="283" type="noConversion"/>
  </si>
  <si>
    <t>物管用房</t>
    <phoneticPr fontId="283" type="noConversion"/>
  </si>
  <si>
    <t>公共卫生间</t>
    <phoneticPr fontId="3" type="noConversion"/>
  </si>
  <si>
    <t>超过6万㎡每增加6万㎡增加一处，每处40㎡</t>
    <phoneticPr fontId="283" type="noConversion"/>
  </si>
  <si>
    <t>垃圾中转站</t>
    <phoneticPr fontId="3" type="noConversion"/>
  </si>
  <si>
    <t>老年活动中心</t>
    <phoneticPr fontId="3" type="noConversion"/>
  </si>
  <si>
    <t>住宅建筑面积3‰，且没处不低于150㎡，设置于一层或二层</t>
    <phoneticPr fontId="283" type="noConversion"/>
  </si>
  <si>
    <t>社区文化活动场所</t>
    <phoneticPr fontId="283" type="noConversion"/>
  </si>
  <si>
    <t>每1万㎡地上住宅建面，用地面积不小于50㎡室外活动场所或建筑面积不小于15㎡的室内活动场所</t>
    <phoneticPr fontId="283" type="noConversion"/>
  </si>
  <si>
    <t>社区体育活动场所</t>
    <phoneticPr fontId="283" type="noConversion"/>
  </si>
  <si>
    <t>室内人均面积不小于0.1㎡或室外人均用地不小于0.3㎡</t>
    <phoneticPr fontId="283" type="noConversion"/>
  </si>
  <si>
    <t>幼儿园</t>
    <phoneticPr fontId="3" type="noConversion"/>
  </si>
  <si>
    <t>2个12班 幼儿园</t>
    <phoneticPr fontId="283" type="noConversion"/>
  </si>
  <si>
    <t>经济技术指标</t>
    <phoneticPr fontId="283" type="noConversion"/>
  </si>
  <si>
    <t>幼儿园用地面积</t>
    <phoneticPr fontId="283" type="noConversion"/>
  </si>
  <si>
    <t>指标</t>
  </si>
  <si>
    <t>单位</t>
  </si>
  <si>
    <t>数值</t>
  </si>
  <si>
    <t>平方米</t>
  </si>
  <si>
    <t>共计65.959亩</t>
    <phoneticPr fontId="283" type="noConversion"/>
  </si>
  <si>
    <t>地上总建筑面积</t>
  </si>
  <si>
    <t>其中</t>
  </si>
  <si>
    <t>住宅用地</t>
  </si>
  <si>
    <t>商品住宅</t>
  </si>
  <si>
    <t>商业配套</t>
    <phoneticPr fontId="283" type="noConversion"/>
  </si>
  <si>
    <t>A3地块</t>
    <phoneticPr fontId="283" type="noConversion"/>
  </si>
  <si>
    <t>商业</t>
  </si>
  <si>
    <t>楼型</t>
  </si>
  <si>
    <t>层数</t>
  </si>
  <si>
    <t>楼型组合方式</t>
    <phoneticPr fontId="283" type="noConversion"/>
  </si>
  <si>
    <t>层面积</t>
  </si>
  <si>
    <t>扣除层数</t>
  </si>
  <si>
    <t>幼儿园</t>
    <phoneticPr fontId="283" type="noConversion"/>
  </si>
  <si>
    <t>15班幼儿园</t>
    <phoneticPr fontId="283" type="noConversion"/>
  </si>
  <si>
    <t xml:space="preserve">T6 </t>
    <phoneticPr fontId="283" type="noConversion"/>
  </si>
  <si>
    <t>90*2+119*2+85*2</t>
    <phoneticPr fontId="283" type="noConversion"/>
  </si>
  <si>
    <t>配套设施</t>
  </si>
  <si>
    <t>95+95+85+85+95+95</t>
    <phoneticPr fontId="283" type="noConversion"/>
  </si>
  <si>
    <t>地下总建筑面积</t>
  </si>
  <si>
    <t>85+95+85+85+95+85</t>
    <phoneticPr fontId="283" type="noConversion"/>
  </si>
  <si>
    <t>地库面积</t>
  </si>
  <si>
    <t>T7</t>
    <phoneticPr fontId="283" type="noConversion"/>
  </si>
  <si>
    <t>95*2+85*5</t>
    <phoneticPr fontId="283" type="noConversion"/>
  </si>
  <si>
    <t>非机动车库</t>
  </si>
  <si>
    <t>1.8㎡/辆</t>
    <phoneticPr fontId="283" type="noConversion"/>
  </si>
  <si>
    <t>人防机动车库</t>
  </si>
  <si>
    <t>普通机动车库</t>
    <phoneticPr fontId="283" type="noConversion"/>
  </si>
  <si>
    <t>地下商业</t>
    <phoneticPr fontId="283" type="noConversion"/>
  </si>
  <si>
    <t>地下配套设施</t>
    <phoneticPr fontId="283" type="noConversion"/>
  </si>
  <si>
    <t>机动车停车数</t>
  </si>
  <si>
    <t>辆</t>
  </si>
  <si>
    <t>地上停车数</t>
  </si>
  <si>
    <t>地下停车数</t>
  </si>
  <si>
    <t>人防地库停车数</t>
  </si>
  <si>
    <t>普通平层停车数</t>
  </si>
  <si>
    <t>居住用地容积率</t>
  </si>
  <si>
    <t>-</t>
  </si>
  <si>
    <t>室外社区文化活动场地</t>
    <phoneticPr fontId="283" type="noConversion"/>
  </si>
  <si>
    <t>用地面积</t>
    <phoneticPr fontId="283" type="noConversion"/>
  </si>
  <si>
    <t>室外社区体育活动场地</t>
    <phoneticPr fontId="283" type="noConversion"/>
  </si>
  <si>
    <t>%</t>
    <phoneticPr fontId="283" type="noConversion"/>
  </si>
  <si>
    <t>≤22%</t>
    <phoneticPr fontId="283" type="noConversion"/>
  </si>
  <si>
    <t>社区户数</t>
  </si>
  <si>
    <t>户</t>
  </si>
  <si>
    <t>社区人数</t>
  </si>
  <si>
    <t>人</t>
  </si>
  <si>
    <t>3.2人/户</t>
    <phoneticPr fontId="283" type="noConversion"/>
  </si>
  <si>
    <t>商业+配套/地上建面</t>
    <phoneticPr fontId="283" type="noConversion"/>
  </si>
  <si>
    <t>抵押价格</t>
  </si>
  <si>
    <t>其他：</t>
  </si>
  <si>
    <t>云南省</t>
    <phoneticPr fontId="6" type="noConversion"/>
  </si>
  <si>
    <t>企业</t>
  </si>
  <si>
    <t>昆明东玺房地产开发有限公司</t>
    <phoneticPr fontId="6" type="noConversion"/>
  </si>
  <si>
    <t>《国有建设用地使用权出让合同》[合同编号：CR53空港2019025号]及附件、《北京市规划委员会关于同意XX项目的规划设计方案的规划意见复函》[]以及《建设工程规划许可证》[]</t>
    <phoneticPr fontId="6" type="noConversion"/>
  </si>
  <si>
    <t>《不动产权证书》[云（2020）官渡区不动产权第0012396、0012399号]</t>
    <phoneticPr fontId="6" type="noConversion"/>
  </si>
  <si>
    <t>城镇住宅用地</t>
    <phoneticPr fontId="6" type="noConversion"/>
  </si>
  <si>
    <t>车库</t>
  </si>
  <si>
    <t>A1</t>
    <phoneticPr fontId="3" type="noConversion"/>
  </si>
  <si>
    <t>A3</t>
    <phoneticPr fontId="3" type="noConversion"/>
  </si>
  <si>
    <r>
      <t>m</t>
    </r>
    <r>
      <rPr>
        <vertAlign val="superscript"/>
        <sz val="10.5"/>
        <color theme="1"/>
        <rFont val="Times New Roman"/>
        <family val="1"/>
      </rPr>
      <t>2</t>
    </r>
  </si>
  <si>
    <r>
      <t>共计</t>
    </r>
    <r>
      <rPr>
        <sz val="10.5"/>
        <color rgb="FF000000"/>
        <rFont val="Times New Roman"/>
        <family val="1"/>
      </rPr>
      <t>92.52</t>
    </r>
    <r>
      <rPr>
        <sz val="10.5"/>
        <color rgb="FF000000"/>
        <rFont val="宋体"/>
        <family val="3"/>
        <charset val="134"/>
      </rPr>
      <t>亩</t>
    </r>
  </si>
  <si>
    <t>幼儿园</t>
  </si>
  <si>
    <r>
      <t>1.8</t>
    </r>
    <r>
      <rPr>
        <sz val="10.5"/>
        <color theme="1"/>
        <rFont val="Times New Roman"/>
        <family val="1"/>
      </rPr>
      <t>m</t>
    </r>
    <r>
      <rPr>
        <vertAlign val="superscript"/>
        <sz val="10.5"/>
        <color theme="1"/>
        <rFont val="Times New Roman"/>
        <family val="1"/>
      </rPr>
      <t>2</t>
    </r>
    <r>
      <rPr>
        <sz val="10.5"/>
        <color rgb="FF000000"/>
        <rFont val="Times New Roman"/>
        <family val="1"/>
      </rPr>
      <t>/</t>
    </r>
    <r>
      <rPr>
        <sz val="10.5"/>
        <color rgb="FF000000"/>
        <rFont val="宋体"/>
        <family val="3"/>
        <charset val="134"/>
      </rPr>
      <t>辆</t>
    </r>
  </si>
  <si>
    <t>普通机动车库</t>
  </si>
  <si>
    <t>地下配套设施</t>
  </si>
  <si>
    <t>建筑基底面积</t>
  </si>
  <si>
    <t>绿地面积</t>
  </si>
  <si>
    <t>%</t>
  </si>
  <si>
    <t>室外社区文化活动场地</t>
  </si>
  <si>
    <t>用地面积</t>
  </si>
  <si>
    <t>室外社区体育活动场地</t>
  </si>
  <si>
    <t>≤22%</t>
  </si>
  <si>
    <r>
      <t>3.2</t>
    </r>
    <r>
      <rPr>
        <sz val="10.5"/>
        <color rgb="FF000000"/>
        <rFont val="宋体"/>
        <family val="3"/>
        <charset val="134"/>
      </rPr>
      <t>人</t>
    </r>
    <r>
      <rPr>
        <sz val="10.5"/>
        <color rgb="FF000000"/>
        <rFont val="Times New Roman"/>
        <family val="1"/>
      </rPr>
      <t>/</t>
    </r>
    <r>
      <rPr>
        <sz val="10.5"/>
        <color rgb="FF000000"/>
        <rFont val="宋体"/>
        <family val="3"/>
        <charset val="134"/>
      </rPr>
      <t>户</t>
    </r>
  </si>
  <si>
    <t>地上</t>
  </si>
  <si>
    <t>普通住宅</t>
  </si>
  <si>
    <t>底商</t>
  </si>
  <si>
    <t>地下</t>
  </si>
  <si>
    <r>
      <rPr>
        <b/>
        <sz val="11"/>
        <color rgb="FF444444"/>
        <rFont val="仿宋_GB2312"/>
        <family val="3"/>
        <charset val="134"/>
      </rPr>
      <t>地块名称</t>
    </r>
  </si>
  <si>
    <r>
      <rPr>
        <b/>
        <sz val="11"/>
        <color rgb="FF444444"/>
        <rFont val="仿宋_GB2312"/>
        <family val="3"/>
        <charset val="134"/>
      </rPr>
      <t>城市</t>
    </r>
  </si>
  <si>
    <r>
      <rPr>
        <b/>
        <sz val="11"/>
        <color rgb="FF444444"/>
        <rFont val="仿宋_GB2312"/>
        <family val="3"/>
        <charset val="134"/>
      </rPr>
      <t>用地性质</t>
    </r>
  </si>
  <si>
    <r>
      <rPr>
        <b/>
        <sz val="11"/>
        <color rgb="FF444444"/>
        <rFont val="仿宋_GB2312"/>
        <family val="3"/>
        <charset val="134"/>
      </rPr>
      <t>出让方式</t>
    </r>
  </si>
  <si>
    <r>
      <rPr>
        <b/>
        <sz val="11"/>
        <color rgb="FF444444"/>
        <rFont val="仿宋_GB2312"/>
        <family val="3"/>
        <charset val="134"/>
      </rPr>
      <t>建设用地面积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</si>
  <si>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规划建筑面积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</si>
  <si>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容积率</t>
    </r>
  </si>
  <si>
    <r>
      <rPr>
        <b/>
        <sz val="11"/>
        <color rgb="FF444444"/>
        <rFont val="仿宋_GB2312"/>
        <family val="3"/>
        <charset val="134"/>
      </rPr>
      <t>成交日期</t>
    </r>
  </si>
  <si>
    <r>
      <rPr>
        <b/>
        <sz val="11"/>
        <color rgb="FF444444"/>
        <rFont val="仿宋_GB2312"/>
        <family val="3"/>
        <charset val="134"/>
      </rPr>
      <t>受让单位</t>
    </r>
  </si>
  <si>
    <r>
      <rPr>
        <b/>
        <sz val="11"/>
        <color rgb="FF444444"/>
        <rFont val="仿宋_GB2312"/>
        <family val="3"/>
        <charset val="134"/>
      </rPr>
      <t>成交价</t>
    </r>
    <r>
      <rPr>
        <b/>
        <sz val="11"/>
        <color rgb="FF444444"/>
        <rFont val="Arial"/>
        <family val="2"/>
      </rPr>
      <t>(</t>
    </r>
    <r>
      <rPr>
        <b/>
        <sz val="11"/>
        <color rgb="FF444444"/>
        <rFont val="仿宋_GB2312"/>
        <family val="3"/>
        <charset val="134"/>
      </rPr>
      <t>万元</t>
    </r>
    <r>
      <rPr>
        <b/>
        <sz val="11"/>
        <color rgb="FF444444"/>
        <rFont val="Arial"/>
        <family val="2"/>
      </rPr>
      <t>)</t>
    </r>
  </si>
  <si>
    <r>
      <rPr>
        <b/>
        <sz val="11"/>
        <color rgb="FF444444"/>
        <rFont val="仿宋_GB2312"/>
        <family val="3"/>
        <charset val="134"/>
      </rPr>
      <t>成交每亩价</t>
    </r>
    <r>
      <rPr>
        <b/>
        <sz val="11"/>
        <color rgb="FF444444"/>
        <rFont val="Arial"/>
        <family val="2"/>
      </rPr>
      <t>(</t>
    </r>
    <r>
      <rPr>
        <b/>
        <sz val="11"/>
        <color rgb="FF444444"/>
        <rFont val="仿宋_GB2312"/>
        <family val="3"/>
        <charset val="134"/>
      </rPr>
      <t>万元</t>
    </r>
    <r>
      <rPr>
        <b/>
        <sz val="11"/>
        <color rgb="FF444444"/>
        <rFont val="Arial"/>
        <family val="2"/>
      </rPr>
      <t>/</t>
    </r>
    <r>
      <rPr>
        <b/>
        <sz val="11"/>
        <color rgb="FF444444"/>
        <rFont val="仿宋_GB2312"/>
        <family val="3"/>
        <charset val="134"/>
      </rPr>
      <t>亩</t>
    </r>
    <r>
      <rPr>
        <b/>
        <sz val="11"/>
        <color rgb="FF444444"/>
        <rFont val="Arial"/>
        <family val="2"/>
      </rPr>
      <t>)</t>
    </r>
  </si>
  <si>
    <r>
      <rPr>
        <b/>
        <sz val="11"/>
        <color rgb="FF444444"/>
        <rFont val="仿宋_GB2312"/>
        <family val="3"/>
        <charset val="134"/>
      </rPr>
      <t>成交楼面价</t>
    </r>
    <r>
      <rPr>
        <b/>
        <sz val="11"/>
        <color rgb="FF444444"/>
        <rFont val="Arial"/>
        <family val="2"/>
      </rPr>
      <t>(</t>
    </r>
    <r>
      <rPr>
        <b/>
        <sz val="11"/>
        <color rgb="FF444444"/>
        <rFont val="仿宋_GB2312"/>
        <family val="3"/>
        <charset val="134"/>
      </rPr>
      <t>元</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</si>
  <si>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溢价率</t>
    </r>
  </si>
  <si>
    <r>
      <rPr>
        <sz val="11"/>
        <color theme="1"/>
        <rFont val="仿宋_GB2312"/>
        <family val="3"/>
        <charset val="134"/>
      </rPr>
      <t>昆明空港经济区大板桥街道办事处</t>
    </r>
  </si>
  <si>
    <r>
      <rPr>
        <sz val="11"/>
        <color theme="1"/>
        <rFont val="仿宋_GB2312"/>
        <family val="3"/>
        <charset val="134"/>
      </rPr>
      <t>评估</t>
    </r>
  </si>
  <si>
    <r>
      <rPr>
        <sz val="11"/>
        <color theme="1"/>
        <rFont val="仿宋_GB2312"/>
        <family val="3"/>
        <charset val="134"/>
      </rPr>
      <t>昆明市</t>
    </r>
  </si>
  <si>
    <r>
      <rPr>
        <sz val="11"/>
        <color theme="1"/>
        <rFont val="仿宋_GB2312"/>
        <family val="3"/>
        <charset val="134"/>
      </rPr>
      <t>住宅用地</t>
    </r>
  </si>
  <si>
    <r>
      <rPr>
        <sz val="11"/>
        <color theme="1"/>
        <rFont val="仿宋_GB2312"/>
        <family val="3"/>
        <charset val="134"/>
      </rPr>
      <t>拍卖</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</si>
  <si>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3....</t>
    </r>
  </si>
  <si>
    <r>
      <rPr>
        <sz val="11"/>
        <color theme="1"/>
        <rFont val="仿宋_GB2312"/>
        <family val="3"/>
        <charset val="134"/>
      </rPr>
      <t>昆明招金房地产有</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</si>
  <si>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1....</t>
    </r>
  </si>
  <si>
    <r>
      <rPr>
        <sz val="11"/>
        <color theme="1"/>
        <rFont val="仿宋_GB2312"/>
        <family val="3"/>
        <charset val="134"/>
      </rPr>
      <t>综合用地</t>
    </r>
    <r>
      <rPr>
        <sz val="11"/>
        <color theme="1"/>
        <rFont val="Arial"/>
        <family val="2"/>
      </rPr>
      <t>(</t>
    </r>
    <r>
      <rPr>
        <sz val="11"/>
        <color theme="1"/>
        <rFont val="仿宋_GB2312"/>
        <family val="3"/>
        <charset val="134"/>
      </rPr>
      <t>含住宅</t>
    </r>
    <r>
      <rPr>
        <sz val="11"/>
        <color theme="1"/>
        <rFont val="Arial"/>
        <family val="2"/>
      </rPr>
      <t>)</t>
    </r>
  </si>
  <si>
    <r>
      <rPr>
        <sz val="11"/>
        <color theme="1"/>
        <rFont val="仿宋_GB2312"/>
        <family val="3"/>
        <charset val="134"/>
      </rPr>
      <t>≤</t>
    </r>
    <r>
      <rPr>
        <sz val="11"/>
        <color theme="1"/>
        <rFont val="Arial"/>
        <family val="2"/>
      </rPr>
      <t>1.2</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</si>
  <si>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</si>
  <si>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昆明市官渡区小板桥街道办事处</t>
    </r>
  </si>
  <si>
    <r>
      <rPr>
        <sz val="11"/>
        <color theme="1"/>
        <rFont val="仿宋_GB2312"/>
        <family val="3"/>
        <charset val="134"/>
      </rPr>
      <t>挂牌</t>
    </r>
  </si>
  <si>
    <r>
      <rPr>
        <sz val="11"/>
        <color theme="1"/>
        <rFont val="仿宋_GB2312"/>
        <family val="3"/>
        <charset val="134"/>
      </rPr>
      <t>昆明市官渡区六甲街道办事处</t>
    </r>
  </si>
  <si>
    <r>
      <rPr>
        <sz val="11"/>
        <color theme="1"/>
        <rFont val="仿宋_GB2312"/>
        <family val="3"/>
        <charset val="134"/>
      </rPr>
      <t>昆明市官渡区吴井街道办事处</t>
    </r>
  </si>
  <si>
    <r>
      <rPr>
        <sz val="11"/>
        <color theme="1"/>
        <rFont val="仿宋_GB2312"/>
        <family val="3"/>
        <charset val="134"/>
      </rPr>
      <t>大于</t>
    </r>
    <r>
      <rPr>
        <sz val="11"/>
        <color theme="1"/>
        <rFont val="Arial"/>
        <family val="2"/>
      </rPr>
      <t>1</t>
    </r>
    <r>
      <rPr>
        <sz val="11"/>
        <color theme="1"/>
        <rFont val="仿宋_GB2312"/>
        <family val="3"/>
        <charset val="134"/>
      </rPr>
      <t>并且小</t>
    </r>
    <r>
      <rPr>
        <sz val="11"/>
        <color theme="1"/>
        <rFont val="Arial"/>
        <family val="2"/>
      </rPr>
      <t>...</t>
    </r>
  </si>
  <si>
    <r>
      <rPr>
        <sz val="11"/>
        <color theme="1"/>
        <rFont val="仿宋_GB2312"/>
        <family val="3"/>
        <charset val="134"/>
      </rPr>
      <t>昆明交通场站开发</t>
    </r>
    <r>
      <rPr>
        <sz val="11"/>
        <color theme="1"/>
        <rFont val="Arial"/>
        <family val="2"/>
      </rPr>
      <t>...</t>
    </r>
  </si>
  <si>
    <r>
      <rPr>
        <sz val="11"/>
        <color theme="1"/>
        <rFont val="仿宋_GB2312"/>
        <family val="3"/>
        <charset val="134"/>
      </rPr>
      <t>昆明市官渡区矣六街道办事处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</si>
  <si>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</si>
  <si>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云南中豪置业有限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</si>
  <si>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</si>
  <si>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昆明市官渡区金马街道办事处</t>
    </r>
  </si>
  <si>
    <r>
      <rPr>
        <sz val="11"/>
        <color theme="1"/>
        <rFont val="仿宋_GB2312"/>
        <family val="3"/>
        <charset val="134"/>
      </rPr>
      <t>保利云南置业有限</t>
    </r>
    <r>
      <rPr>
        <sz val="11"/>
        <color theme="1"/>
        <rFont val="Arial"/>
        <family val="2"/>
      </rPr>
      <t>...</t>
    </r>
  </si>
  <si>
    <r>
      <rPr>
        <sz val="11"/>
        <color theme="1"/>
        <rFont val="仿宋_GB2312"/>
        <family val="3"/>
        <charset val="134"/>
      </rPr>
      <t>昆明市官渡区关上街道办事处</t>
    </r>
  </si>
  <si>
    <r>
      <rPr>
        <sz val="11"/>
        <color theme="1"/>
        <rFont val="仿宋_GB2312"/>
        <family val="3"/>
        <charset val="134"/>
      </rPr>
      <t>昆明龙湖宜恒房地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</si>
  <si>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</si>
  <si>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昆明华润置地三联</t>
    </r>
    <r>
      <rPr>
        <sz val="11"/>
        <color theme="1"/>
        <rFont val="Arial"/>
        <family val="2"/>
      </rPr>
      <t>...</t>
    </r>
  </si>
  <si>
    <r>
      <rPr>
        <sz val="11"/>
        <color theme="1"/>
        <rFont val="仿宋_GB2312"/>
        <family val="3"/>
        <charset val="134"/>
      </rPr>
      <t>云南省昆明空港经济区大板桥街道办事处</t>
    </r>
  </si>
  <si>
    <r>
      <rPr>
        <sz val="11"/>
        <color theme="1"/>
        <rFont val="仿宋_GB2312"/>
        <family val="3"/>
        <charset val="134"/>
      </rPr>
      <t>昆明东易房地产开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</si>
  <si>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</si>
  <si>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北京众置鼎福房地</t>
    </r>
    <r>
      <rPr>
        <sz val="11"/>
        <color theme="1"/>
        <rFont val="Arial"/>
        <family val="2"/>
      </rPr>
      <t>...</t>
    </r>
  </si>
  <si>
    <r>
      <rPr>
        <sz val="11"/>
        <color theme="1"/>
        <rFont val="仿宋_GB2312"/>
        <family val="3"/>
        <charset val="134"/>
      </rPr>
      <t>云南盛俊房地产开</t>
    </r>
    <r>
      <rPr>
        <sz val="11"/>
        <color theme="1"/>
        <rFont val="Arial"/>
        <family val="2"/>
      </rPr>
      <t>...</t>
    </r>
  </si>
  <si>
    <r>
      <rPr>
        <sz val="11"/>
        <color theme="1"/>
        <rFont val="仿宋_GB2312"/>
        <family val="3"/>
        <charset val="134"/>
      </rPr>
      <t>官渡区关上街道办事处</t>
    </r>
  </si>
  <si>
    <r>
      <rPr>
        <sz val="11"/>
        <color theme="1"/>
        <rFont val="仿宋_GB2312"/>
        <family val="3"/>
        <charset val="134"/>
      </rPr>
      <t>昆明市官渡区城中</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</si>
  <si>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</si>
  <si>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rgb="FFFF0000"/>
        <rFont val="仿宋_GB2312"/>
        <family val="3"/>
        <charset val="134"/>
      </rPr>
      <t>云南省昆明空港经济区大板桥街道办事处</t>
    </r>
  </si>
  <si>
    <r>
      <rPr>
        <sz val="11"/>
        <color rgb="FFFF0000"/>
        <rFont val="仿宋_GB2312"/>
        <family val="3"/>
        <charset val="134"/>
      </rPr>
      <t>评估</t>
    </r>
  </si>
  <si>
    <r>
      <rPr>
        <sz val="11"/>
        <color rgb="FFFF0000"/>
        <rFont val="仿宋_GB2312"/>
        <family val="3"/>
        <charset val="134"/>
      </rPr>
      <t>昆明市</t>
    </r>
  </si>
  <si>
    <r>
      <rPr>
        <sz val="11"/>
        <color rgb="FFFF0000"/>
        <rFont val="仿宋_GB2312"/>
        <family val="3"/>
        <charset val="134"/>
      </rPr>
      <t>住宅用地</t>
    </r>
  </si>
  <si>
    <r>
      <rPr>
        <sz val="11"/>
        <color rgb="FFFF0000"/>
        <rFont val="仿宋_GB2312"/>
        <family val="3"/>
        <charset val="134"/>
      </rPr>
      <t>拍卖</t>
    </r>
  </si>
  <si>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t>
    </r>
  </si>
  <si>
    <r>
      <rPr>
        <sz val="11"/>
        <color rgb="FFFF0000"/>
        <rFont val="仿宋_GB2312"/>
        <family val="3"/>
        <charset val="134"/>
      </rPr>
      <t>昆明东易房地产开</t>
    </r>
    <r>
      <rPr>
        <sz val="11"/>
        <color rgb="FFFF0000"/>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</si>
  <si>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7</t>
    </r>
  </si>
  <si>
    <r>
      <rPr>
        <sz val="11"/>
        <color theme="1"/>
        <rFont val="仿宋_GB2312"/>
        <family val="3"/>
        <charset val="134"/>
      </rPr>
      <t>昆明市官渡区关上街道办事处日新路以南双凤二组</t>
    </r>
  </si>
  <si>
    <r>
      <rPr>
        <sz val="11"/>
        <color theme="1"/>
        <rFont val="仿宋_GB2312"/>
        <family val="3"/>
        <charset val="134"/>
      </rPr>
      <t>云南万誉房地产开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</si>
  <si>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4....</t>
    </r>
  </si>
  <si>
    <r>
      <rPr>
        <sz val="11"/>
        <color theme="1"/>
        <rFont val="仿宋_GB2312"/>
        <family val="3"/>
        <charset val="134"/>
      </rPr>
      <t>云南德商置业有限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</si>
  <si>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</si>
  <si>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云南滇中城市建设</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</si>
  <si>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</si>
  <si>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</si>
  <si>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</si>
  <si>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昆明空港投资开发</t>
    </r>
    <r>
      <rPr>
        <sz val="11"/>
        <color theme="1"/>
        <rFont val="Arial"/>
        <family val="2"/>
      </rPr>
      <t>...</t>
    </r>
  </si>
  <si>
    <r>
      <rPr>
        <sz val="11"/>
        <color theme="1"/>
        <rFont val="仿宋_GB2312"/>
        <family val="3"/>
        <charset val="134"/>
      </rPr>
      <t>昆明市官渡区关上街道办事处小街片区</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</si>
  <si>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6....</t>
    </r>
  </si>
  <si>
    <r>
      <rPr>
        <sz val="11"/>
        <color theme="1"/>
        <rFont val="仿宋_GB2312"/>
        <family val="3"/>
        <charset val="134"/>
      </rPr>
      <t>昆明北科领秀置业</t>
    </r>
    <r>
      <rPr>
        <sz val="11"/>
        <color theme="1"/>
        <rFont val="Arial"/>
        <family val="2"/>
      </rPr>
      <t>...</t>
    </r>
  </si>
  <si>
    <r>
      <rPr>
        <sz val="11"/>
        <color theme="1"/>
        <rFont val="仿宋_GB2312"/>
        <family val="3"/>
        <charset val="134"/>
      </rPr>
      <t>重庆市迪马实业股</t>
    </r>
    <r>
      <rPr>
        <sz val="11"/>
        <color theme="1"/>
        <rFont val="Arial"/>
        <family val="2"/>
      </rPr>
      <t>...</t>
    </r>
  </si>
  <si>
    <r>
      <rPr>
        <sz val="11"/>
        <color theme="1"/>
        <rFont val="仿宋_GB2312"/>
        <family val="3"/>
        <charset val="134"/>
      </rPr>
      <t>昆明万睿房地产开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</si>
  <si>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5</t>
    </r>
  </si>
  <si>
    <r>
      <rPr>
        <sz val="11"/>
        <color theme="1"/>
        <rFont val="仿宋_GB2312"/>
        <family val="3"/>
        <charset val="134"/>
      </rPr>
      <t>成都金枝置业有限</t>
    </r>
    <r>
      <rPr>
        <sz val="11"/>
        <color theme="1"/>
        <rFont val="Arial"/>
        <family val="2"/>
      </rPr>
      <t>...</t>
    </r>
  </si>
  <si>
    <r>
      <rPr>
        <sz val="11"/>
        <color theme="1"/>
        <rFont val="仿宋_GB2312"/>
        <family val="3"/>
        <charset val="134"/>
      </rPr>
      <t>官渡区小板桥街道办事处</t>
    </r>
  </si>
  <si>
    <r>
      <rPr>
        <sz val="11"/>
        <color theme="1"/>
        <rFont val="仿宋_GB2312"/>
        <family val="3"/>
        <charset val="134"/>
      </rPr>
      <t>＞</t>
    </r>
    <r>
      <rPr>
        <sz val="11"/>
        <color theme="1"/>
        <rFont val="Arial"/>
        <family val="2"/>
      </rPr>
      <t>1.0</t>
    </r>
    <r>
      <rPr>
        <sz val="11"/>
        <color theme="1"/>
        <rFont val="仿宋_GB2312"/>
        <family val="3"/>
        <charset val="134"/>
      </rPr>
      <t>且≤</t>
    </r>
    <r>
      <rPr>
        <sz val="11"/>
        <color theme="1"/>
        <rFont val="Arial"/>
        <family val="2"/>
      </rPr>
      <t>...</t>
    </r>
  </si>
  <si>
    <r>
      <rPr>
        <sz val="11"/>
        <color theme="1"/>
        <rFont val="仿宋_GB2312"/>
        <family val="3"/>
        <charset val="134"/>
      </rPr>
      <t>云南金色之源房地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</si>
  <si>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8</t>
    </r>
  </si>
  <si>
    <r>
      <rPr>
        <sz val="11"/>
        <color theme="1"/>
        <rFont val="仿宋_GB2312"/>
        <family val="3"/>
        <charset val="134"/>
      </rPr>
      <t>中海地产集团有限</t>
    </r>
    <r>
      <rPr>
        <sz val="11"/>
        <color theme="1"/>
        <rFont val="Arial"/>
        <family val="2"/>
      </rPr>
      <t>...</t>
    </r>
  </si>
  <si>
    <r>
      <rPr>
        <sz val="11"/>
        <color theme="1"/>
        <rFont val="仿宋_GB2312"/>
        <family val="3"/>
        <charset val="134"/>
      </rPr>
      <t>昆明绿地春城置业</t>
    </r>
    <r>
      <rPr>
        <sz val="11"/>
        <color theme="1"/>
        <rFont val="Arial"/>
        <family val="2"/>
      </rPr>
      <t>...</t>
    </r>
  </si>
  <si>
    <r>
      <rPr>
        <sz val="11"/>
        <color theme="1"/>
        <rFont val="仿宋_GB2312"/>
        <family val="3"/>
        <charset val="134"/>
      </rPr>
      <t>昆明市官渡区大板桥街道办事处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</si>
  <si>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</si>
  <si>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云南正丰兴房地产</t>
    </r>
    <r>
      <rPr>
        <sz val="11"/>
        <color theme="1"/>
        <rFont val="Arial"/>
        <family val="2"/>
      </rPr>
      <t>...</t>
    </r>
  </si>
  <si>
    <r>
      <rPr>
        <sz val="11"/>
        <color theme="1"/>
        <rFont val="仿宋_GB2312"/>
        <family val="3"/>
        <charset val="134"/>
      </rPr>
      <t>官渡区小板桥、关上街道办事处</t>
    </r>
  </si>
  <si>
    <r>
      <rPr>
        <sz val="11"/>
        <color theme="1"/>
        <rFont val="仿宋_GB2312"/>
        <family val="3"/>
        <charset val="134"/>
      </rPr>
      <t>中交云南建设投资</t>
    </r>
    <r>
      <rPr>
        <sz val="11"/>
        <color theme="1"/>
        <rFont val="Arial"/>
        <family val="2"/>
      </rPr>
      <t>...</t>
    </r>
  </si>
  <si>
    <r>
      <rPr>
        <sz val="11"/>
        <color theme="1"/>
        <rFont val="仿宋_GB2312"/>
        <family val="3"/>
        <charset val="134"/>
      </rPr>
      <t>昆明市官渡区矣六街道办事处五腊村</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</si>
  <si>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7....</t>
    </r>
  </si>
  <si>
    <r>
      <rPr>
        <sz val="11"/>
        <color theme="1"/>
        <rFont val="仿宋_GB2312"/>
        <family val="3"/>
        <charset val="134"/>
      </rPr>
      <t>云南中望置业有限</t>
    </r>
    <r>
      <rPr>
        <sz val="11"/>
        <color theme="1"/>
        <rFont val="Arial"/>
        <family val="2"/>
      </rPr>
      <t>...</t>
    </r>
  </si>
  <si>
    <r>
      <rPr>
        <sz val="11"/>
        <color rgb="FFFF0000"/>
        <rFont val="仿宋_GB2312"/>
        <family val="3"/>
        <charset val="134"/>
      </rPr>
      <t>昆明市官渡区金马街道办事处</t>
    </r>
  </si>
  <si>
    <r>
      <rPr>
        <sz val="11"/>
        <color rgb="FFFF0000"/>
        <rFont val="仿宋_GB2312"/>
        <family val="3"/>
        <charset val="134"/>
      </rPr>
      <t>云南德商置业有限</t>
    </r>
    <r>
      <rPr>
        <sz val="11"/>
        <color rgb="FFFF0000"/>
        <rFont val="Arial"/>
        <family val="2"/>
      </rPr>
      <t>...</t>
    </r>
  </si>
  <si>
    <r>
      <rPr>
        <sz val="11"/>
        <color rgb="FFFF0000"/>
        <rFont val="仿宋_GB2312"/>
        <family val="3"/>
        <charset val="134"/>
      </rPr>
      <t>昆明市官渡区关上街道办事处日新路以南双凤二组</t>
    </r>
  </si>
  <si>
    <r>
      <rPr>
        <sz val="11"/>
        <color rgb="FFFF0000"/>
        <rFont val="仿宋_GB2312"/>
        <family val="3"/>
        <charset val="134"/>
      </rPr>
      <t>挂牌</t>
    </r>
  </si>
  <si>
    <r>
      <rPr>
        <sz val="11"/>
        <color rgb="FFFF0000"/>
        <rFont val="仿宋_GB2312"/>
        <family val="3"/>
        <charset val="134"/>
      </rPr>
      <t>＞</t>
    </r>
    <r>
      <rPr>
        <sz val="11"/>
        <color rgb="FFFF0000"/>
        <rFont val="Arial"/>
        <family val="2"/>
      </rPr>
      <t>1,</t>
    </r>
    <r>
      <rPr>
        <sz val="11"/>
        <color rgb="FFFF0000"/>
        <rFont val="仿宋_GB2312"/>
        <family val="3"/>
        <charset val="134"/>
      </rPr>
      <t>≤</t>
    </r>
    <r>
      <rPr>
        <sz val="11"/>
        <color rgb="FFFF0000"/>
        <rFont val="Arial"/>
        <family val="2"/>
      </rPr>
      <t>3....</t>
    </r>
  </si>
  <si>
    <r>
      <rPr>
        <sz val="11"/>
        <color rgb="FFFF0000"/>
        <rFont val="仿宋_GB2312"/>
        <family val="3"/>
        <charset val="134"/>
      </rPr>
      <t>云南万誉房地产开</t>
    </r>
    <r>
      <rPr>
        <sz val="11"/>
        <color rgb="FFFF0000"/>
        <rFont val="Arial"/>
        <family val="2"/>
      </rPr>
      <t>...</t>
    </r>
  </si>
  <si>
    <r>
      <rPr>
        <sz val="11"/>
        <color rgb="FFFF0000"/>
        <rFont val="仿宋_GB2312"/>
        <family val="3"/>
        <charset val="134"/>
      </rPr>
      <t>昆明市官渡区关上街道办事处</t>
    </r>
  </si>
  <si>
    <r>
      <rPr>
        <sz val="11"/>
        <color rgb="FFFF0000"/>
        <rFont val="仿宋_GB2312"/>
        <family val="3"/>
        <charset val="134"/>
      </rPr>
      <t>综合用地</t>
    </r>
    <r>
      <rPr>
        <sz val="11"/>
        <color rgb="FFFF0000"/>
        <rFont val="Arial"/>
        <family val="2"/>
      </rPr>
      <t>(</t>
    </r>
    <r>
      <rPr>
        <sz val="11"/>
        <color rgb="FFFF0000"/>
        <rFont val="仿宋_GB2312"/>
        <family val="3"/>
        <charset val="134"/>
      </rPr>
      <t>含住宅</t>
    </r>
    <r>
      <rPr>
        <sz val="11"/>
        <color rgb="FFFF0000"/>
        <rFont val="Arial"/>
        <family val="2"/>
      </rPr>
      <t>)</t>
    </r>
  </si>
  <si>
    <r>
      <rPr>
        <sz val="11"/>
        <color rgb="FFFF0000"/>
        <rFont val="仿宋_GB2312"/>
        <family val="3"/>
        <charset val="134"/>
      </rPr>
      <t>昆明招金房地产有</t>
    </r>
    <r>
      <rPr>
        <sz val="11"/>
        <color rgb="FFFF0000"/>
        <rFont val="Arial"/>
        <family val="2"/>
      </rPr>
      <t>...</t>
    </r>
  </si>
  <si>
    <r>
      <rPr>
        <sz val="11"/>
        <color rgb="FFFF0000"/>
        <rFont val="仿宋_GB2312"/>
        <family val="3"/>
        <charset val="134"/>
      </rPr>
      <t>保利云南置业有限</t>
    </r>
    <r>
      <rPr>
        <sz val="11"/>
        <color rgb="FFFF0000"/>
        <rFont val="Arial"/>
        <family val="2"/>
      </rPr>
      <t>...</t>
    </r>
  </si>
  <si>
    <r>
      <rPr>
        <sz val="11"/>
        <color rgb="FFFF0000"/>
        <rFont val="仿宋_GB2312"/>
        <family val="3"/>
        <charset val="134"/>
      </rPr>
      <t>昆明市官渡区小板桥街道办事处</t>
    </r>
  </si>
  <si>
    <r>
      <rPr>
        <sz val="11"/>
        <color rgb="FFFF0000"/>
        <rFont val="仿宋_GB2312"/>
        <family val="3"/>
        <charset val="134"/>
      </rPr>
      <t>昆明万凡房地产开</t>
    </r>
    <r>
      <rPr>
        <sz val="11"/>
        <color rgb="FFFF0000"/>
        <rFont val="Arial"/>
        <family val="2"/>
      </rPr>
      <t>...</t>
    </r>
  </si>
  <si>
    <r>
      <rPr>
        <sz val="11"/>
        <color rgb="FFFF0000"/>
        <rFont val="仿宋_GB2312"/>
        <family val="3"/>
        <charset val="134"/>
      </rPr>
      <t>昆明市官渡区六甲街道办事处</t>
    </r>
  </si>
  <si>
    <t>楼面地价</t>
  </si>
  <si>
    <t>一般</t>
  </si>
  <si>
    <t>较好</t>
  </si>
  <si>
    <t>六通</t>
  </si>
  <si>
    <t>规则</t>
    <phoneticPr fontId="26" type="noConversion"/>
  </si>
  <si>
    <t>较规则</t>
  </si>
  <si>
    <t>较规则</t>
    <phoneticPr fontId="26" type="noConversion"/>
  </si>
  <si>
    <t>七通</t>
  </si>
  <si>
    <t>五通</t>
  </si>
  <si>
    <t>四通</t>
  </si>
  <si>
    <t>三通</t>
  </si>
  <si>
    <t>较好</t>
    <phoneticPr fontId="26" type="noConversion"/>
  </si>
  <si>
    <t>住宅</t>
    <phoneticPr fontId="7" type="noConversion"/>
  </si>
  <si>
    <t>商业</t>
    <phoneticPr fontId="7" type="noConversion"/>
  </si>
  <si>
    <t>车库</t>
    <phoneticPr fontId="7" type="noConversion"/>
  </si>
  <si>
    <t>http://www.km.gov.cn/c/2009-09-10/607759.shtml</t>
  </si>
  <si>
    <t>不动产收益法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</si>
  <si>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</si>
  <si>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</si>
  <si>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</si>
  <si>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</si>
  <si>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土地（套用方法）</t>
  </si>
  <si>
    <t>不动产收益法-车位</t>
  </si>
  <si>
    <t>剩余法-待开发</t>
  </si>
  <si>
    <t>比较法-住宅、综合</t>
  </si>
  <si>
    <t>否</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</si>
  <si>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6</t>
    </r>
  </si>
  <si>
    <r>
      <rPr>
        <sz val="11"/>
        <color rgb="FFFF0000"/>
        <rFont val="仿宋_GB2312"/>
        <family val="3"/>
        <charset val="134"/>
      </rPr>
      <t>北京众置鼎福房地</t>
    </r>
    <r>
      <rPr>
        <sz val="11"/>
        <color rgb="FFFF0000"/>
        <rFont val="Arial"/>
        <family val="2"/>
      </rPr>
      <t>...</t>
    </r>
  </si>
  <si>
    <t>东旭骏城</t>
    <phoneticPr fontId="3" type="noConversion"/>
  </si>
  <si>
    <t>枫丹白露</t>
    <phoneticPr fontId="3" type="noConversion"/>
  </si>
  <si>
    <t>东原启城</t>
    <phoneticPr fontId="3" type="noConversion"/>
  </si>
  <si>
    <t>普通住宅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</si>
  <si>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</si>
  <si>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</si>
  <si>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</si>
  <si>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</si>
  <si>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</si>
  <si>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</si>
  <si>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</si>
  <si>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精装修</t>
    <phoneticPr fontId="21" type="noConversion"/>
  </si>
  <si>
    <t>普通装修</t>
    <phoneticPr fontId="21" type="noConversion"/>
  </si>
  <si>
    <t>毛坯</t>
  </si>
  <si>
    <t>毛坯</t>
    <phoneticPr fontId="21" type="noConversion"/>
  </si>
  <si>
    <t>简单装修</t>
    <phoneticPr fontId="21" type="noConversion"/>
  </si>
  <si>
    <t>售价</t>
  </si>
  <si>
    <t>已全部缴纳</t>
  </si>
  <si>
    <t>住宅</t>
    <phoneticPr fontId="21" type="noConversion"/>
  </si>
  <si>
    <t>60-70（含）</t>
  </si>
  <si>
    <t>自定义</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</si>
  <si>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</si>
  <si>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</si>
  <si>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t>其他省市系数</t>
  </si>
  <si>
    <t>吴薇</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</si>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</sst>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0_ ;_ * \-#,##0.0_ ;_ * &quot;-&quot;?_ ;_ @_ "/>
    <numFmt numFmtId="196" formatCode="_ * #,##0_ ;_ * \-#,##0_ ;_ * &quot;-&quot;?_ ;_ @_ "/>
    <numFmt numFmtId="197" formatCode="_ * #,##0.00_ ;_ * \-#,##0.00_ ;_ * &quot;-&quot;?_ ;_ @_ "/>
    <numFmt numFmtId="198" formatCode="0.00000000000_ "/>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6"/>
      <color rgb="FFFF0000"/>
      <name val="宋体"/>
      <family val="3"/>
      <charset val="134"/>
    </font>
    <font>
      <b/>
      <sz val="16"/>
      <color indexed="8"/>
      <name val="宋体"/>
      <family val="3"/>
      <charset val="134"/>
    </font>
    <font>
      <b/>
      <sz val="9"/>
      <color indexed="8"/>
      <name val="宋体"/>
      <family val="3"/>
      <charset val="134"/>
    </font>
    <font>
      <b/>
      <sz val="9"/>
      <color indexed="17"/>
      <name val="宋体"/>
      <family val="3"/>
      <charset val="134"/>
    </font>
    <font>
      <b/>
      <sz val="9"/>
      <color indexed="9"/>
      <name val="宋体"/>
      <family val="3"/>
      <charset val="134"/>
    </font>
    <font>
      <b/>
      <sz val="9"/>
      <color rgb="FFFF0000"/>
      <name val="宋体"/>
      <family val="3"/>
      <charset val="134"/>
    </font>
    <font>
      <sz val="9"/>
      <color indexed="17"/>
      <name val="宋体"/>
      <family val="3"/>
      <charset val="134"/>
    </font>
    <font>
      <b/>
      <sz val="9"/>
      <color indexed="10"/>
      <name val="宋体"/>
      <family val="3"/>
      <charset val="134"/>
    </font>
    <font>
      <sz val="9"/>
      <name val="等线"/>
      <family val="3"/>
      <charset val="134"/>
    </font>
    <font>
      <b/>
      <sz val="14"/>
      <color indexed="8"/>
      <name val="宋体"/>
      <family val="3"/>
      <charset val="134"/>
    </font>
    <font>
      <b/>
      <sz val="9"/>
      <name val="宋体"/>
      <family val="3"/>
      <charset val="134"/>
    </font>
    <font>
      <sz val="9"/>
      <color theme="1"/>
      <name val="宋体"/>
      <family val="3"/>
      <charset val="134"/>
    </font>
    <font>
      <sz val="9"/>
      <color theme="9"/>
      <name val="宋体"/>
      <family val="3"/>
      <charset val="134"/>
    </font>
    <font>
      <b/>
      <sz val="12"/>
      <color theme="1"/>
      <name val="微软雅黑"/>
      <family val="2"/>
      <charset val="134"/>
    </font>
    <font>
      <sz val="11"/>
      <color theme="1"/>
      <name val="微软雅黑"/>
      <family val="2"/>
      <charset val="134"/>
    </font>
    <font>
      <b/>
      <sz val="12"/>
      <color rgb="FFFF0000"/>
      <name val="微软雅黑"/>
      <family val="2"/>
      <charset val="134"/>
    </font>
    <font>
      <sz val="11"/>
      <name val="微软雅黑"/>
      <family val="2"/>
      <charset val="134"/>
    </font>
    <font>
      <sz val="11"/>
      <color rgb="FF00B050"/>
      <name val="宋体"/>
      <family val="3"/>
      <charset val="134"/>
      <scheme val="minor"/>
    </font>
    <font>
      <sz val="11"/>
      <color theme="9"/>
      <name val="微软雅黑"/>
      <family val="2"/>
      <charset val="134"/>
    </font>
    <font>
      <sz val="10.5"/>
      <color rgb="FF000000"/>
      <name val="宋体"/>
      <family val="3"/>
      <charset val="134"/>
    </font>
    <font>
      <sz val="10.5"/>
      <color theme="1"/>
      <name val="Times New Roman"/>
      <family val="1"/>
    </font>
    <font>
      <vertAlign val="superscript"/>
      <sz val="10.5"/>
      <color theme="1"/>
      <name val="Times New Roman"/>
      <family val="1"/>
    </font>
    <font>
      <sz val="10.5"/>
      <color rgb="FF000000"/>
      <name val="Times New Roman"/>
      <family val="1"/>
    </font>
    <font>
      <sz val="10.5"/>
      <color rgb="FF70AD47"/>
      <name val="Times New Roman"/>
      <family val="1"/>
    </font>
    <font>
      <b/>
      <sz val="11"/>
      <color rgb="FF444444"/>
      <name val="仿宋_GB2312"/>
      <family val="3"/>
      <charset val="134"/>
    </font>
    <font>
      <b/>
      <sz val="11"/>
      <color rgb="FF444444"/>
      <name val="Arial"/>
      <family val="2"/>
    </font>
    <font>
      <sz val="9"/>
      <color rgb="FF000000"/>
      <name val="Arial"/>
      <family val="2"/>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51"/>
        <bgColor indexed="64"/>
      </patternFill>
    </fill>
    <fill>
      <patternFill patternType="solid">
        <fgColor indexed="22"/>
        <bgColor indexed="64"/>
      </patternFill>
    </fill>
    <fill>
      <patternFill patternType="solid">
        <fgColor indexed="17"/>
        <bgColor indexed="64"/>
      </patternFill>
    </fill>
    <fill>
      <patternFill patternType="solid">
        <fgColor indexed="40"/>
        <bgColor indexed="64"/>
      </patternFill>
    </fill>
    <fill>
      <patternFill patternType="solid">
        <fgColor indexed="26"/>
        <bgColor indexed="64"/>
      </patternFill>
    </fill>
    <fill>
      <patternFill patternType="solid">
        <fgColor theme="2" tint="-9.9978637043366805E-2"/>
        <bgColor indexed="64"/>
      </patternFill>
    </fill>
    <fill>
      <patternFill patternType="solid">
        <fgColor theme="8" tint="0.39994506668294322"/>
        <bgColor indexed="64"/>
      </patternFill>
    </fill>
    <fill>
      <patternFill patternType="solid">
        <fgColor theme="4" tint="0.3999450666829432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D6D6D6"/>
      </bottom>
      <diagonal/>
    </border>
    <border>
      <left/>
      <right style="medium">
        <color rgb="FFD6D6D6"/>
      </right>
      <top/>
      <bottom style="medium">
        <color rgb="FFD6D6D6"/>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0" fontId="32" fillId="0" borderId="0">
      <alignment vertical="center"/>
    </xf>
    <xf numFmtId="43" fontId="81" fillId="0" borderId="0" applyFont="0" applyFill="0" applyBorder="0" applyAlignment="0" applyProtection="0">
      <alignment vertical="center"/>
    </xf>
    <xf numFmtId="0" fontId="86" fillId="0" borderId="0"/>
    <xf numFmtId="0" fontId="86" fillId="0" borderId="0"/>
  </cellStyleXfs>
  <cellXfs count="39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2">
      <alignment vertical="center"/>
    </xf>
    <xf numFmtId="0" fontId="209" fillId="0" borderId="31" xfId="2" applyFont="1" applyBorder="1" applyAlignment="1">
      <alignment horizontal="center" vertical="center"/>
    </xf>
    <xf numFmtId="0" fontId="82" fillId="18" borderId="1" xfId="2" applyFont="1" applyFill="1" applyBorder="1" applyAlignment="1">
      <alignment horizontal="center" vertical="center" wrapText="1" readingOrder="1"/>
    </xf>
    <xf numFmtId="0" fontId="209" fillId="0" borderId="11" xfId="2" applyFont="1" applyFill="1" applyBorder="1" applyAlignment="1">
      <alignment horizontal="center" vertical="center" wrapText="1" readingOrder="1"/>
    </xf>
    <xf numFmtId="2" fontId="3" fillId="0" borderId="2" xfId="2" applyNumberFormat="1" applyFont="1" applyFill="1" applyBorder="1" applyAlignment="1">
      <alignment horizontal="center" vertical="center" wrapText="1" readingOrder="1"/>
    </xf>
    <xf numFmtId="0" fontId="209" fillId="0" borderId="2" xfId="2" applyFont="1" applyBorder="1" applyAlignment="1">
      <alignment horizontal="center" vertical="center" wrapText="1" readingOrder="1"/>
    </xf>
    <xf numFmtId="0" fontId="277" fillId="0" borderId="2" xfId="2" applyFont="1" applyFill="1" applyBorder="1" applyAlignment="1">
      <alignment horizontal="left" vertical="center" wrapText="1" readingOrder="1"/>
    </xf>
    <xf numFmtId="0" fontId="277" fillId="0" borderId="9" xfId="2" applyFont="1" applyBorder="1" applyAlignment="1">
      <alignment horizontal="center" vertical="center" wrapText="1" readingOrder="1"/>
    </xf>
    <xf numFmtId="0" fontId="277" fillId="0" borderId="2" xfId="2" applyFont="1" applyBorder="1" applyAlignment="1">
      <alignment horizontal="center" vertical="center" wrapText="1" readingOrder="1"/>
    </xf>
    <xf numFmtId="0" fontId="277" fillId="0" borderId="12" xfId="2" applyFont="1" applyBorder="1" applyAlignment="1">
      <alignment horizontal="center" vertical="center" wrapText="1" readingOrder="1"/>
    </xf>
    <xf numFmtId="195" fontId="279" fillId="20" borderId="2" xfId="2" applyNumberFormat="1" applyFont="1" applyFill="1" applyBorder="1" applyAlignment="1">
      <alignment horizontal="center" vertical="center" wrapText="1" readingOrder="1"/>
    </xf>
    <xf numFmtId="0" fontId="3" fillId="0" borderId="9" xfId="2" applyFont="1" applyBorder="1" applyAlignment="1">
      <alignment horizontal="center" vertical="center" wrapText="1" readingOrder="1"/>
    </xf>
    <xf numFmtId="0" fontId="209" fillId="21" borderId="2" xfId="2" applyFont="1" applyFill="1" applyBorder="1" applyAlignment="1">
      <alignment horizontal="left" vertical="center" wrapText="1" readingOrder="1"/>
    </xf>
    <xf numFmtId="0" fontId="209" fillId="21" borderId="2" xfId="2" applyFont="1" applyFill="1" applyBorder="1" applyAlignment="1">
      <alignment horizontal="center" vertical="center" wrapText="1" readingOrder="1"/>
    </xf>
    <xf numFmtId="0" fontId="209" fillId="21" borderId="12" xfId="2" applyFont="1" applyFill="1" applyBorder="1" applyAlignment="1">
      <alignment horizontal="left" vertical="center" wrapText="1" readingOrder="1"/>
    </xf>
    <xf numFmtId="180" fontId="280"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wrapText="1" readingOrder="1"/>
    </xf>
    <xf numFmtId="10" fontId="279"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xf>
    <xf numFmtId="0" fontId="209" fillId="21" borderId="2" xfId="2" applyFont="1" applyFill="1" applyBorder="1" applyAlignment="1">
      <alignment vertical="center"/>
    </xf>
    <xf numFmtId="0" fontId="209" fillId="21" borderId="12" xfId="2" applyFont="1" applyFill="1" applyBorder="1" applyAlignment="1">
      <alignment vertical="center"/>
    </xf>
    <xf numFmtId="0" fontId="277" fillId="0" borderId="2" xfId="2" applyFont="1" applyFill="1" applyBorder="1" applyAlignment="1">
      <alignment horizontal="left" vertical="center" readingOrder="1"/>
    </xf>
    <xf numFmtId="180" fontId="279" fillId="20" borderId="2" xfId="2" applyNumberFormat="1" applyFont="1" applyFill="1" applyBorder="1" applyAlignment="1">
      <alignment horizontal="center" vertical="center" wrapText="1" readingOrder="1"/>
    </xf>
    <xf numFmtId="180" fontId="279" fillId="20" borderId="10" xfId="2" applyNumberFormat="1" applyFont="1" applyFill="1" applyBorder="1" applyAlignment="1">
      <alignment horizontal="center"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77" fillId="0" borderId="10" xfId="2" applyFont="1" applyFill="1" applyBorder="1" applyAlignment="1">
      <alignment horizontal="left" vertical="center" wrapText="1" readingOrder="1"/>
    </xf>
    <xf numFmtId="178" fontId="279" fillId="20" borderId="4" xfId="2" applyNumberFormat="1" applyFont="1" applyFill="1" applyBorder="1" applyAlignment="1">
      <alignment horizontal="center" vertical="center" wrapText="1" readingOrder="1"/>
    </xf>
    <xf numFmtId="178" fontId="279" fillId="20" borderId="14"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2" xfId="2" applyFont="1" applyFill="1" applyBorder="1" applyAlignment="1">
      <alignment vertical="center" wrapText="1" readingOrder="1"/>
    </xf>
    <xf numFmtId="177" fontId="279" fillId="20" borderId="10" xfId="2" applyNumberFormat="1" applyFont="1" applyFill="1" applyBorder="1" applyAlignment="1">
      <alignment horizontal="center" vertical="center" wrapText="1" readingOrder="1"/>
    </xf>
    <xf numFmtId="178" fontId="281" fillId="19" borderId="4" xfId="2" applyNumberFormat="1" applyFont="1" applyFill="1" applyBorder="1" applyAlignment="1">
      <alignment horizontal="center" vertical="center" wrapText="1" readingOrder="1"/>
    </xf>
    <xf numFmtId="178" fontId="281" fillId="19" borderId="14" xfId="2" applyNumberFormat="1" applyFont="1" applyFill="1" applyBorder="1" applyAlignment="1">
      <alignment horizontal="center" vertical="center" wrapText="1" readingOrder="1"/>
    </xf>
    <xf numFmtId="178" fontId="281" fillId="19" borderId="32" xfId="2" applyNumberFormat="1" applyFont="1" applyFill="1" applyBorder="1" applyAlignment="1">
      <alignment horizontal="center" vertical="center" wrapText="1" readingOrder="1"/>
    </xf>
    <xf numFmtId="0" fontId="277" fillId="0" borderId="3" xfId="2" applyFont="1" applyFill="1" applyBorder="1" applyAlignment="1">
      <alignment vertical="center" wrapText="1" readingOrder="1"/>
    </xf>
    <xf numFmtId="0" fontId="209" fillId="0" borderId="3" xfId="2" applyFont="1" applyBorder="1" applyAlignment="1">
      <alignment horizontal="center"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177" fontId="279" fillId="20" borderId="2"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horizontal="center" vertical="center" wrapText="1" readingOrder="1"/>
    </xf>
    <xf numFmtId="0" fontId="209" fillId="19" borderId="2" xfId="2" applyFont="1" applyFill="1" applyBorder="1" applyAlignment="1">
      <alignment horizontal="center" vertical="center" wrapText="1" readingOrder="1"/>
    </xf>
    <xf numFmtId="185" fontId="279" fillId="20" borderId="2" xfId="2" applyNumberFormat="1" applyFont="1" applyFill="1" applyBorder="1" applyAlignment="1">
      <alignment horizontal="center" vertical="center" wrapText="1" readingOrder="1"/>
    </xf>
    <xf numFmtId="0" fontId="277" fillId="18" borderId="11" xfId="2" applyFont="1" applyFill="1" applyBorder="1" applyAlignment="1">
      <alignment horizontal="center" vertical="center" wrapText="1" readingOrder="1"/>
    </xf>
    <xf numFmtId="0" fontId="277" fillId="18" borderId="12" xfId="2" applyFont="1" applyFill="1" applyBorder="1" applyAlignment="1">
      <alignment horizontal="center" vertical="center" wrapText="1" readingOrder="1"/>
    </xf>
    <xf numFmtId="195" fontId="277" fillId="0" borderId="64" xfId="2" applyNumberFormat="1" applyFont="1" applyBorder="1" applyAlignment="1">
      <alignment horizontal="center" vertical="center" wrapText="1" readingOrder="1"/>
    </xf>
    <xf numFmtId="195" fontId="277" fillId="0" borderId="2" xfId="2" applyNumberFormat="1" applyFont="1" applyBorder="1" applyAlignment="1">
      <alignment vertical="center" wrapText="1" readingOrder="1"/>
    </xf>
    <xf numFmtId="195" fontId="277" fillId="0" borderId="2" xfId="2" applyNumberFormat="1" applyFont="1" applyBorder="1" applyAlignment="1">
      <alignment horizontal="center" vertical="center" wrapText="1" readingOrder="1"/>
    </xf>
    <xf numFmtId="195" fontId="277" fillId="0" borderId="9" xfId="2" applyNumberFormat="1" applyFont="1" applyBorder="1" applyAlignment="1">
      <alignment horizontal="center" vertical="center" wrapText="1" readingOrder="1"/>
    </xf>
    <xf numFmtId="0" fontId="277" fillId="0" borderId="0" xfId="2" applyFont="1" applyAlignment="1">
      <alignment horizontal="center" vertical="center"/>
    </xf>
    <xf numFmtId="195" fontId="285" fillId="0" borderId="2" xfId="2" applyNumberFormat="1" applyFont="1" applyFill="1" applyBorder="1" applyAlignment="1">
      <alignment horizontal="center" vertical="center" wrapText="1" readingOrder="1"/>
    </xf>
    <xf numFmtId="195" fontId="285" fillId="0" borderId="2" xfId="2" applyNumberFormat="1" applyFont="1" applyBorder="1" applyAlignment="1">
      <alignment horizontal="center" vertical="center" wrapText="1"/>
    </xf>
    <xf numFmtId="195" fontId="277" fillId="0" borderId="12" xfId="2" applyNumberFormat="1" applyFont="1" applyBorder="1" applyAlignment="1">
      <alignment vertical="center" wrapText="1" readingOrder="1"/>
    </xf>
    <xf numFmtId="196" fontId="277" fillId="0" borderId="11" xfId="2" applyNumberFormat="1" applyFont="1" applyFill="1" applyBorder="1" applyAlignment="1">
      <alignment horizontal="center" vertical="center" wrapText="1" readingOrder="1"/>
    </xf>
    <xf numFmtId="195" fontId="277" fillId="22" borderId="2" xfId="2" applyNumberFormat="1" applyFont="1" applyFill="1" applyBorder="1" applyAlignment="1">
      <alignment horizontal="left" vertical="center" wrapText="1" readingOrder="1"/>
    </xf>
    <xf numFmtId="41" fontId="277" fillId="22" borderId="2" xfId="2" applyNumberFormat="1" applyFont="1" applyFill="1" applyBorder="1" applyAlignment="1">
      <alignment horizontal="left" vertical="center" wrapText="1" readingOrder="1"/>
    </xf>
    <xf numFmtId="195" fontId="209" fillId="22" borderId="2" xfId="2" applyNumberFormat="1" applyFont="1" applyFill="1" applyBorder="1" applyAlignment="1">
      <alignment horizontal="center" vertical="center" wrapText="1" readingOrder="1"/>
    </xf>
    <xf numFmtId="43" fontId="209" fillId="22" borderId="2" xfId="2" applyNumberFormat="1" applyFont="1" applyFill="1" applyBorder="1" applyAlignment="1">
      <alignment horizontal="center" vertical="center" wrapText="1" readingOrder="1"/>
    </xf>
    <xf numFmtId="196" fontId="279" fillId="20" borderId="2" xfId="2" applyNumberFormat="1" applyFont="1" applyFill="1" applyBorder="1" applyAlignment="1">
      <alignment horizontal="center" vertical="center" wrapText="1" readingOrder="1"/>
    </xf>
    <xf numFmtId="195" fontId="277" fillId="0" borderId="5" xfId="2" applyNumberFormat="1" applyFont="1" applyBorder="1" applyAlignment="1">
      <alignment vertical="center" wrapText="1" readingOrder="1"/>
    </xf>
    <xf numFmtId="0" fontId="145" fillId="0" borderId="2" xfId="2" applyBorder="1">
      <alignment vertical="center"/>
    </xf>
    <xf numFmtId="196" fontId="209" fillId="0" borderId="11" xfId="2" applyNumberFormat="1" applyFont="1" applyBorder="1" applyAlignment="1">
      <alignment horizontal="center" vertical="center" wrapText="1" readingOrder="1"/>
    </xf>
    <xf numFmtId="195" fontId="209" fillId="0" borderId="2" xfId="2" applyNumberFormat="1" applyFont="1" applyBorder="1" applyAlignment="1">
      <alignment horizontal="left" vertical="center" wrapText="1" readingOrder="1"/>
    </xf>
    <xf numFmtId="41" fontId="209" fillId="0" borderId="2" xfId="2" applyNumberFormat="1" applyFont="1" applyBorder="1" applyAlignment="1">
      <alignment horizontal="left" vertical="center" wrapText="1" readingOrder="1"/>
    </xf>
    <xf numFmtId="195" fontId="286"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readingOrder="1"/>
    </xf>
    <xf numFmtId="197" fontId="285" fillId="22" borderId="2" xfId="2" applyNumberFormat="1" applyFont="1" applyFill="1" applyBorder="1" applyAlignment="1">
      <alignment horizontal="center" vertical="center" wrapText="1" readingOrder="1"/>
    </xf>
    <xf numFmtId="43" fontId="209" fillId="19" borderId="2" xfId="2" applyNumberFormat="1" applyFont="1" applyFill="1" applyBorder="1" applyAlignment="1">
      <alignment horizontal="center" vertical="center" wrapText="1" readingOrder="1"/>
    </xf>
    <xf numFmtId="43" fontId="285" fillId="22" borderId="2" xfId="2" applyNumberFormat="1" applyFont="1" applyFill="1" applyBorder="1" applyAlignment="1">
      <alignment horizontal="center" vertical="center" wrapText="1" readingOrder="1"/>
    </xf>
    <xf numFmtId="197" fontId="209" fillId="19" borderId="2" xfId="2" applyNumberFormat="1" applyFont="1" applyFill="1" applyBorder="1" applyAlignment="1">
      <alignment horizontal="center" vertical="center" wrapText="1" readingOrder="1"/>
    </xf>
    <xf numFmtId="195" fontId="285" fillId="22" borderId="2" xfId="2" applyNumberFormat="1" applyFont="1" applyFill="1" applyBorder="1" applyAlignment="1">
      <alignment horizontal="center" vertical="center" wrapText="1" readingOrder="1"/>
    </xf>
    <xf numFmtId="197" fontId="285" fillId="0" borderId="5" xfId="2" applyNumberFormat="1" applyFont="1" applyBorder="1" applyAlignment="1">
      <alignment vertical="center" wrapText="1" readingOrder="1"/>
    </xf>
    <xf numFmtId="0" fontId="145" fillId="0" borderId="10" xfId="2" applyFont="1" applyBorder="1" applyAlignment="1">
      <alignment horizontal="center" vertical="center"/>
    </xf>
    <xf numFmtId="195" fontId="282" fillId="22" borderId="2" xfId="2" applyNumberFormat="1" applyFont="1" applyFill="1" applyBorder="1" applyAlignment="1">
      <alignment horizontal="center" vertical="center" wrapText="1" readingOrder="1"/>
    </xf>
    <xf numFmtId="195" fontId="282" fillId="20" borderId="2" xfId="2" applyNumberFormat="1" applyFont="1" applyFill="1" applyBorder="1" applyAlignment="1">
      <alignment horizontal="center" vertical="center" wrapText="1" readingOrder="1"/>
    </xf>
    <xf numFmtId="41" fontId="209" fillId="0" borderId="2" xfId="2" applyNumberFormat="1" applyFont="1" applyBorder="1" applyAlignment="1">
      <alignment horizontal="center" vertical="center" wrapText="1" readingOrder="1"/>
    </xf>
    <xf numFmtId="195" fontId="3" fillId="19" borderId="2" xfId="2" applyNumberFormat="1" applyFont="1" applyFill="1" applyBorder="1" applyAlignment="1">
      <alignment vertical="center" wrapText="1" readingOrder="1"/>
    </xf>
    <xf numFmtId="195" fontId="277" fillId="0" borderId="5" xfId="2" applyNumberFormat="1" applyFont="1" applyBorder="1" applyAlignment="1">
      <alignment horizontal="center" vertical="center" wrapText="1" readingOrder="1"/>
    </xf>
    <xf numFmtId="195" fontId="280" fillId="22" borderId="2" xfId="2" applyNumberFormat="1" applyFont="1" applyFill="1" applyBorder="1" applyAlignment="1">
      <alignment horizontal="center" vertical="center" wrapText="1" readingOrder="1"/>
    </xf>
    <xf numFmtId="43" fontId="145" fillId="0" borderId="2" xfId="2" applyNumberFormat="1" applyBorder="1">
      <alignment vertical="center"/>
    </xf>
    <xf numFmtId="43" fontId="145" fillId="0" borderId="0" xfId="2" applyNumberFormat="1">
      <alignment vertical="center"/>
    </xf>
    <xf numFmtId="195" fontId="3" fillId="19" borderId="2" xfId="2" applyNumberFormat="1" applyFont="1" applyFill="1" applyBorder="1" applyAlignment="1">
      <alignment horizontal="center" vertical="center" wrapText="1" readingOrder="1"/>
    </xf>
    <xf numFmtId="195" fontId="3" fillId="19" borderId="2" xfId="2" applyNumberFormat="1" applyFont="1" applyFill="1" applyBorder="1" applyAlignment="1">
      <alignment horizontal="center" vertical="center" readingOrder="1"/>
    </xf>
    <xf numFmtId="0" fontId="282" fillId="20" borderId="2" xfId="2" applyNumberFormat="1" applyFont="1" applyFill="1" applyBorder="1" applyAlignment="1">
      <alignment horizontal="center" vertical="center" wrapText="1" readingOrder="1"/>
    </xf>
    <xf numFmtId="195" fontId="209" fillId="8" borderId="2" xfId="2" applyNumberFormat="1" applyFont="1" applyFill="1" applyBorder="1" applyAlignment="1">
      <alignment horizontal="center" vertical="center" wrapText="1" readingOrder="1"/>
    </xf>
    <xf numFmtId="43" fontId="209" fillId="8" borderId="2" xfId="2" applyNumberFormat="1" applyFont="1" applyFill="1" applyBorder="1" applyAlignment="1">
      <alignment horizontal="center" vertical="center" wrapText="1" readingOrder="1"/>
    </xf>
    <xf numFmtId="195" fontId="3" fillId="8" borderId="2" xfId="2" applyNumberFormat="1" applyFont="1" applyFill="1" applyBorder="1" applyAlignment="1">
      <alignment horizontal="center" vertical="center" wrapText="1" readingOrder="1"/>
    </xf>
    <xf numFmtId="195" fontId="285" fillId="8" borderId="2" xfId="2" applyNumberFormat="1" applyFont="1" applyFill="1" applyBorder="1" applyAlignment="1">
      <alignment horizontal="center" vertical="center" wrapText="1" readingOrder="1"/>
    </xf>
    <xf numFmtId="196" fontId="277" fillId="0" borderId="0" xfId="2" applyNumberFormat="1" applyFont="1" applyFill="1" applyBorder="1" applyAlignment="1">
      <alignment horizontal="center" vertical="center" wrapText="1" readingOrder="1"/>
    </xf>
    <xf numFmtId="195" fontId="209" fillId="8" borderId="5" xfId="2" applyNumberFormat="1" applyFont="1" applyFill="1" applyBorder="1" applyAlignment="1">
      <alignment vertical="center" wrapText="1" readingOrder="1"/>
    </xf>
    <xf numFmtId="195" fontId="209" fillId="8" borderId="2" xfId="2" applyNumberFormat="1" applyFont="1" applyFill="1" applyBorder="1" applyAlignment="1">
      <alignment horizontal="left" vertical="center" wrapText="1" readingOrder="1"/>
    </xf>
    <xf numFmtId="197" fontId="279" fillId="20" borderId="2" xfId="2" applyNumberFormat="1" applyFont="1" applyFill="1" applyBorder="1" applyAlignment="1">
      <alignment horizontal="center" vertical="center" wrapText="1" readingOrder="1"/>
    </xf>
    <xf numFmtId="195" fontId="209" fillId="19" borderId="5" xfId="2" applyNumberFormat="1" applyFont="1" applyFill="1" applyBorder="1" applyAlignment="1">
      <alignment horizontal="center" vertical="center" wrapText="1" readingOrder="1"/>
    </xf>
    <xf numFmtId="196" fontId="277" fillId="18" borderId="11" xfId="16" applyNumberFormat="1" applyFont="1" applyFill="1" applyBorder="1" applyAlignment="1">
      <alignment horizontal="center" vertical="center" wrapText="1" readingOrder="1"/>
    </xf>
    <xf numFmtId="195" fontId="277" fillId="18" borderId="12" xfId="16" applyNumberFormat="1" applyFont="1" applyFill="1" applyBorder="1" applyAlignment="1">
      <alignment horizontal="center" vertical="center" wrapText="1" readingOrder="1"/>
    </xf>
    <xf numFmtId="196" fontId="277" fillId="0" borderId="11" xfId="16" applyNumberFormat="1" applyFont="1" applyBorder="1" applyAlignment="1">
      <alignment horizontal="center" vertical="center" wrapText="1" readingOrder="1"/>
    </xf>
    <xf numFmtId="195" fontId="277" fillId="0" borderId="2" xfId="16" applyNumberFormat="1" applyFont="1" applyBorder="1" applyAlignment="1">
      <alignment horizontal="center" vertical="center" wrapText="1" readingOrder="1"/>
    </xf>
    <xf numFmtId="195" fontId="285" fillId="0" borderId="2" xfId="16" applyNumberFormat="1" applyFont="1" applyBorder="1" applyAlignment="1">
      <alignment vertical="center" wrapText="1"/>
    </xf>
    <xf numFmtId="195" fontId="285" fillId="0" borderId="2" xfId="16" applyNumberFormat="1" applyFont="1" applyBorder="1" applyAlignment="1">
      <alignment horizontal="center" vertical="center" wrapText="1"/>
    </xf>
    <xf numFmtId="195" fontId="277" fillId="0" borderId="12" xfId="16" applyNumberFormat="1" applyFont="1" applyBorder="1" applyAlignment="1">
      <alignment horizontal="center" vertical="center" wrapText="1" readingOrder="1"/>
    </xf>
    <xf numFmtId="196" fontId="277" fillId="0" borderId="11" xfId="16" applyNumberFormat="1" applyFont="1" applyFill="1" applyBorder="1" applyAlignment="1">
      <alignment horizontal="center" vertical="center" wrapText="1" readingOrder="1"/>
    </xf>
    <xf numFmtId="195" fontId="277" fillId="22" borderId="2" xfId="16" applyNumberFormat="1" applyFont="1" applyFill="1" applyBorder="1" applyAlignment="1">
      <alignment horizontal="center" vertical="center" wrapText="1" readingOrder="1"/>
    </xf>
    <xf numFmtId="195" fontId="277" fillId="22" borderId="2" xfId="16" applyNumberFormat="1" applyFont="1" applyFill="1" applyBorder="1" applyAlignment="1">
      <alignment vertical="center" wrapText="1" readingOrder="1"/>
    </xf>
    <xf numFmtId="195" fontId="285" fillId="22" borderId="2" xfId="16" applyNumberFormat="1" applyFont="1" applyFill="1" applyBorder="1" applyAlignment="1">
      <alignment horizontal="center" vertical="center" wrapText="1"/>
    </xf>
    <xf numFmtId="196" fontId="209" fillId="0" borderId="11" xfId="16" applyNumberFormat="1" applyFont="1" applyBorder="1" applyAlignment="1">
      <alignment horizontal="center" vertical="center" wrapText="1" readingOrder="1"/>
    </xf>
    <xf numFmtId="195" fontId="209" fillId="0" borderId="2" xfId="16" applyNumberFormat="1" applyFont="1" applyBorder="1" applyAlignment="1">
      <alignment horizontal="left" vertical="center" wrapText="1" readingOrder="1"/>
    </xf>
    <xf numFmtId="195" fontId="279" fillId="20" borderId="2" xfId="16" applyNumberFormat="1" applyFont="1" applyFill="1" applyBorder="1" applyAlignment="1">
      <alignment horizontal="center" vertical="center" wrapText="1" readingOrder="1"/>
    </xf>
    <xf numFmtId="185" fontId="277" fillId="22"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vertical="center" wrapText="1" readingOrder="1"/>
    </xf>
    <xf numFmtId="195" fontId="209" fillId="0" borderId="2" xfId="16" applyNumberFormat="1" applyFont="1" applyFill="1" applyBorder="1" applyAlignment="1">
      <alignment horizontal="center" vertical="center" wrapText="1" readingOrder="1"/>
    </xf>
    <xf numFmtId="195" fontId="209" fillId="0" borderId="12" xfId="16" applyNumberFormat="1" applyFont="1" applyBorder="1" applyAlignment="1">
      <alignment horizontal="left" vertical="center" wrapText="1" readingOrder="1"/>
    </xf>
    <xf numFmtId="196" fontId="209" fillId="0" borderId="2" xfId="16" applyNumberFormat="1" applyFont="1" applyBorder="1" applyAlignment="1">
      <alignment horizontal="center" vertical="center" wrapText="1" readingOrder="1"/>
    </xf>
    <xf numFmtId="195" fontId="209" fillId="19" borderId="2" xfId="16" applyNumberFormat="1" applyFont="1" applyFill="1" applyBorder="1" applyAlignment="1">
      <alignment horizontal="center" vertical="center" wrapText="1" readingOrder="1"/>
    </xf>
    <xf numFmtId="195" fontId="286" fillId="19" borderId="2" xfId="16" applyNumberFormat="1" applyFont="1" applyFill="1" applyBorder="1" applyAlignment="1">
      <alignment horizontal="center" vertical="center" wrapText="1" readingOrder="1"/>
    </xf>
    <xf numFmtId="195" fontId="211" fillId="19"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horizontal="center" vertical="center" readingOrder="1"/>
    </xf>
    <xf numFmtId="0" fontId="209" fillId="0" borderId="2" xfId="16" applyFont="1" applyBorder="1" applyAlignment="1">
      <alignment horizontal="center" vertical="center"/>
    </xf>
    <xf numFmtId="195" fontId="277" fillId="0" borderId="2" xfId="16" applyNumberFormat="1" applyFont="1" applyFill="1" applyBorder="1" applyAlignment="1">
      <alignment horizontal="center" vertical="center" wrapText="1" readingOrder="1"/>
    </xf>
    <xf numFmtId="0" fontId="209" fillId="0" borderId="2" xfId="16" applyFont="1" applyFill="1" applyBorder="1" applyAlignment="1">
      <alignment vertical="center"/>
    </xf>
    <xf numFmtId="197" fontId="277" fillId="0" borderId="2" xfId="2" applyNumberFormat="1" applyFont="1" applyBorder="1" applyAlignment="1">
      <alignment vertical="center" wrapText="1" readingOrder="1"/>
    </xf>
    <xf numFmtId="195" fontId="209"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xf>
    <xf numFmtId="0" fontId="209" fillId="0" borderId="2" xfId="16" applyFont="1" applyFill="1" applyBorder="1" applyAlignment="1">
      <alignment horizontal="center" vertical="center"/>
    </xf>
    <xf numFmtId="185" fontId="209" fillId="19" borderId="2" xfId="16" applyNumberFormat="1" applyFont="1" applyFill="1" applyBorder="1" applyAlignment="1">
      <alignment horizontal="center" vertical="center" wrapText="1" readingOrder="1"/>
    </xf>
    <xf numFmtId="197" fontId="209" fillId="0" borderId="2" xfId="16" applyNumberFormat="1" applyFont="1" applyFill="1" applyBorder="1" applyAlignment="1">
      <alignment horizontal="center" vertical="center" wrapText="1" readingOrder="1"/>
    </xf>
    <xf numFmtId="195" fontId="209" fillId="6" borderId="2" xfId="16" applyNumberFormat="1" applyFont="1" applyFill="1" applyBorder="1" applyAlignment="1">
      <alignment vertical="center" wrapText="1" readingOrder="1"/>
    </xf>
    <xf numFmtId="195" fontId="285" fillId="0" borderId="2" xfId="16" applyNumberFormat="1" applyFont="1" applyFill="1" applyBorder="1" applyAlignment="1">
      <alignment horizontal="center" vertical="center" wrapText="1"/>
    </xf>
    <xf numFmtId="0" fontId="209" fillId="0" borderId="9" xfId="16" applyFont="1" applyBorder="1" applyAlignment="1">
      <alignment horizontal="center" vertical="center"/>
    </xf>
    <xf numFmtId="195" fontId="277"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wrapText="1" readingOrder="1"/>
    </xf>
    <xf numFmtId="195" fontId="209" fillId="0" borderId="12" xfId="16" applyNumberFormat="1" applyFont="1" applyFill="1" applyBorder="1" applyAlignment="1">
      <alignment vertical="center" wrapText="1" readingOrder="1"/>
    </xf>
    <xf numFmtId="195" fontId="276" fillId="18" borderId="2" xfId="16" applyNumberFormat="1" applyFont="1" applyFill="1" applyBorder="1" applyAlignment="1">
      <alignment vertical="center" wrapText="1" readingOrder="1"/>
    </xf>
    <xf numFmtId="195" fontId="277" fillId="0" borderId="2" xfId="16" applyNumberFormat="1" applyFont="1" applyBorder="1" applyAlignment="1">
      <alignment vertical="center" wrapText="1" readingOrder="1"/>
    </xf>
    <xf numFmtId="195" fontId="277" fillId="0" borderId="2" xfId="16" applyNumberFormat="1" applyFont="1" applyBorder="1" applyAlignment="1">
      <alignment horizontal="left" vertical="center" wrapText="1" readingOrder="1"/>
    </xf>
    <xf numFmtId="43" fontId="3" fillId="23" borderId="2" xfId="16" applyNumberFormat="1" applyFont="1" applyFill="1" applyBorder="1" applyAlignment="1">
      <alignment horizontal="center" vertical="center" wrapText="1" readingOrder="1"/>
    </xf>
    <xf numFmtId="195" fontId="209" fillId="0" borderId="2" xfId="16" applyNumberFormat="1" applyFont="1" applyBorder="1" applyAlignment="1">
      <alignment horizontal="right" vertical="center" wrapText="1" readingOrder="1"/>
    </xf>
    <xf numFmtId="195" fontId="209" fillId="0" borderId="2" xfId="16" applyNumberFormat="1" applyFont="1" applyBorder="1" applyAlignment="1">
      <alignment vertical="center" wrapText="1" readingOrder="1"/>
    </xf>
    <xf numFmtId="196" fontId="277" fillId="0" borderId="2" xfId="16" applyNumberFormat="1" applyFont="1" applyBorder="1" applyAlignment="1">
      <alignment horizontal="center" vertical="center" wrapText="1" readingOrder="1"/>
    </xf>
    <xf numFmtId="43" fontId="279" fillId="20"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left" vertical="center" wrapText="1" readingOrder="1"/>
    </xf>
    <xf numFmtId="195" fontId="277" fillId="19" borderId="2" xfId="16" applyNumberFormat="1" applyFont="1" applyFill="1" applyBorder="1" applyAlignment="1">
      <alignment horizontal="center" vertical="center" wrapText="1" readingOrder="1"/>
    </xf>
    <xf numFmtId="177" fontId="145" fillId="0" borderId="0" xfId="2" applyNumberFormat="1">
      <alignment vertical="center"/>
    </xf>
    <xf numFmtId="43" fontId="3" fillId="19" borderId="2" xfId="16" applyNumberFormat="1" applyFont="1" applyFill="1" applyBorder="1" applyAlignment="1">
      <alignment horizontal="center" vertical="center" wrapText="1" readingOrder="1"/>
    </xf>
    <xf numFmtId="43" fontId="3" fillId="23" borderId="2" xfId="16" applyNumberFormat="1" applyFont="1" applyFill="1" applyBorder="1" applyAlignment="1">
      <alignment horizontal="left" vertical="center" wrapText="1" readingOrder="1"/>
    </xf>
    <xf numFmtId="196" fontId="209" fillId="0" borderId="22" xfId="16" applyNumberFormat="1" applyFont="1" applyBorder="1" applyAlignment="1">
      <alignment horizontal="center" vertical="center" wrapText="1" readingOrder="1"/>
    </xf>
    <xf numFmtId="195" fontId="277" fillId="0" borderId="10" xfId="16" applyNumberFormat="1" applyFont="1" applyBorder="1" applyAlignment="1">
      <alignment horizontal="left" vertical="center" wrapText="1" readingOrder="1"/>
    </xf>
    <xf numFmtId="195" fontId="209" fillId="0" borderId="10" xfId="16" applyNumberFormat="1" applyFont="1" applyBorder="1" applyAlignment="1">
      <alignment horizontal="left" vertical="center" wrapText="1" readingOrder="1"/>
    </xf>
    <xf numFmtId="195" fontId="209" fillId="0" borderId="10" xfId="16" applyNumberFormat="1" applyFont="1" applyFill="1" applyBorder="1" applyAlignment="1">
      <alignment horizontal="left" vertical="center" wrapText="1" readingOrder="1"/>
    </xf>
    <xf numFmtId="195" fontId="209" fillId="0" borderId="10" xfId="16" applyNumberFormat="1" applyFont="1" applyBorder="1" applyAlignment="1">
      <alignment horizontal="right" vertical="center" wrapText="1" readingOrder="1"/>
    </xf>
    <xf numFmtId="195" fontId="209" fillId="0" borderId="10" xfId="16" applyNumberFormat="1" applyFont="1" applyBorder="1" applyAlignment="1">
      <alignment vertical="center" wrapText="1" readingOrder="1"/>
    </xf>
    <xf numFmtId="196" fontId="277" fillId="0" borderId="13" xfId="16" applyNumberFormat="1" applyFont="1" applyBorder="1" applyAlignment="1">
      <alignment horizontal="center" vertical="center" wrapText="1" readingOrder="1"/>
    </xf>
    <xf numFmtId="195" fontId="277" fillId="0" borderId="13" xfId="16" applyNumberFormat="1" applyFont="1" applyBorder="1" applyAlignment="1">
      <alignment horizontal="left" vertical="center" wrapText="1" readingOrder="1"/>
    </xf>
    <xf numFmtId="195" fontId="279" fillId="20" borderId="3" xfId="16" applyNumberFormat="1" applyFont="1" applyFill="1" applyBorder="1" applyAlignment="1">
      <alignment horizontal="center" vertical="center" wrapText="1" readingOrder="1"/>
    </xf>
    <xf numFmtId="195" fontId="3" fillId="19" borderId="10" xfId="16" applyNumberFormat="1" applyFont="1" applyFill="1" applyBorder="1" applyAlignment="1">
      <alignment horizontal="left" vertical="center" wrapText="1" readingOrder="1"/>
    </xf>
    <xf numFmtId="195" fontId="277" fillId="19" borderId="10" xfId="16" applyNumberFormat="1" applyFont="1" applyFill="1" applyBorder="1" applyAlignment="1">
      <alignment horizontal="center" vertical="center" wrapText="1" readingOrder="1"/>
    </xf>
    <xf numFmtId="195" fontId="277" fillId="0" borderId="10" xfId="16" applyNumberFormat="1" applyFont="1" applyBorder="1" applyAlignment="1">
      <alignment horizontal="center" vertical="center" wrapText="1" readingOrder="1"/>
    </xf>
    <xf numFmtId="195" fontId="277" fillId="0" borderId="65" xfId="16" applyNumberFormat="1" applyFont="1" applyBorder="1" applyAlignment="1">
      <alignment horizontal="center" vertical="center" wrapText="1" readingOrder="1"/>
    </xf>
    <xf numFmtId="195" fontId="3" fillId="23" borderId="2" xfId="16" applyNumberFormat="1" applyFont="1" applyFill="1" applyBorder="1" applyAlignment="1">
      <alignment horizontal="left" vertical="center" wrapText="1" readingOrder="1"/>
    </xf>
    <xf numFmtId="43" fontId="209" fillId="0" borderId="10" xfId="16" applyNumberFormat="1" applyFont="1" applyBorder="1" applyAlignment="1">
      <alignment horizontal="right" vertical="center" wrapText="1" readingOrder="1"/>
    </xf>
    <xf numFmtId="195" fontId="3" fillId="23" borderId="2" xfId="16" applyNumberFormat="1" applyFont="1" applyFill="1" applyBorder="1" applyAlignment="1">
      <alignment vertical="center" wrapText="1" readingOrder="1"/>
    </xf>
    <xf numFmtId="195" fontId="287" fillId="0" borderId="10" xfId="16" applyNumberFormat="1" applyFont="1" applyBorder="1" applyAlignment="1">
      <alignment vertical="center" wrapText="1" readingOrder="1"/>
    </xf>
    <xf numFmtId="196" fontId="209" fillId="24" borderId="22" xfId="16" applyNumberFormat="1" applyFont="1" applyFill="1" applyBorder="1" applyAlignment="1">
      <alignment horizontal="center" vertical="center" wrapText="1" readingOrder="1"/>
    </xf>
    <xf numFmtId="195" fontId="277" fillId="24" borderId="10" xfId="16" applyNumberFormat="1" applyFont="1" applyFill="1" applyBorder="1" applyAlignment="1">
      <alignment horizontal="left" vertical="center" wrapText="1" readingOrder="1"/>
    </xf>
    <xf numFmtId="195" fontId="209" fillId="24" borderId="10" xfId="16" applyNumberFormat="1" applyFont="1" applyFill="1" applyBorder="1" applyAlignment="1">
      <alignment horizontal="left" vertical="center" wrapText="1" readingOrder="1"/>
    </xf>
    <xf numFmtId="195" fontId="3" fillId="24" borderId="2" xfId="16" applyNumberFormat="1" applyFont="1" applyFill="1" applyBorder="1" applyAlignment="1">
      <alignment horizontal="left" vertical="center" wrapText="1" readingOrder="1"/>
    </xf>
    <xf numFmtId="43" fontId="209" fillId="24" borderId="10" xfId="16" applyNumberFormat="1" applyFont="1" applyFill="1" applyBorder="1" applyAlignment="1">
      <alignment horizontal="right" vertical="center" wrapText="1" readingOrder="1"/>
    </xf>
    <xf numFmtId="195" fontId="209" fillId="24" borderId="10" xfId="16" applyNumberFormat="1" applyFont="1" applyFill="1" applyBorder="1" applyAlignment="1">
      <alignment horizontal="right" vertical="center" wrapText="1" readingOrder="1"/>
    </xf>
    <xf numFmtId="185" fontId="277" fillId="24" borderId="2" xfId="16" applyNumberFormat="1" applyFont="1" applyFill="1" applyBorder="1" applyAlignment="1">
      <alignment horizontal="left" vertical="center" wrapText="1" readingOrder="1"/>
    </xf>
    <xf numFmtId="195" fontId="209" fillId="24" borderId="10" xfId="16" applyNumberFormat="1" applyFont="1" applyFill="1" applyBorder="1" applyAlignment="1">
      <alignment vertical="center" wrapText="1" readingOrder="1"/>
    </xf>
    <xf numFmtId="196" fontId="277" fillId="24" borderId="13" xfId="16" applyNumberFormat="1" applyFont="1" applyFill="1" applyBorder="1" applyAlignment="1">
      <alignment horizontal="center" vertical="center" wrapText="1" readingOrder="1"/>
    </xf>
    <xf numFmtId="195" fontId="277" fillId="24" borderId="13" xfId="16" applyNumberFormat="1" applyFont="1" applyFill="1" applyBorder="1" applyAlignment="1">
      <alignment horizontal="left" vertical="center" wrapText="1" readingOrder="1"/>
    </xf>
    <xf numFmtId="196" fontId="277" fillId="0" borderId="43" xfId="16" applyNumberFormat="1" applyFont="1" applyFill="1" applyBorder="1" applyAlignment="1">
      <alignment horizontal="center" vertical="center" wrapText="1" readingOrder="1"/>
    </xf>
    <xf numFmtId="195" fontId="277" fillId="0" borderId="44" xfId="16" applyNumberFormat="1" applyFont="1" applyFill="1" applyBorder="1" applyAlignment="1">
      <alignment horizontal="left" vertical="center" wrapText="1" readingOrder="1"/>
    </xf>
    <xf numFmtId="195" fontId="209" fillId="0" borderId="44" xfId="16" applyNumberFormat="1" applyFont="1" applyFill="1" applyBorder="1" applyAlignment="1">
      <alignment horizontal="center" vertical="center" wrapText="1" readingOrder="1"/>
    </xf>
    <xf numFmtId="197" fontId="279" fillId="20" borderId="2" xfId="16" applyNumberFormat="1" applyFont="1" applyFill="1" applyBorder="1" applyAlignment="1">
      <alignment horizontal="center" vertical="center" wrapText="1" readingOrder="1"/>
    </xf>
    <xf numFmtId="195" fontId="279" fillId="20" borderId="2" xfId="16" applyNumberFormat="1" applyFont="1" applyFill="1" applyBorder="1" applyAlignment="1">
      <alignment vertical="center" wrapText="1" readingOrder="1"/>
    </xf>
    <xf numFmtId="196" fontId="277" fillId="0" borderId="68" xfId="16" applyNumberFormat="1" applyFont="1" applyBorder="1" applyAlignment="1">
      <alignment vertical="center" wrapText="1" readingOrder="1"/>
    </xf>
    <xf numFmtId="197" fontId="279" fillId="20" borderId="3" xfId="16" applyNumberFormat="1" applyFont="1" applyFill="1" applyBorder="1" applyAlignment="1">
      <alignment horizontal="center" vertical="center" wrapText="1" readingOrder="1"/>
    </xf>
    <xf numFmtId="196" fontId="277" fillId="0" borderId="44" xfId="16" applyNumberFormat="1" applyFont="1" applyBorder="1" applyAlignment="1">
      <alignment vertical="center" wrapText="1" readingOrder="1"/>
    </xf>
    <xf numFmtId="196" fontId="277" fillId="0" borderId="66" xfId="16" applyNumberFormat="1" applyFont="1" applyBorder="1" applyAlignment="1">
      <alignment vertical="center" wrapText="1" readingOrder="1"/>
    </xf>
    <xf numFmtId="195" fontId="145" fillId="0" borderId="0" xfId="2" applyNumberFormat="1">
      <alignment vertical="center"/>
    </xf>
    <xf numFmtId="0" fontId="289" fillId="0" borderId="2" xfId="17" applyFont="1" applyFill="1" applyBorder="1" applyAlignment="1">
      <alignment horizontal="center" vertical="center"/>
    </xf>
    <xf numFmtId="43" fontId="145" fillId="0" borderId="0" xfId="2" applyNumberFormat="1" applyBorder="1">
      <alignment vertical="center"/>
    </xf>
    <xf numFmtId="0" fontId="145" fillId="0" borderId="0" xfId="2" applyBorder="1">
      <alignment vertical="center"/>
    </xf>
    <xf numFmtId="2" fontId="289" fillId="0" borderId="2" xfId="17" applyNumberFormat="1" applyFont="1" applyFill="1" applyBorder="1" applyAlignment="1">
      <alignment horizontal="center" vertical="center"/>
    </xf>
    <xf numFmtId="0" fontId="32" fillId="0" borderId="0" xfId="17" applyBorder="1" applyAlignment="1">
      <alignment horizontal="center" vertical="center"/>
    </xf>
    <xf numFmtId="0" fontId="32" fillId="0" borderId="0" xfId="17" applyBorder="1">
      <alignment vertical="center"/>
    </xf>
    <xf numFmtId="2" fontId="290" fillId="0" borderId="2" xfId="17" applyNumberFormat="1" applyFont="1" applyFill="1" applyBorder="1" applyAlignment="1">
      <alignment horizontal="center" vertical="center"/>
    </xf>
    <xf numFmtId="43" fontId="145" fillId="0" borderId="0" xfId="2" applyNumberFormat="1" applyBorder="1" applyAlignment="1">
      <alignment vertical="center"/>
    </xf>
    <xf numFmtId="0" fontId="145" fillId="0" borderId="0" xfId="2" applyBorder="1" applyAlignment="1">
      <alignment horizontal="center" vertical="center"/>
    </xf>
    <xf numFmtId="2" fontId="290" fillId="8" borderId="2" xfId="17" applyNumberFormat="1" applyFont="1" applyFill="1" applyBorder="1" applyAlignment="1">
      <alignment horizontal="center" vertical="center"/>
    </xf>
    <xf numFmtId="181" fontId="145" fillId="0" borderId="0" xfId="2" applyNumberFormat="1">
      <alignment vertical="center"/>
    </xf>
    <xf numFmtId="0" fontId="145" fillId="0" borderId="0" xfId="2" applyBorder="1" applyAlignment="1">
      <alignment vertical="center"/>
    </xf>
    <xf numFmtId="2" fontId="291" fillId="0" borderId="2" xfId="17" applyNumberFormat="1" applyFont="1" applyFill="1" applyBorder="1" applyAlignment="1">
      <alignment horizontal="center" vertical="center"/>
    </xf>
    <xf numFmtId="10" fontId="292" fillId="0" borderId="10" xfId="11" applyNumberFormat="1" applyFont="1" applyBorder="1" applyAlignment="1">
      <alignment horizontal="center" vertical="center"/>
    </xf>
    <xf numFmtId="180" fontId="203" fillId="0" borderId="0" xfId="2" applyNumberFormat="1" applyFont="1" applyAlignment="1">
      <alignment horizontal="center" vertical="center"/>
    </xf>
    <xf numFmtId="0" fontId="32" fillId="0" borderId="2" xfId="17" applyBorder="1" applyAlignment="1">
      <alignment horizontal="center" vertical="center"/>
    </xf>
    <xf numFmtId="0" fontId="32" fillId="0" borderId="2" xfId="17" applyBorder="1">
      <alignment vertical="center"/>
    </xf>
    <xf numFmtId="0" fontId="145" fillId="0" borderId="2" xfId="2" applyBorder="1" applyAlignment="1">
      <alignment horizontal="center" vertical="center"/>
    </xf>
    <xf numFmtId="0" fontId="289" fillId="0" borderId="2" xfId="17" applyFont="1" applyBorder="1">
      <alignment vertical="center"/>
    </xf>
    <xf numFmtId="0" fontId="147" fillId="0" borderId="2" xfId="2" applyFont="1" applyBorder="1" applyAlignment="1">
      <alignment horizontal="center" vertical="center"/>
    </xf>
    <xf numFmtId="2" fontId="293" fillId="0" borderId="2" xfId="17" applyNumberFormat="1" applyFont="1" applyFill="1" applyBorder="1" applyAlignment="1">
      <alignment horizontal="center" vertical="center"/>
    </xf>
    <xf numFmtId="10" fontId="147" fillId="0" borderId="2" xfId="11" applyNumberFormat="1" applyFont="1" applyBorder="1" applyAlignment="1">
      <alignment horizontal="center" vertical="center"/>
    </xf>
    <xf numFmtId="10" fontId="145" fillId="0" borderId="2" xfId="2" applyNumberFormat="1" applyBorder="1" applyAlignment="1">
      <alignment horizontal="center" vertical="center"/>
    </xf>
    <xf numFmtId="180" fontId="145" fillId="0" borderId="0" xfId="2" applyNumberFormat="1" applyBorder="1">
      <alignment vertical="center"/>
    </xf>
    <xf numFmtId="180" fontId="147" fillId="0" borderId="0" xfId="2" applyNumberFormat="1" applyFont="1" applyBorder="1" applyAlignment="1">
      <alignment horizontal="center" vertical="center"/>
    </xf>
    <xf numFmtId="178" fontId="289" fillId="0" borderId="2" xfId="17" applyNumberFormat="1" applyFont="1" applyFill="1" applyBorder="1" applyAlignment="1">
      <alignment horizontal="center" vertical="center"/>
    </xf>
    <xf numFmtId="198" fontId="145" fillId="0" borderId="0" xfId="2" applyNumberFormat="1" applyBorder="1">
      <alignment vertical="center"/>
    </xf>
    <xf numFmtId="10" fontId="147" fillId="0" borderId="0" xfId="11" applyNumberFormat="1" applyFont="1" applyBorder="1" applyAlignment="1">
      <alignment horizontal="center" vertical="center"/>
    </xf>
    <xf numFmtId="10" fontId="145" fillId="0" borderId="0" xfId="2" applyNumberFormat="1" applyBorder="1" applyAlignment="1">
      <alignment horizontal="center" vertical="center"/>
    </xf>
    <xf numFmtId="10" fontId="293" fillId="0" borderId="2" xfId="17" applyNumberFormat="1" applyFont="1" applyFill="1" applyBorder="1" applyAlignment="1">
      <alignment horizontal="center" vertical="center"/>
    </xf>
    <xf numFmtId="10" fontId="145" fillId="0" borderId="0" xfId="2" applyNumberFormat="1">
      <alignment vertical="center"/>
    </xf>
    <xf numFmtId="0" fontId="294" fillId="0" borderId="156" xfId="0" applyFont="1" applyBorder="1" applyAlignment="1">
      <alignment horizontal="center" vertical="center" wrapText="1"/>
    </xf>
    <xf numFmtId="0" fontId="295" fillId="0" borderId="157" xfId="0" applyFont="1" applyBorder="1" applyAlignment="1">
      <alignment horizontal="center" vertical="center" wrapText="1"/>
    </xf>
    <xf numFmtId="0" fontId="297" fillId="0" borderId="157" xfId="0" applyFont="1" applyBorder="1" applyAlignment="1">
      <alignment horizontal="center" vertical="center" wrapText="1"/>
    </xf>
    <xf numFmtId="0" fontId="294" fillId="0" borderId="157" xfId="0" applyFont="1" applyBorder="1" applyAlignment="1">
      <alignment horizontal="center" vertical="center" wrapText="1"/>
    </xf>
    <xf numFmtId="0" fontId="297" fillId="13" borderId="157" xfId="0" applyFont="1" applyFill="1" applyBorder="1" applyAlignment="1">
      <alignment horizontal="center" vertical="center" wrapText="1"/>
    </xf>
    <xf numFmtId="0" fontId="298" fillId="0" borderId="157" xfId="0" applyFont="1" applyBorder="1" applyAlignment="1">
      <alignment horizontal="center" vertical="center" wrapText="1"/>
    </xf>
    <xf numFmtId="0" fontId="294" fillId="0" borderId="157" xfId="0" applyFont="1" applyBorder="1" applyAlignment="1">
      <alignment horizontal="left" vertical="center" wrapText="1"/>
    </xf>
    <xf numFmtId="9" fontId="297" fillId="0" borderId="157" xfId="0" applyNumberFormat="1" applyFont="1" applyBorder="1" applyAlignment="1">
      <alignment horizontal="center" vertical="center" wrapText="1"/>
    </xf>
    <xf numFmtId="0" fontId="149" fillId="0" borderId="0" xfId="0" applyFont="1">
      <alignment vertical="center"/>
    </xf>
    <xf numFmtId="0" fontId="149" fillId="0" borderId="161" xfId="0" applyFont="1" applyBorder="1">
      <alignment vertical="center"/>
    </xf>
    <xf numFmtId="0" fontId="149" fillId="0" borderId="161" xfId="0" applyFont="1" applyBorder="1" applyAlignment="1">
      <alignment horizontal="left" vertical="center"/>
    </xf>
    <xf numFmtId="0" fontId="149" fillId="0" borderId="161" xfId="0" applyFont="1" applyBorder="1" applyAlignment="1">
      <alignment horizontal="right" vertical="center"/>
    </xf>
    <xf numFmtId="14" fontId="149" fillId="0" borderId="161" xfId="0" applyNumberFormat="1" applyFont="1" applyBorder="1" applyAlignment="1">
      <alignment horizontal="left" vertical="center"/>
    </xf>
    <xf numFmtId="0" fontId="153" fillId="0" borderId="0" xfId="0" applyFont="1">
      <alignment vertical="center"/>
    </xf>
    <xf numFmtId="0" fontId="153" fillId="0" borderId="161" xfId="0" applyFont="1" applyBorder="1">
      <alignment vertical="center"/>
    </xf>
    <xf numFmtId="0" fontId="153" fillId="0" borderId="161" xfId="0" applyFont="1" applyBorder="1" applyAlignment="1">
      <alignment horizontal="left" vertical="center"/>
    </xf>
    <xf numFmtId="0" fontId="153" fillId="0" borderId="161" xfId="0" applyFont="1" applyBorder="1" applyAlignment="1">
      <alignment horizontal="right" vertical="center"/>
    </xf>
    <xf numFmtId="14" fontId="153" fillId="0" borderId="161" xfId="0" applyNumberFormat="1" applyFont="1" applyBorder="1" applyAlignment="1">
      <alignment horizontal="left" vertical="center"/>
    </xf>
    <xf numFmtId="0" fontId="300" fillId="0" borderId="161" xfId="0" applyFont="1" applyBorder="1" applyAlignment="1">
      <alignment horizontal="center" vertical="center" wrapText="1"/>
    </xf>
    <xf numFmtId="0" fontId="300" fillId="0" borderId="162" xfId="0" applyFont="1" applyBorder="1" applyAlignment="1">
      <alignment horizontal="center" vertical="center" wrapText="1"/>
    </xf>
    <xf numFmtId="0" fontId="149" fillId="0" borderId="0" xfId="0" applyFont="1" applyAlignment="1">
      <alignment vertical="center" wrapText="1"/>
    </xf>
    <xf numFmtId="178" fontId="300" fillId="0" borderId="161" xfId="0" applyNumberFormat="1" applyFont="1" applyBorder="1" applyAlignment="1">
      <alignment horizontal="center" vertical="center" wrapText="1"/>
    </xf>
    <xf numFmtId="178" fontId="149" fillId="0" borderId="161" xfId="0" applyNumberFormat="1" applyFont="1" applyBorder="1" applyAlignment="1">
      <alignment horizontal="right" vertical="center"/>
    </xf>
    <xf numFmtId="178" fontId="153" fillId="0" borderId="161" xfId="0" applyNumberFormat="1" applyFont="1" applyBorder="1" applyAlignment="1">
      <alignment horizontal="right" vertical="center"/>
    </xf>
    <xf numFmtId="178" fontId="149" fillId="0" borderId="0" xfId="0" applyNumberFormat="1" applyFont="1">
      <alignment vertical="center"/>
    </xf>
    <xf numFmtId="0" fontId="153" fillId="9" borderId="0" xfId="0" applyFont="1" applyFill="1">
      <alignment vertical="center"/>
    </xf>
    <xf numFmtId="0" fontId="153" fillId="9" borderId="161" xfId="0" applyFont="1" applyFill="1" applyBorder="1">
      <alignment vertical="center"/>
    </xf>
    <xf numFmtId="0" fontId="153" fillId="9" borderId="161" xfId="0" applyFont="1" applyFill="1" applyBorder="1" applyAlignment="1">
      <alignment horizontal="left" vertical="center"/>
    </xf>
    <xf numFmtId="0" fontId="153" fillId="9" borderId="161" xfId="0" applyFont="1" applyFill="1" applyBorder="1" applyAlignment="1">
      <alignment horizontal="right" vertical="center"/>
    </xf>
    <xf numFmtId="14" fontId="153" fillId="9" borderId="161" xfId="0" applyNumberFormat="1" applyFont="1" applyFill="1" applyBorder="1" applyAlignment="1">
      <alignment horizontal="left" vertical="center"/>
    </xf>
    <xf numFmtId="178" fontId="153" fillId="9" borderId="161" xfId="0" applyNumberFormat="1" applyFont="1" applyFill="1" applyBorder="1" applyAlignment="1">
      <alignment horizontal="right" vertical="center"/>
    </xf>
    <xf numFmtId="0" fontId="153" fillId="6" borderId="0" xfId="0" applyFont="1" applyFill="1">
      <alignment vertical="center"/>
    </xf>
    <xf numFmtId="0" fontId="153" fillId="6" borderId="161" xfId="0" applyFont="1" applyFill="1" applyBorder="1">
      <alignment vertical="center"/>
    </xf>
    <xf numFmtId="0" fontId="153" fillId="6" borderId="161" xfId="0" applyFont="1" applyFill="1" applyBorder="1" applyAlignment="1">
      <alignment horizontal="left" vertical="center"/>
    </xf>
    <xf numFmtId="0" fontId="153" fillId="6" borderId="161" xfId="0" applyFont="1" applyFill="1" applyBorder="1" applyAlignment="1">
      <alignment horizontal="right" vertical="center"/>
    </xf>
    <xf numFmtId="14" fontId="153" fillId="6" borderId="161" xfId="0" applyNumberFormat="1" applyFont="1" applyFill="1" applyBorder="1" applyAlignment="1">
      <alignment horizontal="left" vertical="center"/>
    </xf>
    <xf numFmtId="178" fontId="153" fillId="6" borderId="161" xfId="0" applyNumberFormat="1" applyFont="1" applyFill="1" applyBorder="1" applyAlignment="1">
      <alignment horizontal="right" vertical="center"/>
    </xf>
    <xf numFmtId="0" fontId="153" fillId="0" borderId="0" xfId="0" applyFont="1" applyFill="1">
      <alignment vertical="center"/>
    </xf>
    <xf numFmtId="0" fontId="149" fillId="0" borderId="0" xfId="0" applyFont="1" applyFill="1">
      <alignment vertical="center"/>
    </xf>
    <xf numFmtId="0" fontId="153" fillId="0" borderId="161" xfId="0" applyFont="1" applyFill="1" applyBorder="1">
      <alignment vertical="center"/>
    </xf>
    <xf numFmtId="0" fontId="153" fillId="0" borderId="161" xfId="0" applyFont="1" applyFill="1" applyBorder="1" applyAlignment="1">
      <alignment horizontal="left" vertical="center"/>
    </xf>
    <xf numFmtId="0" fontId="153" fillId="0" borderId="161" xfId="0" applyFont="1" applyFill="1" applyBorder="1" applyAlignment="1">
      <alignment horizontal="right" vertical="center"/>
    </xf>
    <xf numFmtId="14" fontId="153" fillId="0" borderId="161" xfId="0" applyNumberFormat="1" applyFont="1" applyFill="1" applyBorder="1" applyAlignment="1">
      <alignment horizontal="left" vertical="center"/>
    </xf>
    <xf numFmtId="178" fontId="153" fillId="0" borderId="161" xfId="0" applyNumberFormat="1" applyFont="1" applyFill="1" applyBorder="1"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44" xfId="2" applyFont="1" applyFill="1" applyBorder="1" applyAlignment="1" applyProtection="1">
      <alignment vertical="center"/>
    </xf>
    <xf numFmtId="0" fontId="76" fillId="5" borderId="0" xfId="1" applyFont="1" applyFill="1" applyAlignment="1" applyProtection="1">
      <alignment vertical="center"/>
      <protection locked="0"/>
    </xf>
    <xf numFmtId="0" fontId="149" fillId="0" borderId="161" xfId="0" applyFont="1" applyFill="1" applyBorder="1">
      <alignment vertical="center"/>
    </xf>
    <xf numFmtId="0" fontId="149" fillId="0" borderId="161" xfId="0" applyFont="1" applyFill="1" applyBorder="1" applyAlignment="1">
      <alignment horizontal="left" vertical="center"/>
    </xf>
    <xf numFmtId="0" fontId="149" fillId="0" borderId="161" xfId="0" applyFont="1" applyFill="1" applyBorder="1" applyAlignment="1">
      <alignment horizontal="right" vertical="center"/>
    </xf>
    <xf numFmtId="14" fontId="149" fillId="0" borderId="161" xfId="0" applyNumberFormat="1" applyFont="1" applyFill="1" applyBorder="1" applyAlignment="1">
      <alignment horizontal="left" vertical="center"/>
    </xf>
    <xf numFmtId="178" fontId="149" fillId="0" borderId="161" xfId="0" applyNumberFormat="1" applyFont="1" applyFill="1" applyBorder="1" applyAlignment="1">
      <alignment horizontal="righ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11" xfId="0" applyFont="1" applyFill="1" applyBorder="1" applyAlignment="1" applyProtection="1">
      <alignment vertical="center"/>
      <protection locked="0"/>
    </xf>
    <xf numFmtId="180" fontId="71" fillId="5" borderId="2" xfId="0" applyNumberFormat="1" applyFont="1" applyFill="1" applyBorder="1" applyAlignment="1" applyProtection="1">
      <alignment horizontal="center" vertical="center"/>
      <protection locked="0"/>
    </xf>
    <xf numFmtId="0" fontId="301" fillId="0" borderId="82" xfId="0" applyFont="1" applyBorder="1" applyAlignment="1">
      <alignment horizontal="justify" vertical="center"/>
    </xf>
    <xf numFmtId="0" fontId="301" fillId="0" borderId="38" xfId="0" applyFont="1" applyBorder="1" applyAlignment="1">
      <alignment horizontal="justify" vertical="center"/>
    </xf>
    <xf numFmtId="0" fontId="301" fillId="0" borderId="38" xfId="0" applyFont="1" applyBorder="1" applyAlignment="1">
      <alignment horizontal="justify" vertical="center" wrapText="1"/>
    </xf>
    <xf numFmtId="0" fontId="301" fillId="0" borderId="80" xfId="0" applyFont="1" applyBorder="1" applyAlignment="1">
      <alignment horizontal="justify" vertical="center"/>
    </xf>
    <xf numFmtId="0" fontId="301" fillId="0" borderId="66" xfId="0" applyFont="1" applyBorder="1" applyAlignment="1">
      <alignment horizontal="justify" vertical="center"/>
    </xf>
    <xf numFmtId="0" fontId="301" fillId="0" borderId="66" xfId="0" applyFont="1" applyBorder="1" applyAlignment="1">
      <alignment horizontal="justify" vertical="center" wrapText="1"/>
    </xf>
    <xf numFmtId="0" fontId="145" fillId="0" borderId="0" xfId="0" applyFont="1">
      <alignment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294" fillId="0" borderId="154" xfId="0" applyFont="1" applyBorder="1" applyAlignment="1">
      <alignment horizontal="center" vertical="center" wrapText="1"/>
    </xf>
    <xf numFmtId="0" fontId="294" fillId="0" borderId="155" xfId="0" applyFont="1" applyBorder="1" applyAlignment="1">
      <alignment horizontal="center" vertical="center" wrapText="1"/>
    </xf>
    <xf numFmtId="0" fontId="294" fillId="0" borderId="156" xfId="0" applyFont="1" applyBorder="1" applyAlignment="1">
      <alignment horizontal="center" vertical="center" wrapText="1"/>
    </xf>
    <xf numFmtId="0" fontId="294" fillId="0" borderId="158" xfId="0" applyFont="1" applyBorder="1" applyAlignment="1">
      <alignment horizontal="center" vertical="center" wrapText="1"/>
    </xf>
    <xf numFmtId="0" fontId="294" fillId="0" borderId="159" xfId="0" applyFont="1" applyBorder="1" applyAlignment="1">
      <alignment horizontal="center" vertical="center" wrapText="1"/>
    </xf>
    <xf numFmtId="0" fontId="294" fillId="0" borderId="160" xfId="0" applyFont="1" applyBorder="1" applyAlignment="1">
      <alignment horizontal="center" vertical="center" wrapText="1"/>
    </xf>
    <xf numFmtId="0" fontId="275" fillId="0" borderId="26" xfId="2" applyFont="1" applyBorder="1" applyAlignment="1">
      <alignment horizontal="left" vertical="center"/>
    </xf>
    <xf numFmtId="0" fontId="276" fillId="0" borderId="28" xfId="2" applyFont="1" applyBorder="1" applyAlignment="1">
      <alignment horizontal="left" vertical="center"/>
    </xf>
    <xf numFmtId="0" fontId="276" fillId="0" borderId="39" xfId="2" applyFont="1" applyBorder="1" applyAlignment="1">
      <alignment horizontal="left" vertical="center"/>
    </xf>
    <xf numFmtId="0" fontId="209" fillId="0" borderId="0" xfId="2" applyFont="1" applyAlignment="1">
      <alignment horizontal="center" vertical="center"/>
    </xf>
    <xf numFmtId="0" fontId="209" fillId="0" borderId="65" xfId="2" applyFont="1" applyBorder="1" applyAlignment="1">
      <alignment horizontal="center" vertical="center"/>
    </xf>
    <xf numFmtId="0" fontId="276" fillId="18" borderId="6" xfId="2" applyFont="1" applyFill="1" applyBorder="1" applyAlignment="1">
      <alignment horizontal="center" vertical="center" wrapText="1" readingOrder="1"/>
    </xf>
    <xf numFmtId="0" fontId="276" fillId="18" borderId="7" xfId="2" applyFont="1" applyFill="1" applyBorder="1" applyAlignment="1">
      <alignment horizontal="center" vertical="center" wrapText="1" readingOrder="1"/>
    </xf>
    <xf numFmtId="0" fontId="276" fillId="18" borderId="42" xfId="2" applyFont="1" applyFill="1" applyBorder="1" applyAlignment="1">
      <alignment horizontal="center" vertical="center" wrapText="1" readingOrder="1"/>
    </xf>
    <xf numFmtId="0" fontId="277" fillId="0" borderId="5" xfId="2" applyFont="1" applyFill="1" applyBorder="1" applyAlignment="1">
      <alignment horizontal="left" vertical="center" wrapText="1" readingOrder="1"/>
    </xf>
    <xf numFmtId="0" fontId="277" fillId="0" borderId="9" xfId="2" applyFont="1" applyFill="1" applyBorder="1" applyAlignment="1">
      <alignment horizontal="left" vertical="center" wrapText="1" readingOrder="1"/>
    </xf>
    <xf numFmtId="0" fontId="278" fillId="19" borderId="5" xfId="2" applyFont="1" applyFill="1" applyBorder="1" applyAlignment="1">
      <alignment horizontal="center" vertical="center" wrapText="1" readingOrder="1"/>
    </xf>
    <xf numFmtId="0" fontId="278" fillId="19" borderId="8" xfId="2" applyFont="1" applyFill="1" applyBorder="1" applyAlignment="1">
      <alignment horizontal="center" vertical="center" wrapText="1" readingOrder="1"/>
    </xf>
    <xf numFmtId="0" fontId="278" fillId="19" borderId="9" xfId="2" applyFont="1" applyFill="1" applyBorder="1" applyAlignment="1">
      <alignment horizontal="center" vertical="center" wrapText="1" readingOrder="1"/>
    </xf>
    <xf numFmtId="180" fontId="279" fillId="20" borderId="5" xfId="2" applyNumberFormat="1" applyFont="1" applyFill="1" applyBorder="1" applyAlignment="1">
      <alignment horizontal="center" vertical="center" wrapText="1" readingOrder="1"/>
    </xf>
    <xf numFmtId="180" fontId="279" fillId="20" borderId="9"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19" borderId="12" xfId="2" applyFont="1" applyFill="1" applyBorder="1" applyAlignment="1">
      <alignment horizontal="left" vertical="center" readingOrder="1"/>
    </xf>
    <xf numFmtId="0" fontId="209" fillId="0" borderId="11" xfId="2" applyFont="1" applyFill="1" applyBorder="1" applyAlignment="1">
      <alignment horizontal="center" vertical="center" wrapText="1" readingOrder="1"/>
    </xf>
    <xf numFmtId="0" fontId="277" fillId="0" borderId="4" xfId="2" applyFont="1" applyFill="1" applyBorder="1" applyAlignment="1">
      <alignment horizontal="left" vertical="center" wrapText="1" readingOrder="1"/>
    </xf>
    <xf numFmtId="0" fontId="277" fillId="0" borderId="32" xfId="2" applyFont="1" applyFill="1" applyBorder="1" applyAlignment="1">
      <alignment horizontal="left" vertical="center" wrapText="1" readingOrder="1"/>
    </xf>
    <xf numFmtId="0" fontId="277" fillId="0" borderId="17" xfId="2" applyFont="1" applyFill="1" applyBorder="1" applyAlignment="1">
      <alignment horizontal="left" vertical="center" wrapText="1" readingOrder="1"/>
    </xf>
    <xf numFmtId="0" fontId="277" fillId="0" borderId="20" xfId="2" applyFont="1" applyFill="1" applyBorder="1" applyAlignment="1">
      <alignment horizontal="left" vertical="center" wrapText="1" readingOrder="1"/>
    </xf>
    <xf numFmtId="10" fontId="3" fillId="0" borderId="2" xfId="2" applyNumberFormat="1" applyFont="1" applyFill="1" applyBorder="1" applyAlignment="1">
      <alignment horizontal="center" vertical="center" wrapText="1" readingOrder="1"/>
    </xf>
    <xf numFmtId="9" fontId="209" fillId="19" borderId="4" xfId="2" applyNumberFormat="1" applyFont="1" applyFill="1" applyBorder="1" applyAlignment="1">
      <alignment horizontal="left" vertical="center" readingOrder="1"/>
    </xf>
    <xf numFmtId="9" fontId="209" fillId="19" borderId="14" xfId="2" applyNumberFormat="1" applyFont="1" applyFill="1" applyBorder="1" applyAlignment="1">
      <alignment horizontal="left" vertical="center" readingOrder="1"/>
    </xf>
    <xf numFmtId="9" fontId="209" fillId="19" borderId="32" xfId="2" applyNumberFormat="1" applyFont="1" applyFill="1" applyBorder="1" applyAlignment="1">
      <alignment horizontal="left" vertical="center" readingOrder="1"/>
    </xf>
    <xf numFmtId="9" fontId="209" fillId="19" borderId="17" xfId="2" applyNumberFormat="1" applyFont="1" applyFill="1" applyBorder="1" applyAlignment="1">
      <alignment horizontal="left" vertical="center" readingOrder="1"/>
    </xf>
    <xf numFmtId="9" fontId="209" fillId="19" borderId="19" xfId="2" applyNumberFormat="1" applyFont="1" applyFill="1" applyBorder="1" applyAlignment="1">
      <alignment horizontal="left" vertical="center" readingOrder="1"/>
    </xf>
    <xf numFmtId="9" fontId="209" fillId="19" borderId="20" xfId="2" applyNumberFormat="1" applyFont="1" applyFill="1" applyBorder="1" applyAlignment="1">
      <alignment horizontal="left" vertical="center" readingOrder="1"/>
    </xf>
    <xf numFmtId="0" fontId="209" fillId="0" borderId="2" xfId="2" applyFont="1" applyBorder="1" applyAlignment="1">
      <alignment horizontal="center" vertical="center" wrapText="1" readingOrder="1"/>
    </xf>
    <xf numFmtId="0" fontId="209" fillId="0" borderId="5" xfId="2" applyFont="1" applyFill="1" applyBorder="1" applyAlignment="1">
      <alignment horizontal="center" vertical="center" wrapText="1" readingOrder="1"/>
    </xf>
    <xf numFmtId="0" fontId="209" fillId="0" borderId="9" xfId="2" applyFont="1" applyFill="1" applyBorder="1" applyAlignment="1">
      <alignment horizontal="center" vertical="center" wrapText="1" readingOrder="1"/>
    </xf>
    <xf numFmtId="0" fontId="209" fillId="19" borderId="2" xfId="2" applyFont="1" applyFill="1" applyBorder="1" applyAlignment="1">
      <alignment horizontal="left" vertical="center" wrapText="1"/>
    </xf>
    <xf numFmtId="0" fontId="209" fillId="19" borderId="12" xfId="2" applyFont="1" applyFill="1" applyBorder="1" applyAlignment="1">
      <alignment horizontal="left" vertical="center" wrapText="1"/>
    </xf>
    <xf numFmtId="0" fontId="209" fillId="0" borderId="5" xfId="2" applyFont="1" applyFill="1" applyBorder="1" applyAlignment="1">
      <alignment horizontal="center" vertical="center" readingOrder="1"/>
    </xf>
    <xf numFmtId="0" fontId="209" fillId="0" borderId="9" xfId="2" applyFont="1" applyFill="1" applyBorder="1" applyAlignment="1">
      <alignment horizontal="center" vertical="center" readingOrder="1"/>
    </xf>
    <xf numFmtId="180" fontId="278" fillId="19" borderId="5" xfId="2" applyNumberFormat="1" applyFont="1" applyFill="1" applyBorder="1" applyAlignment="1">
      <alignment horizontal="center" vertical="center" wrapText="1" readingOrder="1"/>
    </xf>
    <xf numFmtId="178" fontId="279" fillId="20" borderId="5" xfId="2" applyNumberFormat="1" applyFont="1" applyFill="1" applyBorder="1" applyAlignment="1">
      <alignment horizontal="center" vertical="center" wrapText="1" readingOrder="1"/>
    </xf>
    <xf numFmtId="178" fontId="279" fillId="20" borderId="9" xfId="2" applyNumberFormat="1" applyFont="1" applyFill="1" applyBorder="1" applyAlignment="1">
      <alignment horizontal="center" vertical="center" wrapText="1" readingOrder="1"/>
    </xf>
    <xf numFmtId="0" fontId="209" fillId="19" borderId="5" xfId="2" applyFont="1" applyFill="1" applyBorder="1" applyAlignment="1">
      <alignment horizontal="left" vertical="center" readingOrder="1"/>
    </xf>
    <xf numFmtId="0" fontId="209" fillId="19" borderId="8" xfId="2" applyFont="1" applyFill="1" applyBorder="1" applyAlignment="1">
      <alignment horizontal="left" vertical="center" readingOrder="1"/>
    </xf>
    <xf numFmtId="0" fontId="209" fillId="19" borderId="9" xfId="2" applyFont="1" applyFill="1" applyBorder="1" applyAlignment="1">
      <alignment horizontal="left" vertical="center" readingOrder="1"/>
    </xf>
    <xf numFmtId="0" fontId="3" fillId="19" borderId="2" xfId="2" applyFont="1" applyFill="1" applyBorder="1" applyAlignment="1">
      <alignment horizontal="left" vertical="center" readingOrder="1"/>
    </xf>
    <xf numFmtId="0" fontId="3" fillId="19" borderId="12" xfId="2" applyFont="1" applyFill="1" applyBorder="1" applyAlignment="1">
      <alignment horizontal="left" vertical="center" readingOrder="1"/>
    </xf>
    <xf numFmtId="0" fontId="3" fillId="19" borderId="2" xfId="2" applyFont="1" applyFill="1" applyBorder="1" applyAlignment="1">
      <alignment horizontal="left" vertical="center" wrapText="1" readingOrder="1"/>
    </xf>
    <xf numFmtId="0" fontId="3" fillId="19" borderId="12" xfId="2" applyFont="1" applyFill="1" applyBorder="1" applyAlignment="1">
      <alignment horizontal="left" vertical="center" wrapText="1" readingOrder="1"/>
    </xf>
    <xf numFmtId="0" fontId="277" fillId="0" borderId="2" xfId="2" applyFont="1" applyFill="1" applyBorder="1" applyAlignment="1">
      <alignment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1" fontId="3" fillId="19" borderId="2" xfId="2" applyNumberFormat="1" applyFont="1" applyFill="1" applyBorder="1" applyAlignment="1">
      <alignment horizontal="left" vertical="center" readingOrder="1"/>
    </xf>
    <xf numFmtId="1" fontId="3" fillId="19" borderId="12" xfId="2" applyNumberFormat="1" applyFont="1" applyFill="1" applyBorder="1" applyAlignment="1">
      <alignment horizontal="left" vertical="center" readingOrder="1"/>
    </xf>
    <xf numFmtId="195" fontId="284" fillId="18" borderId="2" xfId="16" applyNumberFormat="1" applyFont="1" applyFill="1" applyBorder="1" applyAlignment="1">
      <alignment horizontal="center" vertical="center" wrapText="1" readingOrder="1"/>
    </xf>
    <xf numFmtId="0" fontId="209" fillId="0" borderId="10" xfId="16" applyFont="1" applyBorder="1" applyAlignment="1">
      <alignment horizontal="center" vertical="center"/>
    </xf>
    <xf numFmtId="0" fontId="209" fillId="0" borderId="21" xfId="16" applyFont="1" applyBorder="1" applyAlignment="1">
      <alignment horizontal="center" vertical="center"/>
    </xf>
    <xf numFmtId="195" fontId="276" fillId="18" borderId="2" xfId="16" applyNumberFormat="1" applyFont="1" applyFill="1" applyBorder="1" applyAlignment="1">
      <alignment horizontal="center" vertical="center" wrapText="1" readingOrder="1"/>
    </xf>
    <xf numFmtId="195" fontId="276" fillId="18" borderId="12" xfId="16" applyNumberFormat="1" applyFont="1" applyFill="1" applyBorder="1" applyAlignment="1">
      <alignment horizontal="center" vertical="center" wrapText="1" readingOrder="1"/>
    </xf>
    <xf numFmtId="0" fontId="209" fillId="0" borderId="32" xfId="2" applyFont="1" applyFill="1" applyBorder="1" applyAlignment="1">
      <alignment horizontal="center" vertical="center" wrapText="1" readingOrder="1"/>
    </xf>
    <xf numFmtId="0" fontId="209" fillId="0" borderId="20" xfId="2" applyFont="1" applyFill="1" applyBorder="1" applyAlignment="1">
      <alignment horizontal="center" vertical="center" wrapText="1" readingOrder="1"/>
    </xf>
    <xf numFmtId="0" fontId="277" fillId="0" borderId="3" xfId="2" applyFont="1" applyFill="1" applyBorder="1" applyAlignment="1">
      <alignment horizontal="center" vertical="center" wrapText="1" readingOrder="1"/>
    </xf>
    <xf numFmtId="0" fontId="277" fillId="0" borderId="21" xfId="2" applyFont="1" applyFill="1" applyBorder="1" applyAlignment="1">
      <alignment horizontal="center" vertical="center" wrapText="1" readingOrder="1"/>
    </xf>
    <xf numFmtId="178" fontId="281" fillId="19" borderId="5" xfId="2" applyNumberFormat="1" applyFont="1" applyFill="1" applyBorder="1" applyAlignment="1">
      <alignment horizontal="center" vertical="center" wrapText="1" readingOrder="1"/>
    </xf>
    <xf numFmtId="178" fontId="281" fillId="19" borderId="8" xfId="2" applyNumberFormat="1" applyFont="1" applyFill="1" applyBorder="1" applyAlignment="1">
      <alignment horizontal="center" vertical="center" wrapText="1" readingOrder="1"/>
    </xf>
    <xf numFmtId="178" fontId="281" fillId="19" borderId="9" xfId="2" applyNumberFormat="1" applyFont="1" applyFill="1" applyBorder="1" applyAlignment="1">
      <alignment horizontal="center" vertical="center" wrapText="1" readingOrder="1"/>
    </xf>
    <xf numFmtId="0" fontId="209" fillId="19" borderId="5" xfId="2" applyFont="1" applyFill="1" applyBorder="1" applyAlignment="1">
      <alignment horizontal="center" vertical="center" wrapText="1" readingOrder="1"/>
    </xf>
    <xf numFmtId="0" fontId="209" fillId="19" borderId="8" xfId="2" applyFont="1" applyFill="1" applyBorder="1" applyAlignment="1">
      <alignment horizontal="center" vertical="center" wrapText="1" readingOrder="1"/>
    </xf>
    <xf numFmtId="0" fontId="209" fillId="19" borderId="9" xfId="2" applyFont="1" applyFill="1" applyBorder="1" applyAlignment="1">
      <alignment horizontal="center" vertical="center" wrapText="1" readingOrder="1"/>
    </xf>
    <xf numFmtId="185" fontId="279" fillId="20" borderId="5" xfId="2" applyNumberFormat="1" applyFont="1" applyFill="1" applyBorder="1" applyAlignment="1">
      <alignment horizontal="center" vertical="center" wrapText="1" readingOrder="1"/>
    </xf>
    <xf numFmtId="185" fontId="279" fillId="20" borderId="9" xfId="2" applyNumberFormat="1" applyFont="1" applyFill="1" applyBorder="1" applyAlignment="1">
      <alignment horizontal="center" vertical="center" wrapText="1" readingOrder="1"/>
    </xf>
    <xf numFmtId="0" fontId="209" fillId="0" borderId="31" xfId="2" applyFont="1" applyFill="1" applyBorder="1" applyAlignment="1">
      <alignment horizontal="center" vertical="center" wrapText="1" readingOrder="1"/>
    </xf>
    <xf numFmtId="0" fontId="209" fillId="0" borderId="0" xfId="2" applyFont="1" applyFill="1" applyAlignment="1">
      <alignment horizontal="center" vertical="center" wrapText="1" readingOrder="1"/>
    </xf>
    <xf numFmtId="0" fontId="209" fillId="0" borderId="18" xfId="2" applyFont="1" applyFill="1" applyBorder="1" applyAlignment="1">
      <alignment horizontal="center" vertical="center" wrapText="1" readingOrder="1"/>
    </xf>
    <xf numFmtId="0" fontId="282" fillId="0" borderId="9" xfId="2" applyFont="1" applyBorder="1" applyAlignment="1">
      <alignment horizontal="left" vertical="center"/>
    </xf>
    <xf numFmtId="0" fontId="209" fillId="0" borderId="2" xfId="2" applyFont="1" applyBorder="1" applyAlignment="1">
      <alignment horizontal="left" vertical="center"/>
    </xf>
    <xf numFmtId="0" fontId="209" fillId="0" borderId="12" xfId="2" applyFont="1" applyBorder="1" applyAlignment="1">
      <alignment horizontal="left" vertical="center"/>
    </xf>
    <xf numFmtId="0" fontId="209" fillId="0" borderId="9" xfId="2" applyFont="1" applyBorder="1" applyAlignment="1">
      <alignment horizontal="left" vertical="center"/>
    </xf>
    <xf numFmtId="0" fontId="277" fillId="0" borderId="5" xfId="2" applyFont="1" applyFill="1" applyBorder="1" applyAlignment="1">
      <alignment vertical="center" wrapText="1" readingOrder="1"/>
    </xf>
    <xf numFmtId="0" fontId="277" fillId="0" borderId="9" xfId="2" applyFont="1" applyFill="1" applyBorder="1" applyAlignment="1">
      <alignment vertical="center" wrapText="1" readingOrder="1"/>
    </xf>
    <xf numFmtId="0" fontId="277" fillId="0" borderId="2" xfId="2" applyFont="1" applyFill="1" applyBorder="1" applyAlignment="1">
      <alignment horizontal="center" vertical="center" wrapText="1" readingOrder="1"/>
    </xf>
    <xf numFmtId="0" fontId="209" fillId="19" borderId="4" xfId="2" applyFont="1" applyFill="1" applyBorder="1" applyAlignment="1">
      <alignment horizontal="left" vertical="center" wrapText="1" readingOrder="1"/>
    </xf>
    <xf numFmtId="0" fontId="209" fillId="19" borderId="14" xfId="2" applyFont="1" applyFill="1" applyBorder="1" applyAlignment="1">
      <alignment horizontal="left" vertical="center" wrapText="1" readingOrder="1"/>
    </xf>
    <xf numFmtId="0" fontId="209" fillId="19" borderId="32" xfId="2" applyFont="1" applyFill="1" applyBorder="1" applyAlignment="1">
      <alignment horizontal="left"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0" fontId="284" fillId="18" borderId="10" xfId="2" applyFont="1" applyFill="1" applyBorder="1" applyAlignment="1">
      <alignment horizontal="center" vertical="center" wrapText="1" readingOrder="1"/>
    </xf>
    <xf numFmtId="0" fontId="284" fillId="18" borderId="2" xfId="2" applyFont="1" applyFill="1" applyBorder="1" applyAlignment="1">
      <alignment horizontal="center" vertical="center" wrapText="1" readingOrder="1"/>
    </xf>
    <xf numFmtId="196" fontId="209" fillId="0" borderId="64" xfId="2" applyNumberFormat="1" applyFont="1" applyBorder="1" applyAlignment="1">
      <alignment horizontal="center" vertical="center" wrapText="1" readingOrder="1"/>
    </xf>
    <xf numFmtId="196" fontId="209" fillId="0" borderId="8" xfId="2" applyNumberFormat="1" applyFont="1" applyBorder="1" applyAlignment="1">
      <alignment horizontal="center" vertical="center" wrapText="1" readingOrder="1"/>
    </xf>
    <xf numFmtId="196" fontId="209" fillId="0" borderId="9" xfId="2" applyNumberFormat="1" applyFont="1" applyBorder="1" applyAlignment="1">
      <alignment horizontal="center" vertical="center" wrapText="1" readingOrder="1"/>
    </xf>
    <xf numFmtId="0" fontId="209" fillId="0" borderId="2" xfId="2" applyFont="1" applyFill="1" applyBorder="1" applyAlignment="1">
      <alignment horizontal="center" vertical="center" wrapText="1" readingOrder="1"/>
    </xf>
    <xf numFmtId="0" fontId="209" fillId="0" borderId="10" xfId="2" applyFont="1" applyBorder="1" applyAlignment="1">
      <alignment horizontal="center" vertical="center" wrapText="1" readingOrder="1"/>
    </xf>
    <xf numFmtId="0" fontId="209" fillId="0" borderId="3" xfId="2" applyFont="1" applyBorder="1" applyAlignment="1">
      <alignment horizontal="center" vertical="center" wrapText="1" readingOrder="1"/>
    </xf>
    <xf numFmtId="0" fontId="289" fillId="0" borderId="5" xfId="17" applyFont="1" applyFill="1" applyBorder="1" applyAlignment="1">
      <alignment horizontal="center" vertical="center"/>
    </xf>
    <xf numFmtId="0" fontId="289" fillId="0" borderId="8" xfId="17" applyFont="1" applyFill="1" applyBorder="1" applyAlignment="1">
      <alignment horizontal="center" vertical="center"/>
    </xf>
    <xf numFmtId="0" fontId="289" fillId="0" borderId="9" xfId="17" applyFont="1" applyFill="1" applyBorder="1" applyAlignment="1">
      <alignment horizontal="center" vertical="center"/>
    </xf>
    <xf numFmtId="0" fontId="289" fillId="0" borderId="2" xfId="17" applyFont="1" applyFill="1" applyBorder="1" applyAlignment="1">
      <alignment horizontal="center" vertical="center"/>
    </xf>
    <xf numFmtId="195" fontId="277" fillId="0" borderId="2" xfId="16" applyNumberFormat="1" applyFont="1" applyBorder="1" applyAlignment="1">
      <alignment horizontal="center" vertical="center" wrapText="1" readingOrder="1"/>
    </xf>
    <xf numFmtId="195" fontId="277" fillId="0" borderId="12" xfId="16" applyNumberFormat="1" applyFont="1" applyBorder="1" applyAlignment="1">
      <alignment horizontal="center" vertical="center" wrapText="1" readingOrder="1"/>
    </xf>
    <xf numFmtId="195" fontId="277" fillId="0" borderId="4" xfId="16" applyNumberFormat="1" applyFont="1" applyBorder="1" applyAlignment="1">
      <alignment horizontal="center" vertical="center" wrapText="1" readingOrder="1"/>
    </xf>
    <xf numFmtId="195" fontId="277" fillId="0" borderId="15" xfId="16" applyNumberFormat="1" applyFont="1" applyBorder="1" applyAlignment="1">
      <alignment horizontal="center" vertical="center" wrapText="1" readingOrder="1"/>
    </xf>
    <xf numFmtId="195" fontId="277" fillId="0" borderId="17" xfId="16" applyNumberFormat="1" applyFont="1" applyBorder="1" applyAlignment="1">
      <alignment horizontal="center" vertical="center" wrapText="1" readingOrder="1"/>
    </xf>
    <xf numFmtId="195" fontId="277" fillId="0" borderId="63" xfId="16" applyNumberFormat="1" applyFont="1" applyBorder="1" applyAlignment="1">
      <alignment horizontal="center" vertical="center" wrapText="1" readingOrder="1"/>
    </xf>
    <xf numFmtId="195" fontId="277" fillId="0" borderId="5" xfId="16" applyNumberFormat="1" applyFont="1" applyBorder="1" applyAlignment="1">
      <alignment horizontal="center" vertical="center" wrapText="1" readingOrder="1"/>
    </xf>
    <xf numFmtId="195" fontId="277" fillId="0" borderId="16" xfId="16" applyNumberFormat="1" applyFont="1" applyBorder="1" applyAlignment="1">
      <alignment horizontal="center" vertical="center" wrapText="1" readingOrder="1"/>
    </xf>
    <xf numFmtId="0" fontId="288" fillId="25" borderId="17" xfId="17" applyFont="1" applyFill="1" applyBorder="1" applyAlignment="1">
      <alignment horizontal="center" vertical="center"/>
    </xf>
    <xf numFmtId="0" fontId="288" fillId="25" borderId="19" xfId="17" applyFont="1" applyFill="1" applyBorder="1" applyAlignment="1">
      <alignment horizontal="center" vertical="center"/>
    </xf>
    <xf numFmtId="0" fontId="291" fillId="0" borderId="5" xfId="17" applyFont="1" applyFill="1" applyBorder="1" applyAlignment="1">
      <alignment horizontal="center" vertical="center"/>
    </xf>
    <xf numFmtId="0" fontId="291" fillId="0" borderId="8" xfId="17" applyFont="1" applyFill="1" applyBorder="1" applyAlignment="1">
      <alignment horizontal="center" vertical="center"/>
    </xf>
    <xf numFmtId="0" fontId="291" fillId="0" borderId="9" xfId="17" applyFont="1" applyFill="1" applyBorder="1" applyAlignment="1">
      <alignment horizontal="center" vertical="center"/>
    </xf>
    <xf numFmtId="2" fontId="289" fillId="0" borderId="2" xfId="17" applyNumberFormat="1" applyFont="1" applyFill="1" applyBorder="1" applyAlignment="1">
      <alignment horizontal="center" vertical="center"/>
    </xf>
    <xf numFmtId="0" fontId="289" fillId="0" borderId="10" xfId="17" applyFont="1" applyFill="1" applyBorder="1" applyAlignment="1">
      <alignment horizontal="center" vertical="center"/>
    </xf>
    <xf numFmtId="0" fontId="289" fillId="0" borderId="3" xfId="17" applyFont="1" applyFill="1" applyBorder="1" applyAlignment="1">
      <alignment horizontal="center" vertical="center"/>
    </xf>
    <xf numFmtId="0" fontId="289" fillId="0" borderId="21" xfId="17" applyFont="1" applyFill="1" applyBorder="1" applyAlignment="1">
      <alignment horizontal="center" vertical="center"/>
    </xf>
    <xf numFmtId="9" fontId="289" fillId="0" borderId="2" xfId="11" applyFont="1" applyFill="1" applyBorder="1" applyAlignment="1">
      <alignment horizontal="center" vertical="center"/>
    </xf>
    <xf numFmtId="0" fontId="145" fillId="0" borderId="19" xfId="2" applyBorder="1" applyAlignment="1">
      <alignment horizontal="center" vertical="center"/>
    </xf>
    <xf numFmtId="0" fontId="145" fillId="0" borderId="20" xfId="2" applyBorder="1" applyAlignment="1">
      <alignment horizontal="center" vertical="center"/>
    </xf>
    <xf numFmtId="2" fontId="289" fillId="0" borderId="5" xfId="17" applyNumberFormat="1" applyFont="1" applyFill="1" applyBorder="1" applyAlignment="1">
      <alignment horizontal="center" vertical="center"/>
    </xf>
    <xf numFmtId="2" fontId="289" fillId="0" borderId="9" xfId="17" applyNumberFormat="1" applyFont="1" applyFill="1" applyBorder="1" applyAlignment="1">
      <alignment horizontal="center" vertical="center"/>
    </xf>
    <xf numFmtId="43" fontId="145" fillId="0" borderId="10" xfId="18" applyFont="1" applyBorder="1" applyAlignment="1">
      <alignment horizontal="center" vertical="center"/>
    </xf>
    <xf numFmtId="43" fontId="145" fillId="0" borderId="3" xfId="18" applyFont="1" applyBorder="1" applyAlignment="1">
      <alignment horizontal="center" vertical="center"/>
    </xf>
    <xf numFmtId="43" fontId="145" fillId="0" borderId="21" xfId="18" applyFont="1" applyBorder="1" applyAlignment="1">
      <alignment horizontal="center" vertical="center"/>
    </xf>
    <xf numFmtId="2" fontId="293" fillId="0" borderId="2" xfId="17" applyNumberFormat="1" applyFont="1" applyFill="1" applyBorder="1" applyAlignment="1">
      <alignment horizontal="center" vertical="center"/>
    </xf>
    <xf numFmtId="0" fontId="289" fillId="0" borderId="10" xfId="17" applyFont="1" applyBorder="1" applyAlignment="1">
      <alignment horizontal="center" vertical="center"/>
    </xf>
    <xf numFmtId="0" fontId="289" fillId="0" borderId="3" xfId="17" applyFont="1" applyBorder="1" applyAlignment="1">
      <alignment horizontal="center" vertical="center"/>
    </xf>
    <xf numFmtId="180" fontId="291" fillId="0" borderId="2" xfId="17" applyNumberFormat="1" applyFont="1" applyFill="1" applyBorder="1" applyAlignment="1">
      <alignment horizontal="center" vertical="center"/>
    </xf>
    <xf numFmtId="0" fontId="291" fillId="0" borderId="2" xfId="17" applyFont="1" applyFill="1" applyBorder="1" applyAlignment="1">
      <alignment horizontal="center" vertical="center"/>
    </xf>
    <xf numFmtId="180" fontId="293" fillId="0" borderId="2" xfId="17" applyNumberFormat="1" applyFont="1" applyFill="1" applyBorder="1" applyAlignment="1">
      <alignment horizontal="center" vertical="center"/>
    </xf>
    <xf numFmtId="0" fontId="293" fillId="0" borderId="2" xfId="17" applyFont="1" applyFill="1" applyBorder="1" applyAlignment="1">
      <alignment horizontal="center" vertical="center"/>
    </xf>
    <xf numFmtId="180" fontId="289" fillId="0" borderId="2" xfId="17" applyNumberFormat="1" applyFont="1" applyFill="1" applyBorder="1" applyAlignment="1">
      <alignment horizontal="center" vertical="center"/>
    </xf>
    <xf numFmtId="9" fontId="293" fillId="0" borderId="2" xfId="17" applyNumberFormat="1"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6" borderId="46" xfId="2" applyNumberFormat="1" applyFont="1" applyFill="1" applyBorder="1" applyAlignment="1" applyProtection="1">
      <alignment horizontal="center" vertical="center"/>
      <protection locked="0"/>
    </xf>
    <xf numFmtId="0" fontId="153" fillId="6" borderId="9" xfId="0" applyNumberFormat="1" applyFont="1" applyFill="1" applyBorder="1" applyAlignment="1" applyProtection="1">
      <alignment horizontal="center" vertical="center" wrapText="1"/>
      <protection locked="0"/>
    </xf>
    <xf numFmtId="178" fontId="86" fillId="8" borderId="2" xfId="2" applyNumberFormat="1" applyFont="1" applyFill="1" applyBorder="1" applyAlignment="1" applyProtection="1">
      <alignment horizontal="center" vertical="center"/>
      <protection locked="0"/>
    </xf>
    <xf numFmtId="9" fontId="86" fillId="8" borderId="5" xfId="0" applyNumberFormat="1" applyFont="1" applyFill="1" applyBorder="1" applyAlignment="1" applyProtection="1">
      <alignment horizontal="center" vertical="center"/>
      <protection locked="0"/>
    </xf>
  </cellXfs>
  <cellStyles count="21">
    <cellStyle name="百分比 2" xfId="11"/>
    <cellStyle name="常规" xfId="0" builtinId="0"/>
    <cellStyle name="常规 10" xfId="19"/>
    <cellStyle name="常规 10 2 2 2" xfId="16"/>
    <cellStyle name="常规 16" xfId="1"/>
    <cellStyle name="常规 2" xfId="2"/>
    <cellStyle name="常规 2 10 2" xfId="17"/>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8"/>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114300</xdr:colOff>
      <xdr:row>0</xdr:row>
      <xdr:rowOff>381000</xdr:rowOff>
    </xdr:from>
    <xdr:to>
      <xdr:col>35</xdr:col>
      <xdr:colOff>55701</xdr:colOff>
      <xdr:row>22</xdr:row>
      <xdr:rowOff>189937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1258550" y="381000"/>
          <a:ext cx="11600001" cy="4504762"/>
        </a:xfrm>
        <a:prstGeom prst="rect">
          <a:avLst/>
        </a:prstGeom>
      </xdr:spPr>
    </xdr:pic>
    <xdr:clientData/>
  </xdr:twoCellAnchor>
  <xdr:twoCellAnchor editAs="oneCell">
    <xdr:from>
      <xdr:col>18</xdr:col>
      <xdr:colOff>257175</xdr:colOff>
      <xdr:row>28</xdr:row>
      <xdr:rowOff>95250</xdr:rowOff>
    </xdr:from>
    <xdr:to>
      <xdr:col>33</xdr:col>
      <xdr:colOff>141604</xdr:colOff>
      <xdr:row>58</xdr:row>
      <xdr:rowOff>8822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1658600" y="5934075"/>
          <a:ext cx="10171429" cy="5628572"/>
        </a:xfrm>
        <a:prstGeom prst="rect">
          <a:avLst/>
        </a:prstGeom>
      </xdr:spPr>
    </xdr:pic>
    <xdr:clientData/>
  </xdr:twoCellAnchor>
  <xdr:twoCellAnchor editAs="oneCell">
    <xdr:from>
      <xdr:col>17</xdr:col>
      <xdr:colOff>676275</xdr:colOff>
      <xdr:row>58</xdr:row>
      <xdr:rowOff>0</xdr:rowOff>
    </xdr:from>
    <xdr:to>
      <xdr:col>31</xdr:col>
      <xdr:colOff>579838</xdr:colOff>
      <xdr:row>73</xdr:row>
      <xdr:rowOff>180595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1391900" y="11553825"/>
          <a:ext cx="9504763" cy="3038095"/>
        </a:xfrm>
        <a:prstGeom prst="rect">
          <a:avLst/>
        </a:prstGeom>
      </xdr:spPr>
    </xdr:pic>
    <xdr:clientData/>
  </xdr:twoCellAnchor>
  <xdr:twoCellAnchor editAs="oneCell">
    <xdr:from>
      <xdr:col>17</xdr:col>
      <xdr:colOff>590550</xdr:colOff>
      <xdr:row>74</xdr:row>
      <xdr:rowOff>28575</xdr:rowOff>
    </xdr:from>
    <xdr:to>
      <xdr:col>31</xdr:col>
      <xdr:colOff>341732</xdr:colOff>
      <xdr:row>90</xdr:row>
      <xdr:rowOff>28194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306175" y="14630400"/>
          <a:ext cx="9352382" cy="3047619"/>
        </a:xfrm>
        <a:prstGeom prst="rect">
          <a:avLst/>
        </a:prstGeom>
      </xdr:spPr>
    </xdr:pic>
    <xdr:clientData/>
  </xdr:twoCellAnchor>
  <xdr:twoCellAnchor editAs="oneCell">
    <xdr:from>
      <xdr:col>17</xdr:col>
      <xdr:colOff>657225</xdr:colOff>
      <xdr:row>89</xdr:row>
      <xdr:rowOff>180975</xdr:rowOff>
    </xdr:from>
    <xdr:to>
      <xdr:col>31</xdr:col>
      <xdr:colOff>627454</xdr:colOff>
      <xdr:row>124</xdr:row>
      <xdr:rowOff>151598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372850" y="17640300"/>
          <a:ext cx="9571429" cy="6419048"/>
        </a:xfrm>
        <a:prstGeom prst="rect">
          <a:avLst/>
        </a:prstGeom>
      </xdr:spPr>
    </xdr:pic>
    <xdr:clientData/>
  </xdr:twoCellAnchor>
  <xdr:twoCellAnchor editAs="oneCell">
    <xdr:from>
      <xdr:col>0</xdr:col>
      <xdr:colOff>0</xdr:colOff>
      <xdr:row>101</xdr:row>
      <xdr:rowOff>16972</xdr:rowOff>
    </xdr:from>
    <xdr:to>
      <xdr:col>11</xdr:col>
      <xdr:colOff>857250</xdr:colOff>
      <xdr:row>124</xdr:row>
      <xdr:rowOff>111962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9762297"/>
          <a:ext cx="5781675" cy="4257415"/>
        </a:xfrm>
        <a:prstGeom prst="rect">
          <a:avLst/>
        </a:prstGeom>
      </xdr:spPr>
    </xdr:pic>
    <xdr:clientData/>
  </xdr:twoCellAnchor>
  <xdr:twoCellAnchor editAs="oneCell">
    <xdr:from>
      <xdr:col>11</xdr:col>
      <xdr:colOff>923925</xdr:colOff>
      <xdr:row>101</xdr:row>
      <xdr:rowOff>137301</xdr:rowOff>
    </xdr:from>
    <xdr:to>
      <xdr:col>17</xdr:col>
      <xdr:colOff>684765</xdr:colOff>
      <xdr:row>124</xdr:row>
      <xdr:rowOff>142097</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5848350" y="19882626"/>
          <a:ext cx="5552040" cy="4167221"/>
        </a:xfrm>
        <a:prstGeom prst="rect">
          <a:avLst/>
        </a:prstGeom>
      </xdr:spPr>
    </xdr:pic>
    <xdr:clientData/>
  </xdr:twoCellAnchor>
  <xdr:twoCellAnchor editAs="oneCell">
    <xdr:from>
      <xdr:col>0</xdr:col>
      <xdr:colOff>0</xdr:colOff>
      <xdr:row>124</xdr:row>
      <xdr:rowOff>28575</xdr:rowOff>
    </xdr:from>
    <xdr:to>
      <xdr:col>11</xdr:col>
      <xdr:colOff>832087</xdr:colOff>
      <xdr:row>148</xdr:row>
      <xdr:rowOff>27807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23936325"/>
          <a:ext cx="5756512" cy="4342632"/>
        </a:xfrm>
        <a:prstGeom prst="rect">
          <a:avLst/>
        </a:prstGeom>
      </xdr:spPr>
    </xdr:pic>
    <xdr:clientData/>
  </xdr:twoCellAnchor>
  <xdr:twoCellAnchor editAs="oneCell">
    <xdr:from>
      <xdr:col>12</xdr:col>
      <xdr:colOff>401945</xdr:colOff>
      <xdr:row>124</xdr:row>
      <xdr:rowOff>180974</xdr:rowOff>
    </xdr:from>
    <xdr:to>
      <xdr:col>17</xdr:col>
      <xdr:colOff>437128</xdr:colOff>
      <xdr:row>149</xdr:row>
      <xdr:rowOff>94286</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440795" y="24088724"/>
          <a:ext cx="4711958" cy="4437687"/>
        </a:xfrm>
        <a:prstGeom prst="rect">
          <a:avLst/>
        </a:prstGeom>
      </xdr:spPr>
    </xdr:pic>
    <xdr:clientData/>
  </xdr:twoCellAnchor>
  <xdr:twoCellAnchor editAs="oneCell">
    <xdr:from>
      <xdr:col>0</xdr:col>
      <xdr:colOff>8854</xdr:colOff>
      <xdr:row>148</xdr:row>
      <xdr:rowOff>9525</xdr:rowOff>
    </xdr:from>
    <xdr:to>
      <xdr:col>11</xdr:col>
      <xdr:colOff>732561</xdr:colOff>
      <xdr:row>175</xdr:row>
      <xdr:rowOff>94490</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8854" y="28260675"/>
          <a:ext cx="5648132" cy="4971290"/>
        </a:xfrm>
        <a:prstGeom prst="rect">
          <a:avLst/>
        </a:prstGeom>
      </xdr:spPr>
    </xdr:pic>
    <xdr:clientData/>
  </xdr:twoCellAnchor>
  <xdr:twoCellAnchor editAs="oneCell">
    <xdr:from>
      <xdr:col>11</xdr:col>
      <xdr:colOff>952500</xdr:colOff>
      <xdr:row>149</xdr:row>
      <xdr:rowOff>114300</xdr:rowOff>
    </xdr:from>
    <xdr:to>
      <xdr:col>18</xdr:col>
      <xdr:colOff>685024</xdr:colOff>
      <xdr:row>169</xdr:row>
      <xdr:rowOff>18610</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5876925" y="28546425"/>
          <a:ext cx="6209524" cy="3523810"/>
        </a:xfrm>
        <a:prstGeom prst="rect">
          <a:avLst/>
        </a:prstGeom>
      </xdr:spPr>
    </xdr:pic>
    <xdr:clientData/>
  </xdr:twoCellAnchor>
  <xdr:twoCellAnchor editAs="oneCell">
    <xdr:from>
      <xdr:col>17</xdr:col>
      <xdr:colOff>638175</xdr:colOff>
      <xdr:row>125</xdr:row>
      <xdr:rowOff>0</xdr:rowOff>
    </xdr:from>
    <xdr:to>
      <xdr:col>30</xdr:col>
      <xdr:colOff>427538</xdr:colOff>
      <xdr:row>146</xdr:row>
      <xdr:rowOff>28097</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11353800" y="24088725"/>
          <a:ext cx="8704763" cy="3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1354;&#28207;&#32463;&#27982;&#21306;-A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172781.53</v>
          </cell>
          <cell r="C14">
            <v>43972.49</v>
          </cell>
          <cell r="D14">
            <v>51114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2652</v>
      </c>
      <c r="B1" s="2842" t="s">
        <v>2749</v>
      </c>
    </row>
    <row r="2" spans="1:55" s="2846" customFormat="1" ht="15" thickTop="1">
      <c r="A2" s="2844" t="s">
        <v>2656</v>
      </c>
      <c r="B2" s="2845" t="str">
        <f>'预评函-封皮'!B37</f>
        <v>云南省出让国有建设用地使用权抵押价格预评估</v>
      </c>
      <c r="AX2" s="2847"/>
      <c r="AZ2" s="2847"/>
      <c r="BA2" s="2848"/>
      <c r="BC2" s="2848"/>
    </row>
    <row r="3" spans="1:55" s="2849" customFormat="1">
      <c r="A3" s="2828" t="s">
        <v>2657</v>
      </c>
      <c r="B3" s="2831">
        <f>'预评函-封皮'!B40</f>
        <v>0</v>
      </c>
    </row>
    <row r="4" spans="1:55" s="2830" customFormat="1">
      <c r="A4" s="2828" t="s">
        <v>2658</v>
      </c>
      <c r="B4" s="2829" t="str">
        <f>'预评函-封皮'!B46</f>
        <v>吴薇、郑燚</v>
      </c>
      <c r="N4" s="2830" t="str">
        <f>'预评函-1'!A28</f>
        <v/>
      </c>
    </row>
    <row r="5" spans="1:55" s="2843" customFormat="1" ht="15" thickBot="1">
      <c r="A5" s="2850" t="s">
        <v>2659</v>
      </c>
      <c r="B5" s="2851" t="str">
        <f>'预评函-封皮'!B49</f>
        <v>康正预评字号</v>
      </c>
    </row>
    <row r="6" spans="1:55" s="2852" customFormat="1" ht="15" thickTop="1">
      <c r="A6" s="2844" t="s">
        <v>2701</v>
      </c>
      <c r="B6" s="2845" t="str">
        <f>'预评函-1'!A4</f>
        <v>受贵公司委托，我公司对云南省出让国有建设用地使用权抵押价格进行了预评估。</v>
      </c>
      <c r="AM6" s="2853"/>
    </row>
    <row r="7" spans="1:55" s="2827" customFormat="1">
      <c r="A7" s="2828" t="s">
        <v>2653</v>
      </c>
      <c r="B7" s="2829" t="str">
        <f>'预评函-1'!A6</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245288.5平方米。</v>
      </c>
    </row>
    <row r="8" spans="1:55" s="2827" customFormat="1">
      <c r="A8" s="2828" t="s">
        <v>2654</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2704</v>
      </c>
      <c r="B9" s="2829" t="str">
        <f>'预评函-1'!A9</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2655</v>
      </c>
      <c r="B10" s="2829" t="str">
        <f>'预评函-1'!A11</f>
        <v>2020年5月14日（评估专业人员勘察现场之日）</v>
      </c>
    </row>
    <row r="11" spans="1:55" s="2827" customFormat="1">
      <c r="A11" s="2828" t="s">
        <v>2661</v>
      </c>
      <c r="B11" s="2829" t="str">
        <f>'预评函-1'!A14</f>
        <v>根据《不动产权证书》[云（2020）官渡区不动产权第0012396、0012399号]，本次评估估价对象证载（地类）用途为城镇住宅用地。</v>
      </c>
    </row>
    <row r="12" spans="1:55" s="2827" customFormat="1">
      <c r="A12" s="2828" t="s">
        <v>2662</v>
      </c>
      <c r="B12" s="2829" t="str">
        <f>'预评函-1'!A15</f>
        <v>本次评估设定用途即为证载用途城镇住宅用地。</v>
      </c>
    </row>
    <row r="13" spans="1:55" s="2827" customFormat="1">
      <c r="A13" s="2828" t="s">
        <v>2663</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2664</v>
      </c>
      <c r="B14" s="2829" t="str">
        <f>'预评函-1'!A18</f>
        <v>。本次评估设定土地开发程度为红线外市政基础设施达“七通”、宗地红线内场地平整。</v>
      </c>
    </row>
    <row r="15" spans="1:55" s="2827" customFormat="1">
      <c r="A15" s="2828" t="s">
        <v>2660</v>
      </c>
      <c r="B15" s="2829" t="str">
        <f>'预评函-1'!A20</f>
        <v>根据《国有土地使用证》[]，估价对象（分摊）出让国有建设用地使用权面积为61677.15平方米。根据《建设工程规划许可证》[]、《出让合同》[]，估价对象规划建筑面积为245288.5平方米。</v>
      </c>
    </row>
    <row r="16" spans="1:55" s="2827" customFormat="1">
      <c r="A16" s="2828" t="s">
        <v>2665</v>
      </c>
      <c r="B16" s="2829" t="str">
        <f>'预评函-1'!A22</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17" spans="1:48" s="2827" customFormat="1">
      <c r="A17" s="2828" t="s">
        <v>2666</v>
      </c>
      <c r="B17" s="2829" t="str">
        <f>'预评函-1'!A23</f>
        <v>本次评估设定估价对象剩余土地使用年限为。</v>
      </c>
    </row>
    <row r="18" spans="1:48" s="2827" customFormat="1">
      <c r="A18" s="2828" t="s">
        <v>2667</v>
      </c>
      <c r="B18" s="2829" t="str">
        <f>'预评函-1'!A25</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19" spans="1:48" s="2827" customFormat="1">
      <c r="A19" s="2828" t="s">
        <v>2668</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2669</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2670</v>
      </c>
      <c r="B21" s="2851" t="str">
        <f>'预评函-1'!A28</f>
        <v/>
      </c>
    </row>
    <row r="22" spans="1:48" ht="15" thickTop="1">
      <c r="A22" s="2839" t="s">
        <v>2671</v>
      </c>
      <c r="B22" s="284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8" t="s">
        <v>2672</v>
      </c>
      <c r="B23" s="2829" t="str">
        <f>'预评函-2'!K2</f>
        <v>估价期日：2020年5月14日</v>
      </c>
    </row>
    <row r="24" spans="1:48">
      <c r="A24" s="2828" t="s">
        <v>2673</v>
      </c>
      <c r="B24" s="2829" t="str">
        <f>'预评函-2'!R2</f>
        <v>估价期日的国有建设用地使用权性质：出让</v>
      </c>
    </row>
    <row r="25" spans="1:48">
      <c r="A25" s="2828" t="s">
        <v>2729</v>
      </c>
      <c r="B25" s="2829" t="str">
        <f>'预评函-2'!A3</f>
        <v>估价期日土地使用者</v>
      </c>
    </row>
    <row r="26" spans="1:48">
      <c r="A26" s="2828" t="s">
        <v>2705</v>
      </c>
      <c r="B26" s="2829" t="str">
        <f>'预评函-2'!A5</f>
        <v>中信开发</v>
      </c>
    </row>
    <row r="27" spans="1:48">
      <c r="A27" s="2828" t="s">
        <v>2730</v>
      </c>
      <c r="B27" s="2829" t="str">
        <f>'预评函-2'!B3</f>
        <v>宗地编号/不动产单元号</v>
      </c>
    </row>
    <row r="28" spans="1:48">
      <c r="A28" s="2828" t="s">
        <v>2706</v>
      </c>
      <c r="B28" s="2829" t="str">
        <f>'预评函-2'!B5</f>
        <v>11111111111</v>
      </c>
    </row>
    <row r="29" spans="1:48">
      <c r="A29" s="2828" t="s">
        <v>2732</v>
      </c>
      <c r="B29" s="2829">
        <f>'预评函-2'!C5</f>
        <v>22</v>
      </c>
    </row>
    <row r="30" spans="1:48">
      <c r="A30" s="2828" t="s">
        <v>2733</v>
      </c>
      <c r="B30" s="2829" t="str">
        <f>'预评函-2'!D3</f>
        <v>土地使用证编号/不动产权证书编号</v>
      </c>
    </row>
    <row r="31" spans="1:48">
      <c r="A31" s="2828" t="s">
        <v>2707</v>
      </c>
      <c r="B31" s="2829" t="str">
        <f>'预评函-2'!D5</f>
        <v>京国土字第111号</v>
      </c>
    </row>
    <row r="32" spans="1:48">
      <c r="A32" s="2828" t="s">
        <v>2708</v>
      </c>
      <c r="B32" s="2829" t="str">
        <f>'预评函-2'!E5</f>
        <v>城镇住宅用地</v>
      </c>
      <c r="AV32" s="2833"/>
    </row>
    <row r="33" spans="1:2">
      <c r="A33" s="2828" t="s">
        <v>2709</v>
      </c>
      <c r="B33" s="2829">
        <f>'预评函-2'!F5</f>
        <v>258</v>
      </c>
    </row>
    <row r="34" spans="1:2">
      <c r="A34" s="2828" t="s">
        <v>2710</v>
      </c>
      <c r="B34" s="2829" t="str">
        <f>'预评函-2'!G5</f>
        <v>城镇住宅用地</v>
      </c>
    </row>
    <row r="35" spans="1:2">
      <c r="A35" s="2828" t="s">
        <v>2711</v>
      </c>
      <c r="B35" s="2829">
        <f>'预评函-2'!H5</f>
        <v>1.5</v>
      </c>
    </row>
    <row r="36" spans="1:2">
      <c r="A36" s="2828" t="s">
        <v>2712</v>
      </c>
      <c r="B36" s="2829">
        <f>'预评函-2'!I5</f>
        <v>1.5</v>
      </c>
    </row>
    <row r="37" spans="1:2">
      <c r="A37" s="2828" t="s">
        <v>2713</v>
      </c>
      <c r="B37" s="2829">
        <f>'预评函-2'!J5</f>
        <v>1.5</v>
      </c>
    </row>
    <row r="38" spans="1:2">
      <c r="A38" s="2828" t="s">
        <v>2714</v>
      </c>
      <c r="B38" s="2829" t="str">
        <f>'预评函-2'!K5</f>
        <v>红线外七通、宗地红线内</v>
      </c>
    </row>
    <row r="39" spans="1:2">
      <c r="A39" s="2828" t="s">
        <v>2715</v>
      </c>
      <c r="B39" s="2829" t="str">
        <f>'预评函-2'!L5</f>
        <v>红线外七通、宗地红线内场地</v>
      </c>
    </row>
    <row r="40" spans="1:2">
      <c r="A40" s="2828" t="s">
        <v>2734</v>
      </c>
      <c r="B40" s="2829" t="str">
        <f>'预评函-2'!M3</f>
        <v>（剩余）土地使用年限/年</v>
      </c>
    </row>
    <row r="41" spans="1:2">
      <c r="A41" s="2828" t="s">
        <v>2716</v>
      </c>
      <c r="B41" s="2829">
        <f>'预评函-2'!M5</f>
        <v>0</v>
      </c>
    </row>
    <row r="42" spans="1:2">
      <c r="A42" s="2828" t="s">
        <v>2735</v>
      </c>
      <c r="B42" s="2829" t="str">
        <f>'预评函-2'!N3</f>
        <v>（分摊）出让国有建设用地使用权面积/㎡</v>
      </c>
    </row>
    <row r="43" spans="1:2">
      <c r="A43" s="2828" t="s">
        <v>2717</v>
      </c>
      <c r="B43" s="2829">
        <f>'预评函-2'!N5</f>
        <v>61677.15</v>
      </c>
    </row>
    <row r="44" spans="1:2">
      <c r="A44" s="2828" t="s">
        <v>2736</v>
      </c>
      <c r="B44" s="2829" t="str">
        <f>'预评函-2'!O3</f>
        <v>规划建筑面积/㎡</v>
      </c>
    </row>
    <row r="45" spans="1:2">
      <c r="A45" s="2828" t="s">
        <v>2718</v>
      </c>
      <c r="B45" s="2829">
        <f>'预评函-2'!O5</f>
        <v>245288.5</v>
      </c>
    </row>
    <row r="46" spans="1:2">
      <c r="A46" s="2828" t="s">
        <v>2719</v>
      </c>
      <c r="B46" s="2829">
        <f ca="1">'预评函-2'!P5</f>
        <v>12894</v>
      </c>
    </row>
    <row r="47" spans="1:2">
      <c r="A47" s="2828" t="s">
        <v>2720</v>
      </c>
      <c r="B47" s="2829">
        <f ca="1">'预评函-2'!Q5</f>
        <v>3242</v>
      </c>
    </row>
    <row r="48" spans="1:2">
      <c r="A48" s="2828" t="s">
        <v>2721</v>
      </c>
      <c r="B48" s="2829">
        <f ca="1">'预评函-2'!R5</f>
        <v>79525</v>
      </c>
    </row>
    <row r="49" spans="1:2">
      <c r="A49" s="2828" t="s">
        <v>2737</v>
      </c>
      <c r="B49" s="2829" t="str">
        <f>'预评函-2'!A6</f>
        <v>抵押价格</v>
      </c>
    </row>
    <row r="50" spans="1:2">
      <c r="A50" s="2828" t="s">
        <v>2722</v>
      </c>
      <c r="B50" s="2829">
        <f ca="1">'预评函-2'!R6</f>
        <v>79525</v>
      </c>
    </row>
    <row r="51" spans="1:2">
      <c r="A51" s="2828" t="s">
        <v>2738</v>
      </c>
      <c r="B51" s="2829" t="str">
        <f>'预评函-2'!A7</f>
        <v>——</v>
      </c>
    </row>
    <row r="52" spans="1:2">
      <c r="A52" s="2828" t="s">
        <v>2723</v>
      </c>
      <c r="B52" s="2829" t="str">
        <f>'预评函-2'!R7</f>
        <v>——</v>
      </c>
    </row>
    <row r="53" spans="1:2">
      <c r="A53" s="2828" t="s">
        <v>2739</v>
      </c>
      <c r="B53" s="2829" t="str">
        <f>'预评函-2'!A8</f>
        <v>——</v>
      </c>
    </row>
    <row r="54" spans="1:2" s="2843" customFormat="1" ht="15" thickBot="1">
      <c r="A54" s="2850" t="s">
        <v>2724</v>
      </c>
      <c r="B54" s="2851" t="str">
        <f>'预评函-2'!R8</f>
        <v>——</v>
      </c>
    </row>
    <row r="55" spans="1:2" ht="15" thickTop="1">
      <c r="A55" s="2839" t="s">
        <v>2674</v>
      </c>
      <c r="B55" s="2840" t="str">
        <f>'预评函-3'!A2</f>
        <v>1.权利限制：根据估价对象《不动产权证书》原件、《国有土地使用权》复印件，截至估价期日，估价对象抵押权未见登记。未设定租赁等其他他项权利。</v>
      </c>
    </row>
    <row r="56" spans="1:2">
      <c r="A56" s="2828" t="s">
        <v>2675</v>
      </c>
      <c r="B56" s="2829" t="str">
        <f>'预评函-3'!A3</f>
        <v>2.基础设施条件：估价对象实际开发程度为红线外七通、宗地红线内；本次评估设定开发程度为红线外七通、宗地红线内场地。</v>
      </c>
    </row>
    <row r="57" spans="1:2">
      <c r="A57" s="2828" t="s">
        <v>2676</v>
      </c>
      <c r="B57" s="2829" t="str">
        <f>'预评函-3'!A4</f>
        <v>3.估价规划限制条件：详见《建设工程规划许可证》[]、《出让合同》[]。</v>
      </c>
    </row>
    <row r="58" spans="1:2" s="2843" customFormat="1" ht="15" thickBot="1">
      <c r="A58" s="2850" t="s">
        <v>2725</v>
      </c>
      <c r="B58" s="2851" t="str">
        <f>'预评函-3'!A5</f>
        <v>4.影响价格的其他限定条件：无。</v>
      </c>
    </row>
    <row r="59" spans="1:2" ht="15" thickTop="1">
      <c r="A59" s="2839" t="s">
        <v>2677</v>
      </c>
      <c r="B59" s="2840" t="str">
        <f>'预评函-3'!A8</f>
        <v>2.本《评估意见函》仅供金融机构进行内部审核使用，不做其他目的之用。</v>
      </c>
    </row>
    <row r="60" spans="1:2">
      <c r="A60" s="2828" t="s">
        <v>2678</v>
      </c>
      <c r="B60" s="2829" t="str">
        <f>'预评函-3'!A9</f>
        <v>3.抵押双方在办理抵押登记手续时，应使用本公司出具的正式《土地估价报告》，特提请报告使用者注意。</v>
      </c>
    </row>
    <row r="61" spans="1:2">
      <c r="A61" s="2828" t="s">
        <v>2680</v>
      </c>
      <c r="B61" s="2829" t="str">
        <f>'预评函-3'!A10</f>
        <v>4.估价师所知悉的法定优先受偿款情况为：</v>
      </c>
    </row>
    <row r="62" spans="1:2">
      <c r="A62" s="2828" t="s">
        <v>2679</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2681</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2682</v>
      </c>
      <c r="B64" s="2834" t="str">
        <f>'预评函-3'!A13</f>
        <v>（3）。</v>
      </c>
    </row>
    <row r="65" spans="1:2">
      <c r="A65" s="2828" t="s">
        <v>2683</v>
      </c>
      <c r="B65" s="2835" t="str">
        <f>'预评函-3'!A14</f>
        <v>综上，本次评估不存在估价师知悉的法定优先受偿款</v>
      </c>
    </row>
    <row r="66" spans="1:2">
      <c r="A66" s="2828" t="s">
        <v>2684</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2685</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2688</v>
      </c>
      <c r="B68" s="2854">
        <f>'预评函-3'!D30</f>
        <v>42558</v>
      </c>
    </row>
    <row r="69" spans="1:2" ht="15" thickTop="1">
      <c r="A69" s="2839" t="s">
        <v>2686</v>
      </c>
      <c r="B69" s="2840" t="str">
        <f>'预评函-3'!A20</f>
        <v>吴薇</v>
      </c>
    </row>
    <row r="70" spans="1:2">
      <c r="A70" s="2828" t="s">
        <v>2686</v>
      </c>
      <c r="B70" s="2835">
        <f ca="1">'预评函-3'!B20</f>
        <v>2002110125</v>
      </c>
    </row>
    <row r="71" spans="1:2">
      <c r="A71" s="2828" t="s">
        <v>2687</v>
      </c>
      <c r="B71" s="2829" t="str">
        <f>'预评函-3'!A21</f>
        <v>郑燚</v>
      </c>
    </row>
    <row r="72" spans="1:2" s="2843" customFormat="1" ht="15" thickBot="1">
      <c r="A72" s="2850" t="s">
        <v>2687</v>
      </c>
      <c r="B72" s="2856">
        <f ca="1">'预评函-3'!B21</f>
        <v>2014110011</v>
      </c>
    </row>
    <row r="73" spans="1:2" ht="15" thickTop="1">
      <c r="A73" s="2839" t="s">
        <v>2746</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2747</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2748</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2783</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18" sqref="C18:I23"/>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500" t="str">
        <f>IF(B10="北京市","北京市",C10)&amp;F10&amp;B16&amp;"国有建设用地使用权"&amp;B9&amp;"预评估"</f>
        <v>云南省出让国有建设用地使用权抵押价格预评估</v>
      </c>
      <c r="C1" s="3501"/>
      <c r="D1" s="3501"/>
      <c r="E1" s="3501"/>
      <c r="F1" s="3501"/>
      <c r="G1" s="3501"/>
      <c r="H1" s="3501"/>
      <c r="I1" s="3502"/>
      <c r="J1" s="1675"/>
      <c r="K1" s="2414" t="str">
        <f>IF(B10="北京市","北京市",C10)&amp;F10&amp;B16&amp;"国有建设用地使用权"&amp;B9</f>
        <v>云南省出让国有建设用地使用权抵押价格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4" t="str">
        <f>IF(B10="北京市","北京市",C10)&amp;F10&amp;B16&amp;"国有建设用地使用权"</f>
        <v>云南省出让国有建设用地使用权</v>
      </c>
      <c r="L2" s="1704"/>
      <c r="M2" s="1704"/>
      <c r="N2" s="1675"/>
      <c r="O2" s="1676"/>
      <c r="P2" s="1675"/>
      <c r="Q2" s="1675"/>
      <c r="R2" s="1675"/>
      <c r="S2" s="1675"/>
      <c r="T2" s="1675"/>
      <c r="U2" s="1675"/>
    </row>
    <row r="3" spans="1:21">
      <c r="A3" s="1642" t="s">
        <v>1937</v>
      </c>
      <c r="B3" s="1643">
        <v>43965</v>
      </c>
      <c r="C3" s="1644" t="s">
        <v>1993</v>
      </c>
      <c r="D3" s="1643">
        <f>B3</f>
        <v>43965</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3345</v>
      </c>
      <c r="C4" s="1827">
        <f ca="1">SUMIF(土地估价师,B4,估价师及机构信息!E3:E24)</f>
        <v>2002110125</v>
      </c>
      <c r="D4" s="1824" t="s">
        <v>3346</v>
      </c>
      <c r="E4" s="1827">
        <f ca="1">SUMIF(土地估价师,D4,估价师及机构信息!E3:E24)</f>
        <v>2014110011</v>
      </c>
      <c r="F4" s="1824" t="s">
        <v>952</v>
      </c>
      <c r="G4" s="1827">
        <f>SUMIF(土地估价师,F4,估价师及机构信息!E3:E24)</f>
        <v>0</v>
      </c>
      <c r="H4" s="1824" t="s">
        <v>952</v>
      </c>
      <c r="I4" s="1827">
        <f>SUMIF(土地估价师,H4,估价师及机构信息!E3:E24)</f>
        <v>0</v>
      </c>
      <c r="J4" s="1675"/>
      <c r="K4" s="2414" t="str">
        <f>IF(AND(F4="——",H4="——"),B4&amp;"、"&amp;D4,IF(AND(F4&lt;&gt;"——",H4="——"),B4&amp;"、"&amp;D4&amp;"、"&amp;F4,B4&amp;"、"&amp;D4&amp;"、"&amp;F4&amp;"、"&amp;H4))</f>
        <v>吴薇、郑燚</v>
      </c>
      <c r="L4" s="1704"/>
      <c r="M4" s="1704"/>
      <c r="N4" s="1675"/>
      <c r="O4" s="1676"/>
      <c r="P4" s="1675"/>
      <c r="Q4" s="1675"/>
      <c r="R4" s="1675"/>
      <c r="S4" s="1675"/>
      <c r="T4" s="1675"/>
      <c r="U4" s="1675"/>
    </row>
    <row r="5" spans="1:21" ht="15" thickTop="1">
      <c r="A5" s="1646" t="s">
        <v>1939</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2702</v>
      </c>
      <c r="B6" s="1770"/>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2703</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2986</v>
      </c>
      <c r="C8" s="1652"/>
      <c r="D8" s="3506" t="s">
        <v>1942</v>
      </c>
      <c r="E8" s="1825" t="s">
        <v>3164</v>
      </c>
      <c r="F8" s="1653"/>
      <c r="G8" s="1641"/>
      <c r="H8" s="1641"/>
      <c r="I8" s="1688"/>
      <c r="J8" s="1675"/>
      <c r="K8" s="1755"/>
      <c r="L8" s="1704"/>
      <c r="M8" s="1704"/>
      <c r="N8" s="1675"/>
      <c r="O8" s="1676"/>
      <c r="P8" s="1675"/>
      <c r="Q8" s="1675"/>
      <c r="R8" s="1675"/>
      <c r="S8" s="1675"/>
      <c r="T8" s="1675"/>
      <c r="U8" s="1675"/>
    </row>
    <row r="9" spans="1:21" ht="15" thickBot="1">
      <c r="A9" s="1654" t="s">
        <v>1941</v>
      </c>
      <c r="B9" s="1655" t="s">
        <v>3164</v>
      </c>
      <c r="C9" s="1656"/>
      <c r="D9" s="3507"/>
      <c r="E9" s="1655" t="s">
        <v>952</v>
      </c>
      <c r="F9" s="1728"/>
      <c r="G9" s="1723"/>
      <c r="H9" s="1723"/>
      <c r="I9" s="1724"/>
      <c r="J9" s="1675"/>
      <c r="K9" s="1755"/>
      <c r="L9" s="1704"/>
      <c r="M9" s="1704"/>
      <c r="N9" s="1675"/>
      <c r="O9" s="1676"/>
      <c r="P9" s="1675"/>
      <c r="Q9" s="1675"/>
      <c r="R9" s="1675"/>
      <c r="S9" s="1675"/>
      <c r="T9" s="1675"/>
      <c r="U9" s="1675"/>
    </row>
    <row r="10" spans="1:21" ht="15" thickTop="1">
      <c r="A10" s="1725" t="s">
        <v>1997</v>
      </c>
      <c r="B10" s="1700" t="s">
        <v>3165</v>
      </c>
      <c r="C10" s="1657" t="s">
        <v>3166</v>
      </c>
      <c r="D10" s="1648"/>
      <c r="E10" s="1658" t="s">
        <v>1944</v>
      </c>
      <c r="F10" s="1659"/>
      <c r="G10" s="1726"/>
      <c r="H10" s="1727"/>
      <c r="I10" s="1648"/>
      <c r="J10" s="1675"/>
      <c r="K10" s="1755"/>
      <c r="L10" s="1704"/>
      <c r="M10" s="1704"/>
      <c r="N10" s="1675"/>
      <c r="O10" s="1676"/>
      <c r="P10" s="1675"/>
      <c r="Q10" s="1675"/>
      <c r="R10" s="1675"/>
      <c r="S10" s="1675"/>
      <c r="T10" s="1675"/>
      <c r="U10" s="1675"/>
    </row>
    <row r="11" spans="1:21" ht="42.75">
      <c r="A11" s="1678" t="s">
        <v>1998</v>
      </c>
      <c r="B11" s="1679" t="s">
        <v>3167</v>
      </c>
      <c r="C11" s="1660" t="s">
        <v>3168</v>
      </c>
      <c r="D11" s="1743"/>
      <c r="E11" s="1641"/>
      <c r="F11" s="1641"/>
      <c r="G11" s="1641"/>
      <c r="H11" s="1641"/>
      <c r="I11" s="1641"/>
      <c r="J11" s="1675"/>
      <c r="K11" s="1755"/>
      <c r="L11" s="1704"/>
      <c r="M11" s="1704"/>
      <c r="N11" s="1675"/>
      <c r="O11" s="1676"/>
      <c r="P11" s="1675"/>
      <c r="Q11" s="1675"/>
      <c r="R11" s="1675"/>
      <c r="S11" s="1675"/>
      <c r="T11" s="1675"/>
      <c r="U11" s="1675"/>
    </row>
    <row r="12" spans="1:21" ht="44.25" customHeight="1">
      <c r="A12" s="1766" t="s">
        <v>2056</v>
      </c>
      <c r="B12" s="3503" t="s">
        <v>3171</v>
      </c>
      <c r="C12" s="3504"/>
      <c r="D12" s="3505"/>
      <c r="E12" s="1680" t="s">
        <v>2059</v>
      </c>
      <c r="F12" s="3503" t="s">
        <v>3170</v>
      </c>
      <c r="G12" s="3504"/>
      <c r="H12" s="3504"/>
      <c r="I12" s="3505"/>
      <c r="J12" s="1675"/>
      <c r="K12" s="1755"/>
      <c r="L12" s="1704"/>
      <c r="M12" s="1704"/>
      <c r="N12" s="1675"/>
      <c r="O12" s="1676"/>
      <c r="P12" s="1675"/>
      <c r="Q12" s="1675"/>
      <c r="R12" s="1675"/>
      <c r="S12" s="1675"/>
      <c r="T12" s="1675"/>
      <c r="U12" s="1675"/>
    </row>
    <row r="13" spans="1:21" ht="35.25" customHeight="1">
      <c r="A13" s="1668" t="s">
        <v>2057</v>
      </c>
      <c r="B13" s="3503" t="s">
        <v>3171</v>
      </c>
      <c r="C13" s="3504"/>
      <c r="D13" s="3505"/>
      <c r="E13" s="1680" t="s">
        <v>2059</v>
      </c>
      <c r="F13" s="3503" t="s">
        <v>3169</v>
      </c>
      <c r="G13" s="3504"/>
      <c r="H13" s="3504"/>
      <c r="I13" s="3505"/>
      <c r="J13" s="1675"/>
      <c r="K13" s="1755"/>
      <c r="L13" s="1704"/>
      <c r="M13" s="1704"/>
      <c r="N13" s="1675"/>
      <c r="O13" s="1676"/>
      <c r="P13" s="1675"/>
      <c r="Q13" s="1675"/>
      <c r="R13" s="1675"/>
      <c r="S13" s="1675"/>
      <c r="T13" s="1675"/>
      <c r="U13" s="1675"/>
    </row>
    <row r="14" spans="1:21">
      <c r="A14" s="1642" t="s">
        <v>2060</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28.5">
      <c r="A16" s="1661" t="s">
        <v>1945</v>
      </c>
      <c r="B16" s="1662" t="s">
        <v>2981</v>
      </c>
      <c r="C16" s="1680" t="s">
        <v>1946</v>
      </c>
      <c r="D16" s="2605" t="s">
        <v>1947</v>
      </c>
      <c r="E16" s="1703" t="s">
        <v>3122</v>
      </c>
      <c r="F16" s="1703"/>
      <c r="G16" s="1703" t="s">
        <v>3172</v>
      </c>
      <c r="H16" s="1703"/>
      <c r="I16" s="1667" t="s">
        <v>1952</v>
      </c>
      <c r="J16" s="1675"/>
      <c r="K16" s="2415" t="str">
        <f>IF(D17="","",D16&amp;TEXT(D17,"yyyy年m月d日;;"))</f>
        <v>住宅2089年7月3日</v>
      </c>
      <c r="L16" s="1680" t="str">
        <f>IF(OR(K16="",M16=""),"","、")</f>
        <v>、</v>
      </c>
      <c r="M16" s="2415" t="str">
        <f>IF(E17="","",E16&amp;TEXT(E17,"yyyy年m月d日;;"))</f>
        <v>商业2059年7月3日</v>
      </c>
      <c r="N16" s="1680" t="str">
        <f>IF(OR(M16="",O16=""),"","、")</f>
        <v/>
      </c>
      <c r="O16" s="2415" t="str">
        <f>IF(F17="","",F16&amp;TEXT(F17,"yyyy年m月d日;;"))</f>
        <v/>
      </c>
      <c r="P16" s="1680" t="str">
        <f>IF(OR(O16="",Q16=""),"","、")</f>
        <v/>
      </c>
      <c r="Q16" s="2415" t="str">
        <f>IF(G17="","",G16&amp;TEXT(G17,"yyyy年m月d日;;"))</f>
        <v>车库2069年7月3日</v>
      </c>
      <c r="R16" s="1680" t="str">
        <f>IF(OR(Q16="",S16=""),"","、")</f>
        <v/>
      </c>
      <c r="S16" s="2415" t="str">
        <f>IF(H17="","",H16&amp;TEXT(H17,"yyyy年m月d日;;"))</f>
        <v/>
      </c>
      <c r="T16" s="1680" t="str">
        <f>IF(OR(S16="",U16=""),"","、")</f>
        <v/>
      </c>
      <c r="U16" s="2415" t="str">
        <f>IF(I17="","",I16&amp;TEXT(I17,"yyyy年m月d日;;"))</f>
        <v/>
      </c>
    </row>
    <row r="17" spans="1:21">
      <c r="A17" s="1744"/>
      <c r="B17" s="1663"/>
      <c r="C17" s="1664" t="s">
        <v>1953</v>
      </c>
      <c r="D17" s="1681">
        <v>69217</v>
      </c>
      <c r="E17" s="1681">
        <v>58259</v>
      </c>
      <c r="F17" s="1681"/>
      <c r="G17" s="1681">
        <v>61912</v>
      </c>
      <c r="H17" s="1681"/>
      <c r="I17" s="1681"/>
      <c r="J17" s="1675"/>
      <c r="K17" s="2414" t="str">
        <f>CONCATENATE(K16,L16,M16,N16,O16,P16,Q16,R16,S16,T16,,U16)</f>
        <v>住宅2089年7月3日、商业2059年7月3日车库2069年7月3日</v>
      </c>
      <c r="L17" s="1704"/>
      <c r="M17" s="1704"/>
      <c r="N17" s="1675"/>
      <c r="O17" s="1676"/>
      <c r="P17" s="1675"/>
      <c r="Q17" s="1675"/>
      <c r="R17" s="1675"/>
      <c r="S17" s="1675"/>
      <c r="T17" s="1675"/>
      <c r="U17" s="1675"/>
    </row>
    <row r="18" spans="1:21">
      <c r="A18" s="1744"/>
      <c r="B18" s="1663"/>
      <c r="C18" s="1664" t="s">
        <v>1954</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69.180000000000007</v>
      </c>
      <c r="E19" s="1666">
        <f>IF(B16="出让",IF(E17="","",ROUNDDOWN(MIN((E17-$D$3)/365,E18),2)),E18)</f>
        <v>39.159999999999997</v>
      </c>
      <c r="F19" s="1666" t="str">
        <f>IF(B16="出让",IF(F17="","",ROUNDDOWN(MIN((F17-$D$3)/365,F18),2)),F18)</f>
        <v/>
      </c>
      <c r="G19" s="1666">
        <f>IF(B16="出让",IF(G17="","",ROUNDDOWN(MIN((G17-$D$3)/365,G18),2)),G18)</f>
        <v>49.16</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518"/>
      <c r="E20" s="3519"/>
      <c r="F20" s="3519"/>
      <c r="G20" s="3519"/>
      <c r="H20" s="3519"/>
      <c r="I20" s="3520"/>
      <c r="J20" s="1675"/>
      <c r="K20" s="1755"/>
      <c r="L20" s="1704"/>
      <c r="M20" s="1704"/>
      <c r="N20" s="1675"/>
      <c r="O20" s="1676"/>
      <c r="P20" s="1675"/>
      <c r="Q20" s="1675"/>
      <c r="R20" s="1675"/>
      <c r="S20" s="1675"/>
      <c r="T20" s="1675"/>
      <c r="U20" s="1675"/>
    </row>
    <row r="21" spans="1:21">
      <c r="A21" s="1744" t="s">
        <v>1956</v>
      </c>
      <c r="B21" s="1745" t="s">
        <v>1957</v>
      </c>
      <c r="C21" s="1740">
        <f>'数据-汇总表'!E3</f>
        <v>245288.5</v>
      </c>
      <c r="D21" s="1741" t="s">
        <v>1958</v>
      </c>
      <c r="E21" s="3508" t="s">
        <v>1996</v>
      </c>
      <c r="F21" s="3509"/>
      <c r="G21" s="3509"/>
      <c r="H21" s="3509"/>
      <c r="I21" s="3510"/>
      <c r="J21" s="1675"/>
      <c r="K21" s="1755"/>
      <c r="L21" s="1704"/>
      <c r="M21" s="1704"/>
      <c r="N21" s="1675"/>
      <c r="O21" s="1676"/>
      <c r="P21" s="1675"/>
      <c r="Q21" s="1675"/>
      <c r="R21" s="1675"/>
      <c r="S21" s="1675"/>
      <c r="T21" s="1675"/>
      <c r="U21" s="1675"/>
    </row>
    <row r="22" spans="1:21">
      <c r="A22" s="3092" t="s">
        <v>952</v>
      </c>
      <c r="B22" s="1642" t="s">
        <v>1959</v>
      </c>
      <c r="C22" s="1667">
        <f>'数据-汇总表'!D3</f>
        <v>61677.15</v>
      </c>
      <c r="D22" s="1668" t="s">
        <v>1958</v>
      </c>
      <c r="E22" s="3508" t="s">
        <v>2885</v>
      </c>
      <c r="F22" s="3509"/>
      <c r="G22" s="3509"/>
      <c r="H22" s="3509"/>
      <c r="I22" s="3510"/>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511" t="s">
        <v>1964</v>
      </c>
      <c r="C24" s="3512"/>
      <c r="D24" s="3513" t="s">
        <v>1965</v>
      </c>
      <c r="E24" s="3514"/>
      <c r="F24" s="1689" t="s">
        <v>1966</v>
      </c>
      <c r="G24" s="1675"/>
      <c r="H24" s="1675"/>
      <c r="I24" s="1688"/>
      <c r="J24" s="1675"/>
      <c r="K24" s="3499" t="s">
        <v>1967</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2322</v>
      </c>
      <c r="C25" s="1690" t="s">
        <v>1968</v>
      </c>
      <c r="D25" s="1691"/>
      <c r="E25" s="1692" t="s">
        <v>952</v>
      </c>
      <c r="F25" s="1693"/>
      <c r="G25" s="1675"/>
      <c r="H25" s="1675"/>
      <c r="I25" s="1688"/>
      <c r="J25" s="1675"/>
      <c r="K25" s="3499"/>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2323</v>
      </c>
      <c r="D26" s="1641"/>
      <c r="E26" s="1641"/>
      <c r="F26" s="1669"/>
      <c r="G26" s="1675"/>
      <c r="H26" s="1675"/>
      <c r="I26" s="1688"/>
      <c r="J26" s="1675"/>
      <c r="K26" s="3499"/>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0"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1"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1"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2" t="s">
        <v>1974</v>
      </c>
      <c r="E30" s="1699"/>
      <c r="F30" s="1670"/>
      <c r="G30" s="1723"/>
      <c r="H30" s="1723"/>
      <c r="I30" s="1724"/>
      <c r="J30" s="1675"/>
      <c r="K30" s="1755"/>
      <c r="L30" s="1704"/>
      <c r="M30" s="1704"/>
      <c r="N30" s="1675"/>
      <c r="O30" s="1676"/>
      <c r="P30" s="1675"/>
      <c r="Q30" s="1675"/>
      <c r="R30" s="1675"/>
      <c r="S30" s="1675"/>
      <c r="T30" s="1675"/>
      <c r="U30" s="1675"/>
    </row>
    <row r="31" spans="1:21" ht="15" thickTop="1">
      <c r="A31" s="3523" t="s">
        <v>1999</v>
      </c>
      <c r="B31" s="1745" t="s">
        <v>2000</v>
      </c>
      <c r="C31" s="3521"/>
      <c r="D31" s="3522"/>
      <c r="E31" s="1675"/>
      <c r="F31" s="1675"/>
      <c r="G31" s="1675"/>
      <c r="H31" s="1675"/>
      <c r="I31" s="1688"/>
      <c r="J31" s="1675"/>
      <c r="K31" s="2417"/>
      <c r="L31" s="1675"/>
      <c r="M31" s="1675"/>
      <c r="N31" s="1675"/>
      <c r="O31" s="1675"/>
      <c r="P31" s="1675"/>
      <c r="Q31" s="1675"/>
      <c r="R31" s="1675"/>
      <c r="S31" s="1675"/>
      <c r="T31" s="1675"/>
      <c r="U31" s="1675"/>
    </row>
    <row r="32" spans="1:21">
      <c r="A32" s="3523"/>
      <c r="B32" s="1642" t="s">
        <v>2001</v>
      </c>
      <c r="C32" s="1700"/>
      <c r="D32" s="1701"/>
      <c r="E32" s="1675"/>
      <c r="F32" s="1675"/>
      <c r="G32" s="1675"/>
      <c r="H32" s="1675"/>
      <c r="I32" s="1688"/>
      <c r="J32" s="1675"/>
      <c r="K32" s="2417"/>
      <c r="L32" s="1675"/>
      <c r="M32" s="1675"/>
      <c r="N32" s="1675"/>
      <c r="O32" s="1675"/>
      <c r="P32" s="1675"/>
      <c r="Q32" s="1675"/>
      <c r="R32" s="1675"/>
      <c r="S32" s="1675"/>
      <c r="T32" s="1675"/>
      <c r="U32" s="1675"/>
    </row>
    <row r="33" spans="1:21">
      <c r="A33" s="3523"/>
      <c r="B33" s="1642" t="s">
        <v>2002</v>
      </c>
      <c r="C33" s="1702"/>
      <c r="D33" s="1819"/>
      <c r="E33" s="1675"/>
      <c r="F33" s="1675"/>
      <c r="G33" s="1675"/>
      <c r="H33" s="1675"/>
      <c r="I33" s="1688"/>
      <c r="J33" s="1675"/>
      <c r="K33" s="2417"/>
      <c r="L33" s="1675"/>
      <c r="M33" s="1675"/>
      <c r="N33" s="1675"/>
      <c r="O33" s="1675"/>
      <c r="P33" s="1675"/>
      <c r="Q33" s="1675"/>
      <c r="R33" s="1675"/>
      <c r="S33" s="1675"/>
      <c r="T33" s="1675"/>
      <c r="U33" s="1675"/>
    </row>
    <row r="34" spans="1:21">
      <c r="A34" s="3524"/>
      <c r="B34" s="1642" t="s">
        <v>2003</v>
      </c>
      <c r="C34" s="3525"/>
      <c r="D34" s="3526"/>
      <c r="E34" s="1675"/>
      <c r="F34" s="1675"/>
      <c r="G34" s="1675"/>
      <c r="H34" s="1675"/>
      <c r="I34" s="1688"/>
      <c r="J34" s="1675"/>
      <c r="K34" s="2417"/>
      <c r="L34" s="1675"/>
      <c r="M34" s="1675"/>
      <c r="N34" s="1675"/>
      <c r="O34" s="1675"/>
      <c r="P34" s="1675"/>
      <c r="Q34" s="1675"/>
      <c r="R34" s="1675"/>
      <c r="S34" s="1675"/>
      <c r="T34" s="1675"/>
      <c r="U34" s="1675"/>
    </row>
    <row r="35" spans="1:21">
      <c r="A35" s="3527" t="s">
        <v>847</v>
      </c>
      <c r="B35" s="1703"/>
      <c r="C35" s="1757" t="str">
        <f>IF(B35="场地平整","——","具体情况：")</f>
        <v>具体情况：</v>
      </c>
      <c r="D35" s="3529"/>
      <c r="E35" s="3530"/>
      <c r="F35" s="3530"/>
      <c r="G35" s="3530"/>
      <c r="H35" s="3530"/>
      <c r="I35" s="3531"/>
      <c r="J35" s="1675"/>
      <c r="K35" s="1756"/>
      <c r="L35" s="1704"/>
      <c r="M35" s="1704"/>
      <c r="N35" s="1675"/>
      <c r="O35" s="1676"/>
      <c r="P35" s="1675"/>
      <c r="Q35" s="1675"/>
      <c r="R35" s="1675"/>
      <c r="S35" s="1675"/>
      <c r="T35" s="1675"/>
      <c r="U35" s="1675"/>
    </row>
    <row r="36" spans="1:21">
      <c r="A36" s="3523"/>
      <c r="B36" s="3532" t="s">
        <v>2052</v>
      </c>
      <c r="C36" s="3533"/>
      <c r="D36" s="1773"/>
      <c r="E36" s="3534"/>
      <c r="F36" s="3534"/>
      <c r="G36" s="1668" t="str">
        <f>IF(B35="场地未平整","估价结果处理","")</f>
        <v/>
      </c>
      <c r="H36" s="3535"/>
      <c r="I36" s="3535"/>
      <c r="J36" s="1675"/>
      <c r="K36" s="1756"/>
      <c r="L36" s="1704"/>
      <c r="M36" s="1704"/>
      <c r="N36" s="1675"/>
      <c r="O36" s="1676"/>
      <c r="P36" s="1675"/>
      <c r="Q36" s="1675"/>
      <c r="R36" s="1675"/>
      <c r="S36" s="1675"/>
      <c r="T36" s="1675"/>
      <c r="U36" s="1675"/>
    </row>
    <row r="37" spans="1:21" ht="28.5">
      <c r="A37" s="3523"/>
      <c r="B37" s="3515"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523"/>
      <c r="B38" s="3516"/>
      <c r="C38" s="1650" t="s">
        <v>850</v>
      </c>
      <c r="D38" s="1772">
        <f>ROUNDDOWN(MIN(('数据-取费表'!$B$2-D37)/365,D34),1)</f>
        <v>120.4</v>
      </c>
      <c r="E38" s="1708" t="s">
        <v>851</v>
      </c>
      <c r="F38" s="1675"/>
      <c r="G38" s="1675"/>
      <c r="H38" s="1675"/>
      <c r="I38" s="1688"/>
      <c r="J38" s="1675"/>
      <c r="K38" s="1756"/>
      <c r="L38" s="1675"/>
      <c r="M38" s="1675"/>
      <c r="N38" s="1675"/>
      <c r="O38" s="1675"/>
      <c r="P38" s="1675"/>
      <c r="Q38" s="1675"/>
      <c r="R38" s="1675"/>
      <c r="S38" s="1675"/>
      <c r="T38" s="1675"/>
      <c r="U38" s="1675"/>
    </row>
    <row r="39" spans="1:21">
      <c r="A39" s="3524"/>
      <c r="B39" s="3517"/>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498" t="s">
        <v>1983</v>
      </c>
      <c r="T40" s="1712" t="str">
        <f>NUMBERSTRING(7-K40,1)&amp;"通"</f>
        <v>七通</v>
      </c>
      <c r="U40" s="1675"/>
    </row>
    <row r="41" spans="1:21">
      <c r="A41" s="1644"/>
      <c r="B41" s="3528" t="s">
        <v>1721</v>
      </c>
      <c r="C41" s="3528"/>
      <c r="D41" s="3528"/>
      <c r="E41" s="3528"/>
      <c r="F41" s="1713" t="str">
        <f>C10</f>
        <v>云南省</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498"/>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2886</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H8" sqref="H8"/>
    </sheetView>
  </sheetViews>
  <sheetFormatPr defaultRowHeight="13.5"/>
  <cols>
    <col min="1" max="16384" width="9" style="2890"/>
  </cols>
  <sheetData>
    <row r="1" spans="1:8" ht="14.25" thickBot="1">
      <c r="A1" s="3536" t="s">
        <v>3111</v>
      </c>
      <c r="B1" s="3537"/>
      <c r="C1" s="3538"/>
      <c r="D1" s="3405" t="s">
        <v>3112</v>
      </c>
      <c r="E1" s="3405" t="s">
        <v>3113</v>
      </c>
      <c r="F1" s="3405" t="s">
        <v>3004</v>
      </c>
    </row>
    <row r="2" spans="1:8" ht="27" thickBot="1">
      <c r="A2" s="3536" t="s">
        <v>2997</v>
      </c>
      <c r="B2" s="3537"/>
      <c r="C2" s="3538"/>
      <c r="D2" s="3406" t="s">
        <v>3175</v>
      </c>
      <c r="E2" s="3407">
        <v>61677.15</v>
      </c>
      <c r="F2" s="3408" t="s">
        <v>3176</v>
      </c>
    </row>
    <row r="3" spans="1:8" ht="17.25" thickBot="1">
      <c r="A3" s="3536" t="s">
        <v>3016</v>
      </c>
      <c r="B3" s="3537"/>
      <c r="C3" s="3538"/>
      <c r="D3" s="3406" t="s">
        <v>3175</v>
      </c>
      <c r="E3" s="3407">
        <v>258118.5</v>
      </c>
      <c r="F3" s="3407"/>
      <c r="H3" s="2890">
        <f>E2*3.1</f>
        <v>191199.16500000001</v>
      </c>
    </row>
    <row r="4" spans="1:8" ht="17.25" thickBot="1">
      <c r="A4" s="3536" t="s">
        <v>3116</v>
      </c>
      <c r="B4" s="3537"/>
      <c r="C4" s="3538"/>
      <c r="D4" s="3406" t="s">
        <v>3175</v>
      </c>
      <c r="E4" s="3409">
        <v>191899.17</v>
      </c>
      <c r="F4" s="3407"/>
    </row>
    <row r="5" spans="1:8" ht="17.25" thickBot="1">
      <c r="A5" s="3539" t="s">
        <v>3117</v>
      </c>
      <c r="B5" s="3539" t="s">
        <v>3118</v>
      </c>
      <c r="C5" s="3408" t="s">
        <v>3119</v>
      </c>
      <c r="D5" s="3406" t="s">
        <v>3175</v>
      </c>
      <c r="E5" s="3407">
        <v>175210</v>
      </c>
      <c r="F5" s="3407"/>
    </row>
    <row r="6" spans="1:8" ht="17.25" thickBot="1">
      <c r="A6" s="3540"/>
      <c r="B6" s="3540"/>
      <c r="C6" s="3408" t="s">
        <v>3122</v>
      </c>
      <c r="D6" s="3406" t="s">
        <v>3175</v>
      </c>
      <c r="E6" s="3407">
        <v>13469.99</v>
      </c>
      <c r="F6" s="3407"/>
    </row>
    <row r="7" spans="1:8" ht="17.25" thickBot="1">
      <c r="A7" s="3540"/>
      <c r="B7" s="3540"/>
      <c r="C7" s="3408" t="s">
        <v>3177</v>
      </c>
      <c r="D7" s="3406" t="s">
        <v>3175</v>
      </c>
      <c r="E7" s="3407">
        <v>0</v>
      </c>
      <c r="F7" s="3410"/>
    </row>
    <row r="8" spans="1:8" ht="17.25" thickBot="1">
      <c r="A8" s="3541"/>
      <c r="B8" s="3541"/>
      <c r="C8" s="3408" t="s">
        <v>3132</v>
      </c>
      <c r="D8" s="3406" t="s">
        <v>3175</v>
      </c>
      <c r="E8" s="3407">
        <v>3219.17</v>
      </c>
      <c r="F8" s="3407"/>
    </row>
    <row r="9" spans="1:8" ht="17.25" thickBot="1">
      <c r="A9" s="3536" t="s">
        <v>3134</v>
      </c>
      <c r="B9" s="3537"/>
      <c r="C9" s="3538"/>
      <c r="D9" s="3406" t="s">
        <v>3175</v>
      </c>
      <c r="E9" s="3407">
        <v>66919.33</v>
      </c>
      <c r="F9" s="3410"/>
    </row>
    <row r="10" spans="1:8" ht="17.25" thickBot="1">
      <c r="A10" s="3539" t="s">
        <v>3117</v>
      </c>
      <c r="B10" s="3536" t="s">
        <v>3136</v>
      </c>
      <c r="C10" s="3538"/>
      <c r="D10" s="3406" t="s">
        <v>3175</v>
      </c>
      <c r="E10" s="3407">
        <v>66656.52</v>
      </c>
      <c r="F10" s="3407"/>
    </row>
    <row r="11" spans="1:8" ht="26.25" thickBot="1">
      <c r="A11" s="3540"/>
      <c r="B11" s="3539" t="s">
        <v>3117</v>
      </c>
      <c r="C11" s="3411" t="s">
        <v>3139</v>
      </c>
      <c r="D11" s="3406" t="s">
        <v>3175</v>
      </c>
      <c r="E11" s="3407">
        <v>3684.04</v>
      </c>
      <c r="F11" s="3407" t="s">
        <v>3178</v>
      </c>
    </row>
    <row r="12" spans="1:8" ht="26.25" thickBot="1">
      <c r="A12" s="3540"/>
      <c r="B12" s="3540"/>
      <c r="C12" s="3411" t="s">
        <v>3141</v>
      </c>
      <c r="D12" s="3406" t="s">
        <v>3175</v>
      </c>
      <c r="E12" s="3407">
        <v>13530</v>
      </c>
      <c r="F12" s="3410"/>
    </row>
    <row r="13" spans="1:8" ht="26.25" thickBot="1">
      <c r="A13" s="3540"/>
      <c r="B13" s="3541"/>
      <c r="C13" s="3411" t="s">
        <v>3179</v>
      </c>
      <c r="D13" s="3406" t="s">
        <v>3175</v>
      </c>
      <c r="E13" s="3407">
        <v>49442.47</v>
      </c>
      <c r="F13" s="3407"/>
    </row>
    <row r="14" spans="1:8" ht="17.25" thickBot="1">
      <c r="A14" s="3541"/>
      <c r="B14" s="3536" t="s">
        <v>3180</v>
      </c>
      <c r="C14" s="3538"/>
      <c r="D14" s="3406" t="s">
        <v>3175</v>
      </c>
      <c r="E14" s="3407">
        <v>262.82</v>
      </c>
      <c r="F14" s="3407"/>
    </row>
    <row r="15" spans="1:8" ht="14.25" thickBot="1">
      <c r="A15" s="3536" t="s">
        <v>3145</v>
      </c>
      <c r="B15" s="3537"/>
      <c r="C15" s="3538"/>
      <c r="D15" s="3408" t="s">
        <v>3146</v>
      </c>
      <c r="E15" s="3407">
        <v>1885</v>
      </c>
      <c r="F15" s="3407"/>
    </row>
    <row r="16" spans="1:8" ht="14.25" thickBot="1">
      <c r="A16" s="3539" t="s">
        <v>3117</v>
      </c>
      <c r="B16" s="3536" t="s">
        <v>3147</v>
      </c>
      <c r="C16" s="3538"/>
      <c r="D16" s="3408" t="s">
        <v>3146</v>
      </c>
      <c r="E16" s="3407">
        <v>0</v>
      </c>
      <c r="F16" s="3410"/>
    </row>
    <row r="17" spans="1:6" ht="14.25" thickBot="1">
      <c r="A17" s="3540"/>
      <c r="B17" s="3536" t="s">
        <v>3148</v>
      </c>
      <c r="C17" s="3538"/>
      <c r="D17" s="3408" t="s">
        <v>3146</v>
      </c>
      <c r="E17" s="3407">
        <v>1885</v>
      </c>
      <c r="F17" s="3407"/>
    </row>
    <row r="18" spans="1:6" ht="26.25" thickBot="1">
      <c r="A18" s="3540"/>
      <c r="B18" s="3539" t="s">
        <v>3117</v>
      </c>
      <c r="C18" s="3405" t="s">
        <v>3149</v>
      </c>
      <c r="D18" s="3408" t="s">
        <v>3146</v>
      </c>
      <c r="E18" s="3407">
        <v>375</v>
      </c>
      <c r="F18" s="3410"/>
    </row>
    <row r="19" spans="1:6" ht="26.25" thickBot="1">
      <c r="A19" s="3541"/>
      <c r="B19" s="3541"/>
      <c r="C19" s="3408" t="s">
        <v>3150</v>
      </c>
      <c r="D19" s="3408" t="s">
        <v>3146</v>
      </c>
      <c r="E19" s="3407">
        <v>1510</v>
      </c>
      <c r="F19" s="3410"/>
    </row>
    <row r="20" spans="1:6" ht="17.25" thickBot="1">
      <c r="A20" s="3536" t="s">
        <v>3181</v>
      </c>
      <c r="B20" s="3537"/>
      <c r="C20" s="3538"/>
      <c r="D20" s="3406" t="s">
        <v>3175</v>
      </c>
      <c r="E20" s="3407">
        <v>13530</v>
      </c>
      <c r="F20" s="3410"/>
    </row>
    <row r="21" spans="1:6" ht="17.25" thickBot="1">
      <c r="A21" s="3536" t="s">
        <v>3182</v>
      </c>
      <c r="B21" s="3537"/>
      <c r="C21" s="3538"/>
      <c r="D21" s="3406" t="s">
        <v>3175</v>
      </c>
      <c r="E21" s="3407">
        <v>24670.86</v>
      </c>
      <c r="F21" s="3410"/>
    </row>
    <row r="22" spans="1:6" ht="14.25" thickBot="1">
      <c r="A22" s="3536" t="s">
        <v>3013</v>
      </c>
      <c r="B22" s="3537"/>
      <c r="C22" s="3538"/>
      <c r="D22" s="3407" t="s">
        <v>3183</v>
      </c>
      <c r="E22" s="3412">
        <v>0.4</v>
      </c>
      <c r="F22" s="3410"/>
    </row>
    <row r="23" spans="1:6" ht="14.25" thickBot="1">
      <c r="A23" s="3536" t="s">
        <v>3151</v>
      </c>
      <c r="B23" s="3537"/>
      <c r="C23" s="3538"/>
      <c r="D23" s="3407" t="s">
        <v>3152</v>
      </c>
      <c r="E23" s="3409">
        <v>3.1</v>
      </c>
      <c r="F23" s="3407"/>
    </row>
    <row r="24" spans="1:6" ht="17.25" thickBot="1">
      <c r="A24" s="3536" t="s">
        <v>3184</v>
      </c>
      <c r="B24" s="3537"/>
      <c r="C24" s="3538"/>
      <c r="D24" s="3406" t="s">
        <v>3175</v>
      </c>
      <c r="E24" s="3407">
        <v>876.05</v>
      </c>
      <c r="F24" s="3408" t="s">
        <v>3185</v>
      </c>
    </row>
    <row r="25" spans="1:6" ht="17.25" thickBot="1">
      <c r="A25" s="3536" t="s">
        <v>3186</v>
      </c>
      <c r="B25" s="3537"/>
      <c r="C25" s="3538"/>
      <c r="D25" s="3406" t="s">
        <v>3175</v>
      </c>
      <c r="E25" s="3407">
        <v>1860.48</v>
      </c>
      <c r="F25" s="3408" t="s">
        <v>3185</v>
      </c>
    </row>
    <row r="26" spans="1:6" ht="14.25" thickBot="1">
      <c r="A26" s="3536" t="s">
        <v>3010</v>
      </c>
      <c r="B26" s="3537"/>
      <c r="C26" s="3538"/>
      <c r="D26" s="3407" t="s">
        <v>3183</v>
      </c>
      <c r="E26" s="3412">
        <v>0.22</v>
      </c>
      <c r="F26" s="3407" t="s">
        <v>3187</v>
      </c>
    </row>
    <row r="27" spans="1:6" ht="14.25" thickBot="1">
      <c r="A27" s="3536" t="s">
        <v>3158</v>
      </c>
      <c r="B27" s="3537"/>
      <c r="C27" s="3538"/>
      <c r="D27" s="3408" t="s">
        <v>3159</v>
      </c>
      <c r="E27" s="3407">
        <v>1938</v>
      </c>
      <c r="F27" s="3407"/>
    </row>
    <row r="28" spans="1:6" ht="14.25" thickBot="1">
      <c r="A28" s="3536" t="s">
        <v>3160</v>
      </c>
      <c r="B28" s="3537"/>
      <c r="C28" s="3538"/>
      <c r="D28" s="3408" t="s">
        <v>3161</v>
      </c>
      <c r="E28" s="3407">
        <v>6202</v>
      </c>
      <c r="F28" s="3407" t="s">
        <v>3188</v>
      </c>
    </row>
  </sheetData>
  <mergeCells count="25">
    <mergeCell ref="A28:C28"/>
    <mergeCell ref="A22:C22"/>
    <mergeCell ref="A23:C23"/>
    <mergeCell ref="A24:C24"/>
    <mergeCell ref="A25:C25"/>
    <mergeCell ref="A26:C26"/>
    <mergeCell ref="A27:C27"/>
    <mergeCell ref="A21:C21"/>
    <mergeCell ref="A9:C9"/>
    <mergeCell ref="A10:A14"/>
    <mergeCell ref="B10:C10"/>
    <mergeCell ref="B11:B13"/>
    <mergeCell ref="B14:C14"/>
    <mergeCell ref="A15:C15"/>
    <mergeCell ref="A16:A19"/>
    <mergeCell ref="B16:C16"/>
    <mergeCell ref="B17:C17"/>
    <mergeCell ref="B18:B19"/>
    <mergeCell ref="A20:C20"/>
    <mergeCell ref="A1:C1"/>
    <mergeCell ref="A2:C2"/>
    <mergeCell ref="A3:C3"/>
    <mergeCell ref="A4:C4"/>
    <mergeCell ref="A5:A8"/>
    <mergeCell ref="B5:B8"/>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99"/>
  <sheetViews>
    <sheetView topLeftCell="A60" workbookViewId="0">
      <selection activeCell="H86" sqref="H86"/>
    </sheetView>
  </sheetViews>
  <sheetFormatPr defaultColWidth="9" defaultRowHeight="13.5"/>
  <cols>
    <col min="1" max="1" width="6.75" style="3186" customWidth="1"/>
    <col min="2" max="2" width="18.625" style="3186" customWidth="1"/>
    <col min="3" max="3" width="10.125" style="3186" customWidth="1"/>
    <col min="4" max="4" width="12" style="3186" customWidth="1"/>
    <col min="5" max="5" width="12.75" style="3186" customWidth="1"/>
    <col min="6" max="6" width="7.25" style="3186" customWidth="1"/>
    <col min="7" max="7" width="7.5" style="3186" customWidth="1"/>
    <col min="8" max="8" width="9.375" style="3186" customWidth="1"/>
    <col min="9" max="9" width="19.875" style="3186" customWidth="1"/>
    <col min="10" max="10" width="13.875" style="3186" bestFit="1" customWidth="1"/>
    <col min="11" max="11" width="23" style="3186" customWidth="1"/>
    <col min="12" max="13" width="9" style="3186" customWidth="1"/>
    <col min="14" max="14" width="12" style="3186" customWidth="1"/>
    <col min="15" max="15" width="13.875" style="3186" bestFit="1" customWidth="1"/>
    <col min="16" max="16" width="10.5" style="3186" customWidth="1"/>
    <col min="17" max="17" width="11.25" style="3186" bestFit="1" customWidth="1"/>
    <col min="18" max="18" width="9.5" style="3186" bestFit="1" customWidth="1"/>
    <col min="19" max="20" width="12.75" style="3186" bestFit="1" customWidth="1"/>
    <col min="21" max="21" width="9" style="3186"/>
    <col min="22" max="22" width="9.5" style="3186" bestFit="1" customWidth="1"/>
    <col min="23" max="16384" width="9" style="3186"/>
  </cols>
  <sheetData>
    <row r="1" spans="1:21" ht="20.25">
      <c r="A1" s="3542"/>
      <c r="B1" s="3543"/>
      <c r="C1" s="3543"/>
      <c r="D1" s="3543"/>
      <c r="E1" s="3543"/>
      <c r="F1" s="3543"/>
      <c r="G1" s="3543"/>
      <c r="H1" s="3543"/>
      <c r="I1" s="3543"/>
      <c r="J1" s="3543"/>
      <c r="K1" s="3543"/>
      <c r="L1" s="3543"/>
      <c r="M1" s="3543"/>
      <c r="N1" s="3543"/>
      <c r="O1" s="3543"/>
      <c r="P1" s="3543"/>
      <c r="Q1" s="3543"/>
      <c r="R1" s="3543"/>
      <c r="S1" s="3543"/>
      <c r="T1" s="3543"/>
      <c r="U1" s="3544"/>
    </row>
    <row r="2" spans="1:21" ht="14.25" thickBot="1">
      <c r="A2" s="3187" t="s">
        <v>2994</v>
      </c>
      <c r="B2" s="3545"/>
      <c r="C2" s="3545"/>
      <c r="D2" s="3545"/>
      <c r="E2" s="3545"/>
      <c r="F2" s="3545"/>
      <c r="G2" s="3545"/>
      <c r="H2" s="3545"/>
      <c r="I2" s="3545"/>
      <c r="J2" s="3545"/>
      <c r="K2" s="3545"/>
      <c r="L2" s="3545"/>
      <c r="M2" s="3545"/>
      <c r="N2" s="3545"/>
      <c r="O2" s="3545"/>
      <c r="P2" s="3545"/>
      <c r="Q2" s="3545"/>
      <c r="R2" s="3545"/>
      <c r="S2" s="3545"/>
      <c r="T2" s="3545"/>
      <c r="U2" s="3546"/>
    </row>
    <row r="3" spans="1:21" ht="20.25">
      <c r="A3" s="3188" t="s">
        <v>2372</v>
      </c>
      <c r="B3" s="3547" t="s">
        <v>2995</v>
      </c>
      <c r="C3" s="3547"/>
      <c r="D3" s="3547"/>
      <c r="E3" s="3547"/>
      <c r="F3" s="3547"/>
      <c r="G3" s="3547"/>
      <c r="H3" s="3547"/>
      <c r="I3" s="3547"/>
      <c r="J3" s="3547"/>
      <c r="K3" s="3547"/>
      <c r="L3" s="3547"/>
      <c r="M3" s="3547"/>
      <c r="N3" s="3547"/>
      <c r="O3" s="3548"/>
      <c r="P3" s="3549" t="s">
        <v>2996</v>
      </c>
      <c r="Q3" s="3547"/>
      <c r="R3" s="3547"/>
      <c r="S3" s="3547"/>
      <c r="T3" s="3547"/>
      <c r="U3" s="3548"/>
    </row>
    <row r="4" spans="1:21">
      <c r="A4" s="3189">
        <v>1</v>
      </c>
      <c r="B4" s="3550" t="s">
        <v>2997</v>
      </c>
      <c r="C4" s="3551"/>
      <c r="D4" s="3190">
        <f>E72</f>
        <v>43990.39</v>
      </c>
      <c r="E4" s="3552">
        <f>D4*3.1</f>
        <v>136370.209</v>
      </c>
      <c r="F4" s="3553"/>
      <c r="G4" s="3553"/>
      <c r="H4" s="3554"/>
      <c r="I4" s="3191">
        <v>7</v>
      </c>
      <c r="J4" s="3192" t="s">
        <v>2998</v>
      </c>
      <c r="K4" s="3555">
        <f>N43</f>
        <v>1298</v>
      </c>
      <c r="L4" s="3556"/>
      <c r="M4" s="3557"/>
      <c r="N4" s="3557"/>
      <c r="O4" s="3558"/>
      <c r="P4" s="3193" t="s">
        <v>2999</v>
      </c>
      <c r="Q4" s="3194" t="s">
        <v>3000</v>
      </c>
      <c r="R4" s="3194" t="s">
        <v>3001</v>
      </c>
      <c r="S4" s="3194" t="s">
        <v>3002</v>
      </c>
      <c r="T4" s="3194" t="s">
        <v>3003</v>
      </c>
      <c r="U4" s="3195" t="s">
        <v>3004</v>
      </c>
    </row>
    <row r="5" spans="1:21">
      <c r="A5" s="3189">
        <v>2</v>
      </c>
      <c r="B5" s="3550" t="s">
        <v>3005</v>
      </c>
      <c r="C5" s="3551"/>
      <c r="D5" s="3196">
        <f>J43+J55+H68</f>
        <v>9677</v>
      </c>
      <c r="E5" s="3578">
        <f>E4-D11</f>
        <v>2.698499999998603</v>
      </c>
      <c r="F5" s="3553"/>
      <c r="G5" s="3553"/>
      <c r="H5" s="3554"/>
      <c r="I5" s="3191">
        <v>8</v>
      </c>
      <c r="J5" s="3192" t="s">
        <v>3006</v>
      </c>
      <c r="K5" s="3579">
        <f>K4*3.2</f>
        <v>4153.6000000000004</v>
      </c>
      <c r="L5" s="3580"/>
      <c r="M5" s="3557"/>
      <c r="N5" s="3557"/>
      <c r="O5" s="3558"/>
      <c r="P5" s="3197" t="s">
        <v>3007</v>
      </c>
      <c r="Q5" s="3198"/>
      <c r="R5" s="3198"/>
      <c r="S5" s="3199"/>
      <c r="T5" s="3198"/>
      <c r="U5" s="3200"/>
    </row>
    <row r="6" spans="1:21">
      <c r="A6" s="3189">
        <v>3</v>
      </c>
      <c r="B6" s="3550" t="s">
        <v>2030</v>
      </c>
      <c r="C6" s="3551"/>
      <c r="D6" s="3201">
        <f>D11/D4</f>
        <v>3.0999386570566889</v>
      </c>
      <c r="E6" s="3581"/>
      <c r="F6" s="3582"/>
      <c r="G6" s="3582"/>
      <c r="H6" s="3583"/>
      <c r="I6" s="3191">
        <v>9</v>
      </c>
      <c r="J6" s="3192" t="s">
        <v>3008</v>
      </c>
      <c r="K6" s="3579" t="s">
        <v>3009</v>
      </c>
      <c r="L6" s="3580"/>
      <c r="M6" s="3584"/>
      <c r="N6" s="3584"/>
      <c r="O6" s="3585"/>
      <c r="P6" s="3202"/>
      <c r="Q6" s="3198"/>
      <c r="R6" s="3198"/>
      <c r="S6" s="3198"/>
      <c r="T6" s="3198"/>
      <c r="U6" s="3200"/>
    </row>
    <row r="7" spans="1:21">
      <c r="A7" s="3189">
        <v>4</v>
      </c>
      <c r="B7" s="3550" t="s">
        <v>3010</v>
      </c>
      <c r="C7" s="3551"/>
      <c r="D7" s="3203">
        <f>D5/D4</f>
        <v>0.21997986378388554</v>
      </c>
      <c r="E7" s="3581"/>
      <c r="F7" s="3582"/>
      <c r="G7" s="3582"/>
      <c r="H7" s="3583"/>
      <c r="I7" s="3191">
        <v>10</v>
      </c>
      <c r="J7" s="3192" t="s">
        <v>3011</v>
      </c>
      <c r="K7" s="3579">
        <f>D5</f>
        <v>9677</v>
      </c>
      <c r="L7" s="3580"/>
      <c r="M7" s="3595">
        <f>K7/36</f>
        <v>268.80555555555554</v>
      </c>
      <c r="N7" s="3595"/>
      <c r="O7" s="3596"/>
      <c r="P7" s="3204" t="s">
        <v>3012</v>
      </c>
      <c r="Q7" s="3205"/>
      <c r="R7" s="3205"/>
      <c r="S7" s="3205"/>
      <c r="T7" s="3205"/>
      <c r="U7" s="3206"/>
    </row>
    <row r="8" spans="1:21">
      <c r="A8" s="3559">
        <v>5</v>
      </c>
      <c r="B8" s="3560" t="s">
        <v>3013</v>
      </c>
      <c r="C8" s="3561"/>
      <c r="D8" s="3564">
        <v>0.4</v>
      </c>
      <c r="E8" s="3565"/>
      <c r="F8" s="3566"/>
      <c r="G8" s="3566"/>
      <c r="H8" s="3567"/>
      <c r="I8" s="3571">
        <v>11</v>
      </c>
      <c r="J8" s="3192" t="s">
        <v>3014</v>
      </c>
      <c r="K8" s="3572" t="s">
        <v>2291</v>
      </c>
      <c r="L8" s="3573"/>
      <c r="M8" s="3574"/>
      <c r="N8" s="3574"/>
      <c r="O8" s="3575"/>
      <c r="P8" s="3204"/>
      <c r="Q8" s="3205"/>
      <c r="R8" s="3205"/>
      <c r="S8" s="3205"/>
      <c r="T8" s="3205"/>
      <c r="U8" s="3206"/>
    </row>
    <row r="9" spans="1:21">
      <c r="A9" s="3559"/>
      <c r="B9" s="3562"/>
      <c r="C9" s="3563"/>
      <c r="D9" s="3564"/>
      <c r="E9" s="3568"/>
      <c r="F9" s="3569"/>
      <c r="G9" s="3569"/>
      <c r="H9" s="3570"/>
      <c r="I9" s="3571"/>
      <c r="J9" s="3207" t="s">
        <v>3015</v>
      </c>
      <c r="K9" s="3576" t="s">
        <v>2291</v>
      </c>
      <c r="L9" s="3577"/>
      <c r="M9" s="3574"/>
      <c r="N9" s="3574"/>
      <c r="O9" s="3575"/>
      <c r="P9" s="3204"/>
      <c r="Q9" s="3205"/>
      <c r="R9" s="3205"/>
      <c r="S9" s="3205"/>
      <c r="T9" s="3205"/>
      <c r="U9" s="3206"/>
    </row>
    <row r="10" spans="1:21">
      <c r="A10" s="3634">
        <v>6</v>
      </c>
      <c r="B10" s="3588" t="s">
        <v>3016</v>
      </c>
      <c r="C10" s="3588"/>
      <c r="D10" s="3208">
        <f>D11+D12</f>
        <v>182455.97427999999</v>
      </c>
      <c r="E10" s="3589"/>
      <c r="F10" s="3590"/>
      <c r="G10" s="3590"/>
      <c r="H10" s="3591"/>
      <c r="I10" s="3635">
        <v>12</v>
      </c>
      <c r="J10" s="3192" t="s">
        <v>3017</v>
      </c>
      <c r="K10" s="3579">
        <f>K43+K55+K68</f>
        <v>1280.2351049999997</v>
      </c>
      <c r="L10" s="3580"/>
      <c r="M10" s="3586"/>
      <c r="N10" s="3586"/>
      <c r="O10" s="3587"/>
      <c r="P10" s="3204" t="s">
        <v>3012</v>
      </c>
      <c r="Q10" s="3205"/>
      <c r="R10" s="3205"/>
      <c r="S10" s="3205"/>
      <c r="T10" s="3205"/>
      <c r="U10" s="3206"/>
    </row>
    <row r="11" spans="1:21">
      <c r="A11" s="3634"/>
      <c r="B11" s="3588" t="s">
        <v>3018</v>
      </c>
      <c r="C11" s="3588"/>
      <c r="D11" s="3208">
        <f>I43+G68+I55</f>
        <v>136367.5105</v>
      </c>
      <c r="E11" s="3589"/>
      <c r="F11" s="3590"/>
      <c r="G11" s="3590"/>
      <c r="H11" s="3591"/>
      <c r="I11" s="3636"/>
      <c r="J11" s="3192" t="s">
        <v>3018</v>
      </c>
      <c r="K11" s="3579">
        <v>0</v>
      </c>
      <c r="L11" s="3580"/>
      <c r="M11" s="3592"/>
      <c r="N11" s="3593"/>
      <c r="O11" s="3594"/>
      <c r="P11" s="3617" t="s">
        <v>3019</v>
      </c>
      <c r="Q11" s="3618"/>
      <c r="R11" s="3618"/>
      <c r="S11" s="3618"/>
      <c r="T11" s="3618"/>
      <c r="U11" s="3619"/>
    </row>
    <row r="12" spans="1:21">
      <c r="A12" s="3634"/>
      <c r="B12" s="3621" t="s">
        <v>3020</v>
      </c>
      <c r="C12" s="3622"/>
      <c r="D12" s="3209">
        <f>SUM(D13:D15)</f>
        <v>46088.463779999991</v>
      </c>
      <c r="E12" s="3210"/>
      <c r="F12" s="3211"/>
      <c r="G12" s="3211"/>
      <c r="H12" s="3212"/>
      <c r="I12" s="3636"/>
      <c r="J12" s="3213"/>
      <c r="K12" s="3214"/>
      <c r="L12" s="3215"/>
      <c r="M12" s="3216"/>
      <c r="N12" s="3217"/>
      <c r="O12" s="3218"/>
      <c r="P12" s="3617"/>
      <c r="Q12" s="3618"/>
      <c r="R12" s="3618"/>
      <c r="S12" s="3618"/>
      <c r="T12" s="3618"/>
      <c r="U12" s="3619"/>
    </row>
    <row r="13" spans="1:21" ht="24.75" customHeight="1">
      <c r="A13" s="3634"/>
      <c r="B13" s="3623" t="s">
        <v>3021</v>
      </c>
      <c r="C13" s="3219" t="s">
        <v>3022</v>
      </c>
      <c r="D13" s="3209">
        <f>K17*1.8</f>
        <v>2350.1431889999999</v>
      </c>
      <c r="E13" s="3606" t="s">
        <v>3023</v>
      </c>
      <c r="F13" s="3607"/>
      <c r="G13" s="3607"/>
      <c r="H13" s="3608"/>
      <c r="I13" s="3636"/>
      <c r="J13" s="3213"/>
      <c r="K13" s="3214"/>
      <c r="L13" s="3215"/>
      <c r="M13" s="3216"/>
      <c r="N13" s="3217"/>
      <c r="O13" s="3218"/>
      <c r="P13" s="3617"/>
      <c r="Q13" s="3618"/>
      <c r="R13" s="3618"/>
      <c r="S13" s="3618"/>
      <c r="T13" s="3618"/>
      <c r="U13" s="3619"/>
    </row>
    <row r="14" spans="1:21" ht="27.75" customHeight="1">
      <c r="A14" s="3634"/>
      <c r="B14" s="3623"/>
      <c r="C14" s="3219" t="s">
        <v>3024</v>
      </c>
      <c r="D14" s="3220">
        <f>K15*36-D13-D15</f>
        <v>43552.010090999989</v>
      </c>
      <c r="E14" s="3221"/>
      <c r="F14" s="3222"/>
      <c r="G14" s="3222"/>
      <c r="H14" s="3223"/>
      <c r="I14" s="3636"/>
      <c r="J14" s="3213"/>
      <c r="K14" s="3214"/>
      <c r="L14" s="3215"/>
      <c r="M14" s="3216"/>
      <c r="N14" s="3217"/>
      <c r="O14" s="3218"/>
      <c r="P14" s="3617"/>
      <c r="Q14" s="3618"/>
      <c r="R14" s="3618"/>
      <c r="S14" s="3618"/>
      <c r="T14" s="3618"/>
      <c r="U14" s="3619"/>
    </row>
    <row r="15" spans="1:21">
      <c r="A15" s="3634"/>
      <c r="B15" s="3623"/>
      <c r="C15" s="3219" t="s">
        <v>3025</v>
      </c>
      <c r="D15" s="3220">
        <f>O60+O61</f>
        <v>186.31049999999999</v>
      </c>
      <c r="E15" s="3624"/>
      <c r="F15" s="3625"/>
      <c r="G15" s="3625"/>
      <c r="H15" s="3626"/>
      <c r="I15" s="3636"/>
      <c r="J15" s="3213" t="s">
        <v>3026</v>
      </c>
      <c r="K15" s="3627">
        <f>K10-K11</f>
        <v>1280.2351049999997</v>
      </c>
      <c r="L15" s="3628"/>
      <c r="M15" s="3586" t="s">
        <v>3027</v>
      </c>
      <c r="N15" s="3586"/>
      <c r="O15" s="3587"/>
      <c r="P15" s="3620"/>
      <c r="Q15" s="3618"/>
      <c r="R15" s="3618"/>
      <c r="S15" s="3618"/>
      <c r="T15" s="3618"/>
      <c r="U15" s="3619"/>
    </row>
    <row r="16" spans="1:21">
      <c r="A16" s="3602">
        <v>7</v>
      </c>
      <c r="B16" s="3604" t="s">
        <v>3028</v>
      </c>
      <c r="C16" s="3224" t="s">
        <v>3029</v>
      </c>
      <c r="D16" s="3220">
        <f>S43</f>
        <v>6210.35</v>
      </c>
      <c r="E16" s="3606"/>
      <c r="F16" s="3607"/>
      <c r="G16" s="3607"/>
      <c r="H16" s="3608"/>
      <c r="I16" s="3225"/>
      <c r="J16" s="3213"/>
      <c r="K16" s="3226"/>
      <c r="L16" s="3227"/>
      <c r="M16" s="3216"/>
      <c r="N16" s="3217"/>
      <c r="O16" s="3217"/>
      <c r="P16" s="3620"/>
      <c r="Q16" s="3618"/>
      <c r="R16" s="3618"/>
      <c r="S16" s="3618"/>
      <c r="T16" s="3618"/>
      <c r="U16" s="3619"/>
    </row>
    <row r="17" spans="1:21">
      <c r="A17" s="3603"/>
      <c r="B17" s="3605"/>
      <c r="C17" s="3219" t="s">
        <v>3030</v>
      </c>
      <c r="D17" s="3228">
        <f>O43</f>
        <v>0</v>
      </c>
      <c r="E17" s="3609"/>
      <c r="F17" s="3610"/>
      <c r="G17" s="3610"/>
      <c r="H17" s="3611"/>
      <c r="I17" s="3191"/>
      <c r="J17" s="3192" t="s">
        <v>3031</v>
      </c>
      <c r="K17" s="3612">
        <f>I43/100+I55/100*2+(G68-G67)/100</f>
        <v>1305.6351049999998</v>
      </c>
      <c r="L17" s="3613"/>
      <c r="M17" s="3229"/>
      <c r="N17" s="3229"/>
      <c r="O17" s="3229"/>
      <c r="P17" s="3620"/>
      <c r="Q17" s="3618"/>
      <c r="R17" s="3618"/>
      <c r="S17" s="3618"/>
      <c r="T17" s="3618"/>
      <c r="U17" s="3619"/>
    </row>
    <row r="18" spans="1:21">
      <c r="A18" s="3230">
        <v>8</v>
      </c>
      <c r="B18" s="3231" t="s">
        <v>3032</v>
      </c>
      <c r="C18" s="3219" t="s">
        <v>3033</v>
      </c>
      <c r="D18" s="3228">
        <f>T25</f>
        <v>0</v>
      </c>
      <c r="E18" s="3232"/>
      <c r="F18" s="3232"/>
      <c r="G18" s="3232"/>
      <c r="H18" s="3232"/>
      <c r="I18" s="3191"/>
      <c r="J18" s="3192"/>
      <c r="K18" s="3233"/>
      <c r="L18" s="3233"/>
      <c r="M18" s="3229"/>
      <c r="N18" s="3229"/>
      <c r="O18" s="3229"/>
      <c r="P18" s="3620"/>
      <c r="Q18" s="3618"/>
      <c r="R18" s="3618"/>
      <c r="S18" s="3618"/>
      <c r="T18" s="3618"/>
      <c r="U18" s="3619"/>
    </row>
    <row r="19" spans="1:21">
      <c r="A19" s="3614"/>
      <c r="B19" s="3615"/>
      <c r="C19" s="3615"/>
      <c r="D19" s="3615"/>
      <c r="E19" s="3615"/>
      <c r="F19" s="3615"/>
      <c r="G19" s="3615"/>
      <c r="H19" s="3615"/>
      <c r="I19" s="3615"/>
      <c r="J19" s="3615"/>
      <c r="K19" s="3615"/>
      <c r="L19" s="3615"/>
      <c r="M19" s="3615"/>
      <c r="N19" s="3615"/>
      <c r="O19" s="3616"/>
      <c r="P19" s="3618"/>
      <c r="Q19" s="3618"/>
      <c r="R19" s="3618"/>
      <c r="S19" s="3618"/>
      <c r="T19" s="3618"/>
      <c r="U19" s="3619"/>
    </row>
    <row r="20" spans="1:21" ht="18.75">
      <c r="A20" s="3234"/>
      <c r="B20" s="3629" t="s">
        <v>923</v>
      </c>
      <c r="C20" s="3629"/>
      <c r="D20" s="3630"/>
      <c r="E20" s="3630"/>
      <c r="F20" s="3630"/>
      <c r="G20" s="3630"/>
      <c r="H20" s="3630"/>
      <c r="I20" s="3630"/>
      <c r="J20" s="3630"/>
      <c r="K20" s="3630"/>
      <c r="L20" s="3630"/>
      <c r="M20" s="3630"/>
      <c r="N20" s="3630"/>
      <c r="O20" s="3630"/>
      <c r="P20" s="3630"/>
      <c r="Q20" s="3630"/>
      <c r="R20" s="3630"/>
      <c r="S20" s="3630"/>
      <c r="T20" s="3630"/>
      <c r="U20" s="3235"/>
    </row>
    <row r="21" spans="1:21" ht="33.75">
      <c r="A21" s="3236" t="s">
        <v>2372</v>
      </c>
      <c r="B21" s="3237" t="s">
        <v>2999</v>
      </c>
      <c r="C21" s="3238" t="s">
        <v>3034</v>
      </c>
      <c r="D21" s="3239" t="s">
        <v>3035</v>
      </c>
      <c r="E21" s="3238" t="s">
        <v>3036</v>
      </c>
      <c r="F21" s="3238" t="s">
        <v>3037</v>
      </c>
      <c r="G21" s="3238" t="s">
        <v>3038</v>
      </c>
      <c r="H21" s="3238" t="s">
        <v>3039</v>
      </c>
      <c r="I21" s="3238" t="s">
        <v>3040</v>
      </c>
      <c r="J21" s="3238" t="s">
        <v>3041</v>
      </c>
      <c r="K21" s="3238" t="s">
        <v>3017</v>
      </c>
      <c r="L21" s="3238" t="s">
        <v>3042</v>
      </c>
      <c r="M21" s="3240" t="s">
        <v>3043</v>
      </c>
      <c r="N21" s="3241" t="s">
        <v>2998</v>
      </c>
      <c r="O21" s="3242" t="s">
        <v>3044</v>
      </c>
      <c r="P21" s="3242" t="s">
        <v>3045</v>
      </c>
      <c r="Q21" s="3242" t="s">
        <v>3046</v>
      </c>
      <c r="R21" s="3242" t="s">
        <v>3047</v>
      </c>
      <c r="S21" s="3242" t="s">
        <v>3048</v>
      </c>
      <c r="T21" s="3242" t="s">
        <v>3049</v>
      </c>
      <c r="U21" s="3243" t="s">
        <v>3004</v>
      </c>
    </row>
    <row r="22" spans="1:21">
      <c r="A22" s="3244" t="s">
        <v>3050</v>
      </c>
      <c r="B22" s="3245" t="s">
        <v>3051</v>
      </c>
      <c r="C22" s="3246"/>
      <c r="D22" s="3247"/>
      <c r="E22" s="3247"/>
      <c r="F22" s="3247"/>
      <c r="G22" s="3247"/>
      <c r="H22" s="3247"/>
      <c r="I22" s="3196"/>
      <c r="J22" s="3248"/>
      <c r="K22" s="3249"/>
      <c r="L22" s="3247"/>
      <c r="M22" s="3247"/>
      <c r="N22" s="3196"/>
      <c r="O22" s="3247">
        <v>0</v>
      </c>
      <c r="P22" s="3247">
        <v>0</v>
      </c>
      <c r="Q22" s="3247">
        <v>0</v>
      </c>
      <c r="R22" s="3247">
        <v>0</v>
      </c>
      <c r="S22" s="3247">
        <v>0</v>
      </c>
      <c r="T22" s="3250"/>
      <c r="U22" s="3251"/>
    </row>
    <row r="23" spans="1:21">
      <c r="A23" s="3252">
        <v>1</v>
      </c>
      <c r="B23" s="3253" t="s">
        <v>3052</v>
      </c>
      <c r="C23" s="3254">
        <v>6</v>
      </c>
      <c r="D23" s="3255">
        <v>5</v>
      </c>
      <c r="E23" s="3256">
        <v>27</v>
      </c>
      <c r="F23" s="3256">
        <f>(26+27*4)/5</f>
        <v>26.8</v>
      </c>
      <c r="G23" s="3256">
        <f>95*2+85*2+119*2</f>
        <v>598</v>
      </c>
      <c r="H23" s="3257">
        <f>G23*F23</f>
        <v>16026.4</v>
      </c>
      <c r="I23" s="3258">
        <f>H23*D23-598*2</f>
        <v>78936</v>
      </c>
      <c r="J23" s="3259">
        <f>G23*D23</f>
        <v>2990</v>
      </c>
      <c r="K23" s="3260">
        <f>I23/100</f>
        <v>789.36</v>
      </c>
      <c r="L23" s="3256">
        <f>2*D23</f>
        <v>10</v>
      </c>
      <c r="M23" s="3261">
        <v>2.9</v>
      </c>
      <c r="N23" s="3262">
        <f>D23*F23*C23-12</f>
        <v>792</v>
      </c>
      <c r="O23" s="3256"/>
      <c r="P23" s="3256"/>
      <c r="Q23" s="3261"/>
      <c r="R23" s="3259"/>
      <c r="S23" s="3256">
        <f>I23*0.05</f>
        <v>3946.8</v>
      </c>
      <c r="T23" s="3263"/>
      <c r="U23" s="3264"/>
    </row>
    <row r="24" spans="1:21">
      <c r="A24" s="3252">
        <v>2</v>
      </c>
      <c r="B24" s="3253" t="s">
        <v>3053</v>
      </c>
      <c r="C24" s="3254">
        <v>6</v>
      </c>
      <c r="D24" s="3255">
        <v>0</v>
      </c>
      <c r="E24" s="3256">
        <v>27</v>
      </c>
      <c r="F24" s="3256">
        <v>27</v>
      </c>
      <c r="G24" s="3256">
        <f>85*4+95*2</f>
        <v>530</v>
      </c>
      <c r="H24" s="3257">
        <f>G24*F24</f>
        <v>14310</v>
      </c>
      <c r="I24" s="3258">
        <f>H24*D24</f>
        <v>0</v>
      </c>
      <c r="J24" s="3259">
        <f>G24*D24</f>
        <v>0</v>
      </c>
      <c r="K24" s="3260">
        <f>I24/100</f>
        <v>0</v>
      </c>
      <c r="L24" s="3256">
        <f>2*D24</f>
        <v>0</v>
      </c>
      <c r="M24" s="3261">
        <v>2.9</v>
      </c>
      <c r="N24" s="3262">
        <f>D24*F24*C24</f>
        <v>0</v>
      </c>
      <c r="O24" s="3256"/>
      <c r="P24" s="3256"/>
      <c r="Q24" s="3261"/>
      <c r="R24" s="3259"/>
      <c r="S24" s="3256">
        <f>I24*0.05</f>
        <v>0</v>
      </c>
      <c r="T24" s="3263"/>
      <c r="U24" s="3264"/>
    </row>
    <row r="25" spans="1:21">
      <c r="A25" s="3252">
        <v>3</v>
      </c>
      <c r="B25" s="3253" t="s">
        <v>3054</v>
      </c>
      <c r="C25" s="3254">
        <v>6</v>
      </c>
      <c r="D25" s="3255">
        <v>2</v>
      </c>
      <c r="E25" s="3256">
        <v>27</v>
      </c>
      <c r="F25" s="3256">
        <f>(26+27)/2</f>
        <v>26.5</v>
      </c>
      <c r="G25" s="3256">
        <f>95*4+85*2</f>
        <v>550</v>
      </c>
      <c r="H25" s="3257">
        <f>G25*F25</f>
        <v>14575</v>
      </c>
      <c r="I25" s="3258">
        <f>H25*D25-484</f>
        <v>28666</v>
      </c>
      <c r="J25" s="3259">
        <f>G25*D25</f>
        <v>1100</v>
      </c>
      <c r="K25" s="3260">
        <f>I25/100</f>
        <v>286.66000000000003</v>
      </c>
      <c r="L25" s="3256">
        <f>2*D25</f>
        <v>4</v>
      </c>
      <c r="M25" s="3261">
        <v>2.9</v>
      </c>
      <c r="N25" s="3262">
        <f>D25*F25*C25-1</f>
        <v>317</v>
      </c>
      <c r="O25" s="3256"/>
      <c r="P25" s="3256"/>
      <c r="Q25" s="3261"/>
      <c r="R25" s="3259"/>
      <c r="S25" s="3256">
        <f>I25*0.05</f>
        <v>1433.3000000000002</v>
      </c>
      <c r="T25" s="3263"/>
      <c r="U25" s="3264"/>
    </row>
    <row r="26" spans="1:21">
      <c r="A26" s="3252">
        <v>4</v>
      </c>
      <c r="B26" s="3253" t="s">
        <v>3055</v>
      </c>
      <c r="C26" s="3254">
        <v>7</v>
      </c>
      <c r="D26" s="3255">
        <v>1</v>
      </c>
      <c r="E26" s="3256">
        <v>27</v>
      </c>
      <c r="F26" s="3256">
        <v>27</v>
      </c>
      <c r="G26" s="3256">
        <f>95*2+85*5</f>
        <v>615</v>
      </c>
      <c r="H26" s="3257">
        <f>G26*F26</f>
        <v>16605</v>
      </c>
      <c r="I26" s="3258">
        <f>H26*D26</f>
        <v>16605</v>
      </c>
      <c r="J26" s="3259">
        <f>G26*D26</f>
        <v>615</v>
      </c>
      <c r="K26" s="3260">
        <f>I26/100</f>
        <v>166.05</v>
      </c>
      <c r="L26" s="3256">
        <f>2*D26</f>
        <v>2</v>
      </c>
      <c r="M26" s="3261">
        <v>2.9</v>
      </c>
      <c r="N26" s="3262">
        <f>D26*F26*C26</f>
        <v>189</v>
      </c>
      <c r="O26" s="3256"/>
      <c r="P26" s="3256"/>
      <c r="Q26" s="3261"/>
      <c r="R26" s="3259"/>
      <c r="S26" s="3256">
        <f>I26*0.05</f>
        <v>830.25</v>
      </c>
      <c r="T26" s="3263"/>
      <c r="U26" s="3264"/>
    </row>
    <row r="27" spans="1:21">
      <c r="A27" s="3252"/>
      <c r="B27" s="3253"/>
      <c r="C27" s="3254"/>
      <c r="D27" s="3255"/>
      <c r="E27" s="3256"/>
      <c r="F27" s="3256"/>
      <c r="G27" s="3256"/>
      <c r="H27" s="3257"/>
      <c r="I27" s="3258"/>
      <c r="J27" s="3259"/>
      <c r="K27" s="3260"/>
      <c r="L27" s="3256"/>
      <c r="M27" s="3261"/>
      <c r="N27" s="3262"/>
      <c r="O27" s="3256"/>
      <c r="P27" s="3256"/>
      <c r="Q27" s="3261"/>
      <c r="R27" s="3259"/>
      <c r="S27" s="3256"/>
      <c r="T27" s="3263"/>
      <c r="U27" s="3264"/>
    </row>
    <row r="28" spans="1:21">
      <c r="A28" s="3252"/>
      <c r="B28" s="3253"/>
      <c r="C28" s="3254"/>
      <c r="D28" s="3255"/>
      <c r="E28" s="3256"/>
      <c r="F28" s="3256"/>
      <c r="G28" s="3256"/>
      <c r="H28" s="3257"/>
      <c r="I28" s="3258"/>
      <c r="J28" s="3259"/>
      <c r="K28" s="3260"/>
      <c r="L28" s="3256"/>
      <c r="M28" s="3261"/>
      <c r="N28" s="3262"/>
      <c r="O28" s="3256"/>
      <c r="P28" s="3256"/>
      <c r="Q28" s="3261"/>
      <c r="R28" s="3259"/>
      <c r="S28" s="3256"/>
      <c r="T28" s="3263"/>
      <c r="U28" s="3264"/>
    </row>
    <row r="29" spans="1:21">
      <c r="A29" s="3244" t="s">
        <v>3056</v>
      </c>
      <c r="B29" s="3245" t="s">
        <v>3057</v>
      </c>
      <c r="C29" s="3246"/>
      <c r="D29" s="3247"/>
      <c r="E29" s="3247"/>
      <c r="F29" s="3247"/>
      <c r="G29" s="3247"/>
      <c r="H29" s="3247"/>
      <c r="I29" s="3196"/>
      <c r="J29" s="3248"/>
      <c r="K29" s="3249"/>
      <c r="L29" s="3265"/>
      <c r="M29" s="3247">
        <v>0</v>
      </c>
      <c r="N29" s="3266"/>
      <c r="O29" s="3265"/>
      <c r="P29" s="3247"/>
      <c r="Q29" s="3247"/>
      <c r="R29" s="3247">
        <f>SUM(R35)</f>
        <v>0</v>
      </c>
      <c r="S29" s="3247">
        <f>SUM(S35)</f>
        <v>0</v>
      </c>
      <c r="T29" s="3250"/>
      <c r="U29" s="3251"/>
    </row>
    <row r="30" spans="1:21">
      <c r="A30" s="3252">
        <v>1</v>
      </c>
      <c r="B30" s="3253" t="s">
        <v>3058</v>
      </c>
      <c r="C30" s="3267">
        <v>2</v>
      </c>
      <c r="D30" s="3268">
        <v>0</v>
      </c>
      <c r="E30" s="3268">
        <v>0</v>
      </c>
      <c r="F30" s="3268">
        <v>0</v>
      </c>
      <c r="G30" s="3268">
        <v>0</v>
      </c>
      <c r="H30" s="3268"/>
      <c r="I30" s="3262">
        <f>H30*D30</f>
        <v>0</v>
      </c>
      <c r="J30" s="3259">
        <f>350*D30</f>
        <v>0</v>
      </c>
      <c r="K30" s="3260">
        <f>I30/100</f>
        <v>0</v>
      </c>
      <c r="L30" s="3256">
        <f t="shared" ref="L30:M34" si="0">D30*1</f>
        <v>0</v>
      </c>
      <c r="M30" s="3256">
        <f t="shared" si="0"/>
        <v>0</v>
      </c>
      <c r="N30" s="3262">
        <f>2*F30*D30</f>
        <v>0</v>
      </c>
      <c r="O30" s="3256">
        <f>120*D30</f>
        <v>0</v>
      </c>
      <c r="P30" s="3259"/>
      <c r="Q30" s="3256"/>
      <c r="S30" s="3256">
        <v>0</v>
      </c>
      <c r="T30" s="3269"/>
      <c r="U30" s="3251"/>
    </row>
    <row r="31" spans="1:21">
      <c r="A31" s="3252">
        <v>2</v>
      </c>
      <c r="B31" s="3253" t="s">
        <v>3059</v>
      </c>
      <c r="C31" s="3267">
        <v>2</v>
      </c>
      <c r="D31" s="3268">
        <v>0</v>
      </c>
      <c r="E31" s="3268">
        <v>0</v>
      </c>
      <c r="F31" s="3268">
        <v>0</v>
      </c>
      <c r="G31" s="3268">
        <v>0</v>
      </c>
      <c r="H31" s="3268"/>
      <c r="I31" s="3270">
        <f>H31*D31</f>
        <v>0</v>
      </c>
      <c r="J31" s="3259">
        <f>0*D31</f>
        <v>0</v>
      </c>
      <c r="K31" s="3260">
        <f>I31/100</f>
        <v>0</v>
      </c>
      <c r="L31" s="3256">
        <f t="shared" si="0"/>
        <v>0</v>
      </c>
      <c r="M31" s="3256">
        <f t="shared" si="0"/>
        <v>0</v>
      </c>
      <c r="N31" s="3262">
        <f>2*F31*D31</f>
        <v>0</v>
      </c>
      <c r="O31" s="3256">
        <f>120*D31</f>
        <v>0</v>
      </c>
      <c r="P31" s="3259"/>
      <c r="Q31" s="3256"/>
      <c r="S31" s="3256">
        <v>0</v>
      </c>
      <c r="T31" s="3269"/>
      <c r="U31" s="3251"/>
    </row>
    <row r="32" spans="1:21">
      <c r="A32" s="3252">
        <v>3</v>
      </c>
      <c r="B32" s="3253" t="s">
        <v>3060</v>
      </c>
      <c r="C32" s="3267">
        <v>2</v>
      </c>
      <c r="D32" s="3268">
        <v>0</v>
      </c>
      <c r="E32" s="3268">
        <v>0</v>
      </c>
      <c r="F32" s="3268">
        <v>0</v>
      </c>
      <c r="G32" s="3268"/>
      <c r="H32" s="3268">
        <v>0</v>
      </c>
      <c r="I32" s="3262">
        <f>H32*D32</f>
        <v>0</v>
      </c>
      <c r="J32" s="3259">
        <f>0*D32</f>
        <v>0</v>
      </c>
      <c r="K32" s="3260">
        <f>I32/100</f>
        <v>0</v>
      </c>
      <c r="L32" s="3256">
        <f t="shared" si="0"/>
        <v>0</v>
      </c>
      <c r="M32" s="3256">
        <f t="shared" si="0"/>
        <v>0</v>
      </c>
      <c r="N32" s="3262">
        <f>2*F32*D32</f>
        <v>0</v>
      </c>
      <c r="O32" s="3256">
        <f>120*D32</f>
        <v>0</v>
      </c>
      <c r="P32" s="3259"/>
      <c r="Q32" s="3256"/>
      <c r="S32" s="3256">
        <v>0</v>
      </c>
      <c r="T32" s="3269"/>
      <c r="U32" s="3251"/>
    </row>
    <row r="33" spans="1:22">
      <c r="A33" s="3252">
        <v>4</v>
      </c>
      <c r="B33" s="3253" t="s">
        <v>3061</v>
      </c>
      <c r="C33" s="3267">
        <v>2</v>
      </c>
      <c r="D33" s="3268">
        <v>0</v>
      </c>
      <c r="E33" s="3268">
        <v>0</v>
      </c>
      <c r="F33" s="3268">
        <v>0</v>
      </c>
      <c r="G33" s="3268">
        <v>0</v>
      </c>
      <c r="H33" s="3268">
        <v>0</v>
      </c>
      <c r="I33" s="3262">
        <f>H33*D33</f>
        <v>0</v>
      </c>
      <c r="J33" s="3259">
        <f>343*D33</f>
        <v>0</v>
      </c>
      <c r="K33" s="3260">
        <f>I33/100</f>
        <v>0</v>
      </c>
      <c r="L33" s="3256">
        <f t="shared" si="0"/>
        <v>0</v>
      </c>
      <c r="M33" s="3256">
        <f t="shared" si="0"/>
        <v>0</v>
      </c>
      <c r="N33" s="3262">
        <f>2*F33*D33</f>
        <v>0</v>
      </c>
      <c r="O33" s="3256">
        <f>120*D33</f>
        <v>0</v>
      </c>
      <c r="P33" s="3259"/>
      <c r="Q33" s="3256"/>
      <c r="S33" s="3256">
        <v>0</v>
      </c>
      <c r="T33" s="3269"/>
      <c r="U33" s="3251"/>
    </row>
    <row r="34" spans="1:22">
      <c r="A34" s="3252">
        <v>5</v>
      </c>
      <c r="B34" s="3253" t="s">
        <v>3062</v>
      </c>
      <c r="C34" s="3267">
        <v>2</v>
      </c>
      <c r="D34" s="3268">
        <v>0</v>
      </c>
      <c r="E34" s="3268">
        <v>0</v>
      </c>
      <c r="F34" s="3268">
        <v>0</v>
      </c>
      <c r="G34" s="3268">
        <v>0</v>
      </c>
      <c r="H34" s="3268">
        <v>0</v>
      </c>
      <c r="I34" s="3262">
        <f>H34*D34</f>
        <v>0</v>
      </c>
      <c r="J34" s="3259">
        <f>0*D34</f>
        <v>0</v>
      </c>
      <c r="K34" s="3260">
        <f>I34/100</f>
        <v>0</v>
      </c>
      <c r="L34" s="3256">
        <f t="shared" si="0"/>
        <v>0</v>
      </c>
      <c r="M34" s="3256">
        <f t="shared" si="0"/>
        <v>0</v>
      </c>
      <c r="N34" s="3262">
        <f>2*F34*D34</f>
        <v>0</v>
      </c>
      <c r="O34" s="3256">
        <f>136*D34</f>
        <v>0</v>
      </c>
      <c r="P34" s="3259">
        <f>150*D34</f>
        <v>0</v>
      </c>
      <c r="Q34" s="3256"/>
      <c r="S34" s="3256"/>
      <c r="T34" s="3269"/>
      <c r="U34" s="3271"/>
      <c r="V34" s="3272"/>
    </row>
    <row r="35" spans="1:22">
      <c r="A35" s="3252"/>
      <c r="B35" s="3253"/>
      <c r="C35" s="3267"/>
      <c r="D35" s="3268"/>
      <c r="E35" s="3273"/>
      <c r="F35" s="3273"/>
      <c r="G35" s="3273"/>
      <c r="H35" s="3274"/>
      <c r="I35" s="3262"/>
      <c r="J35" s="3259"/>
      <c r="K35" s="3260"/>
      <c r="L35" s="3256"/>
      <c r="M35" s="3256"/>
      <c r="N35" s="3262"/>
      <c r="O35" s="3256"/>
      <c r="P35" s="3259"/>
      <c r="Q35" s="3256"/>
      <c r="S35" s="3256"/>
      <c r="T35" s="3269"/>
      <c r="U35" s="3251"/>
    </row>
    <row r="36" spans="1:22">
      <c r="A36" s="3244" t="s">
        <v>3063</v>
      </c>
      <c r="B36" s="3245" t="s">
        <v>3064</v>
      </c>
      <c r="C36" s="3246"/>
      <c r="D36" s="3247"/>
      <c r="E36" s="3247"/>
      <c r="F36" s="3247"/>
      <c r="G36" s="3247"/>
      <c r="H36" s="3247"/>
      <c r="I36" s="3196"/>
      <c r="J36" s="3248"/>
      <c r="K36" s="3196">
        <f>ROUNDUP(I36/100*1,0)</f>
        <v>0</v>
      </c>
      <c r="L36" s="3265"/>
      <c r="M36" s="3247"/>
      <c r="N36" s="3266"/>
      <c r="O36" s="3265"/>
      <c r="P36" s="3247"/>
      <c r="Q36" s="3275"/>
      <c r="R36" s="3247">
        <f>SUM(R42)</f>
        <v>0</v>
      </c>
      <c r="S36" s="3247">
        <f>SUM(S42)</f>
        <v>0</v>
      </c>
      <c r="T36" s="3250"/>
      <c r="U36" s="3251"/>
    </row>
    <row r="37" spans="1:22">
      <c r="A37" s="3244"/>
      <c r="B37" s="3245"/>
      <c r="C37" s="3246"/>
      <c r="D37" s="3276"/>
      <c r="E37" s="3276"/>
      <c r="F37" s="3276"/>
      <c r="G37" s="3276"/>
      <c r="H37" s="3276"/>
      <c r="I37" s="3262"/>
      <c r="J37" s="3277"/>
      <c r="K37" s="3260"/>
      <c r="L37" s="3278"/>
      <c r="M37" s="3276"/>
      <c r="N37" s="3279"/>
      <c r="O37" s="3278"/>
      <c r="P37" s="3276"/>
      <c r="Q37" s="3256"/>
      <c r="R37" s="3247"/>
      <c r="S37" s="3247"/>
      <c r="T37" s="3250"/>
      <c r="U37" s="3251"/>
    </row>
    <row r="38" spans="1:22">
      <c r="A38" s="3244"/>
      <c r="B38" s="3245"/>
      <c r="C38" s="3246"/>
      <c r="D38" s="3276"/>
      <c r="E38" s="3276"/>
      <c r="F38" s="3276"/>
      <c r="G38" s="3276"/>
      <c r="H38" s="3276"/>
      <c r="I38" s="3262"/>
      <c r="J38" s="3277"/>
      <c r="K38" s="3260"/>
      <c r="L38" s="3278"/>
      <c r="M38" s="3276"/>
      <c r="N38" s="3279"/>
      <c r="O38" s="3278"/>
      <c r="P38" s="3276"/>
      <c r="Q38" s="3256"/>
      <c r="R38" s="3247"/>
      <c r="S38" s="3247"/>
      <c r="T38" s="3250"/>
      <c r="U38" s="3251"/>
    </row>
    <row r="39" spans="1:22">
      <c r="A39" s="3280"/>
      <c r="B39" s="3245"/>
      <c r="C39" s="3246"/>
      <c r="D39" s="3276"/>
      <c r="E39" s="3276"/>
      <c r="F39" s="3276"/>
      <c r="G39" s="3276"/>
      <c r="H39" s="3276"/>
      <c r="I39" s="3262"/>
      <c r="J39" s="3277"/>
      <c r="K39" s="3260"/>
      <c r="L39" s="3278"/>
      <c r="M39" s="3276"/>
      <c r="N39" s="3279"/>
      <c r="O39" s="3278"/>
      <c r="P39" s="3276"/>
      <c r="Q39" s="3256"/>
      <c r="R39" s="3247"/>
      <c r="S39" s="3247"/>
      <c r="T39" s="3250"/>
      <c r="U39" s="3251"/>
    </row>
    <row r="40" spans="1:22">
      <c r="A40" s="3280"/>
      <c r="B40" s="3245"/>
      <c r="C40" s="3246"/>
      <c r="D40" s="3276"/>
      <c r="E40" s="3276"/>
      <c r="F40" s="3276"/>
      <c r="G40" s="3276"/>
      <c r="H40" s="3276"/>
      <c r="I40" s="3262"/>
      <c r="J40" s="3277"/>
      <c r="K40" s="3260"/>
      <c r="L40" s="3278"/>
      <c r="M40" s="3276"/>
      <c r="N40" s="3279"/>
      <c r="O40" s="3278"/>
      <c r="P40" s="3276"/>
      <c r="Q40" s="3256"/>
      <c r="R40" s="3247"/>
      <c r="S40" s="3247"/>
      <c r="T40" s="3250"/>
      <c r="U40" s="3251"/>
    </row>
    <row r="41" spans="1:22">
      <c r="A41" s="3280"/>
      <c r="B41" s="3245"/>
      <c r="C41" s="3246"/>
      <c r="D41" s="3276"/>
      <c r="E41" s="3276"/>
      <c r="F41" s="3276"/>
      <c r="G41" s="3276"/>
      <c r="H41" s="3276"/>
      <c r="I41" s="3262"/>
      <c r="J41" s="3277"/>
      <c r="K41" s="3260"/>
      <c r="L41" s="3278"/>
      <c r="M41" s="3276"/>
      <c r="N41" s="3279"/>
      <c r="O41" s="3278"/>
      <c r="P41" s="3276"/>
      <c r="Q41" s="3256"/>
      <c r="R41" s="3247"/>
      <c r="S41" s="3247"/>
      <c r="T41" s="3281"/>
      <c r="U41" s="3251"/>
    </row>
    <row r="42" spans="1:22">
      <c r="A42" s="3252"/>
      <c r="B42" s="3282"/>
      <c r="C42" s="3254"/>
      <c r="D42" s="3273"/>
      <c r="E42" s="3273"/>
      <c r="F42" s="3273"/>
      <c r="G42" s="3273"/>
      <c r="H42" s="3274"/>
      <c r="I42" s="3262"/>
      <c r="J42" s="3259"/>
      <c r="K42" s="3260"/>
      <c r="L42" s="3256"/>
      <c r="M42" s="3256"/>
      <c r="N42" s="3262"/>
      <c r="O42" s="3256"/>
      <c r="P42" s="3256"/>
      <c r="Q42" s="3256"/>
      <c r="R42" s="3256"/>
      <c r="S42" s="3256"/>
      <c r="T42" s="3250"/>
      <c r="U42" s="3251"/>
    </row>
    <row r="43" spans="1:22">
      <c r="A43" s="3631" t="s">
        <v>3065</v>
      </c>
      <c r="B43" s="3632"/>
      <c r="C43" s="3632"/>
      <c r="D43" s="3632"/>
      <c r="E43" s="3632"/>
      <c r="F43" s="3632"/>
      <c r="G43" s="3632"/>
      <c r="H43" s="3633"/>
      <c r="I43" s="3283">
        <f>SUM(I22:I42)</f>
        <v>124207</v>
      </c>
      <c r="J43" s="3283">
        <f>SUM(J22:J42)</f>
        <v>4705</v>
      </c>
      <c r="K43" s="3283">
        <f>SUM(K22:K42)</f>
        <v>1242.07</v>
      </c>
      <c r="L43" s="3283">
        <f>SUM(L22:L42)</f>
        <v>16</v>
      </c>
      <c r="M43" s="3283"/>
      <c r="N43" s="3283">
        <f t="shared" ref="N43:T43" si="1">SUM(N22:N42)</f>
        <v>1298</v>
      </c>
      <c r="O43" s="3283">
        <f t="shared" si="1"/>
        <v>0</v>
      </c>
      <c r="P43" s="3283">
        <f t="shared" si="1"/>
        <v>0</v>
      </c>
      <c r="Q43" s="3283">
        <f t="shared" si="1"/>
        <v>0</v>
      </c>
      <c r="R43" s="3283">
        <f t="shared" si="1"/>
        <v>0</v>
      </c>
      <c r="S43" s="3283">
        <f t="shared" si="1"/>
        <v>6210.35</v>
      </c>
      <c r="T43" s="3284">
        <f t="shared" si="1"/>
        <v>0</v>
      </c>
      <c r="U43" s="3251"/>
    </row>
    <row r="44" spans="1:22" ht="18.75">
      <c r="A44" s="3285"/>
      <c r="B44" s="3597" t="s">
        <v>3066</v>
      </c>
      <c r="C44" s="3597"/>
      <c r="D44" s="3597"/>
      <c r="E44" s="3597"/>
      <c r="F44" s="3597"/>
      <c r="G44" s="3597"/>
      <c r="H44" s="3597"/>
      <c r="I44" s="3597"/>
      <c r="J44" s="3597"/>
      <c r="K44" s="3597"/>
      <c r="L44" s="3597"/>
      <c r="M44" s="3597"/>
      <c r="N44" s="3597"/>
      <c r="O44" s="3597"/>
      <c r="P44" s="3597"/>
      <c r="Q44" s="3597"/>
      <c r="R44" s="3597"/>
      <c r="S44" s="3597"/>
      <c r="T44" s="3597" t="s">
        <v>3004</v>
      </c>
      <c r="U44" s="3286"/>
    </row>
    <row r="45" spans="1:22" ht="33.75">
      <c r="A45" s="3287" t="s">
        <v>2372</v>
      </c>
      <c r="B45" s="3288" t="s">
        <v>2999</v>
      </c>
      <c r="C45" s="3288" t="s">
        <v>3034</v>
      </c>
      <c r="D45" s="3288" t="s">
        <v>3035</v>
      </c>
      <c r="E45" s="3288" t="s">
        <v>3036</v>
      </c>
      <c r="F45" s="3288" t="s">
        <v>3037</v>
      </c>
      <c r="G45" s="3288" t="s">
        <v>3038</v>
      </c>
      <c r="H45" s="3288" t="s">
        <v>3067</v>
      </c>
      <c r="I45" s="3288" t="s">
        <v>3040</v>
      </c>
      <c r="J45" s="3288" t="s">
        <v>3068</v>
      </c>
      <c r="K45" s="3288" t="s">
        <v>3017</v>
      </c>
      <c r="L45" s="3288" t="s">
        <v>3042</v>
      </c>
      <c r="M45" s="3289" t="s">
        <v>3043</v>
      </c>
      <c r="N45" s="3289" t="s">
        <v>3069</v>
      </c>
      <c r="O45" s="3290" t="s">
        <v>3044</v>
      </c>
      <c r="P45" s="3290" t="s">
        <v>3070</v>
      </c>
      <c r="Q45" s="3290" t="s">
        <v>3071</v>
      </c>
      <c r="R45" s="3290" t="s">
        <v>3072</v>
      </c>
      <c r="S45" s="3290" t="s">
        <v>3048</v>
      </c>
      <c r="T45" s="3288" t="s">
        <v>3073</v>
      </c>
      <c r="U45" s="3291" t="s">
        <v>3004</v>
      </c>
    </row>
    <row r="46" spans="1:22">
      <c r="A46" s="3292" t="s">
        <v>3050</v>
      </c>
      <c r="B46" s="3293" t="s">
        <v>3074</v>
      </c>
      <c r="C46" s="3293"/>
      <c r="N46" s="3294">
        <v>0</v>
      </c>
      <c r="O46" s="3295">
        <v>0</v>
      </c>
      <c r="P46" s="3295">
        <v>0</v>
      </c>
      <c r="Q46" s="3295">
        <v>0</v>
      </c>
      <c r="R46" s="3295">
        <v>0</v>
      </c>
      <c r="S46" s="3295">
        <v>0</v>
      </c>
      <c r="T46" s="3288"/>
      <c r="U46" s="3291"/>
    </row>
    <row r="47" spans="1:22">
      <c r="A47" s="3296"/>
      <c r="B47" s="3297" t="s">
        <v>3075</v>
      </c>
      <c r="C47" s="3297"/>
      <c r="D47" s="3293"/>
      <c r="E47" s="3293">
        <v>2</v>
      </c>
      <c r="F47" s="3293">
        <v>1</v>
      </c>
      <c r="G47" s="3293">
        <v>1100</v>
      </c>
      <c r="H47" s="3293">
        <f>G47</f>
        <v>1100</v>
      </c>
      <c r="I47" s="3298">
        <f>F47*G47</f>
        <v>1100</v>
      </c>
      <c r="J47" s="3293">
        <v>1100</v>
      </c>
      <c r="K47" s="3299">
        <f>I47/100*0.8</f>
        <v>8.8000000000000007</v>
      </c>
      <c r="L47" s="3293">
        <v>3</v>
      </c>
      <c r="M47" s="3294">
        <v>5.4</v>
      </c>
      <c r="N47" s="3300"/>
      <c r="O47" s="3290"/>
      <c r="P47" s="3301"/>
      <c r="Q47" s="3301"/>
      <c r="R47" s="3301"/>
      <c r="S47" s="3301"/>
      <c r="T47" s="3301"/>
      <c r="U47" s="3302"/>
    </row>
    <row r="48" spans="1:22">
      <c r="A48" s="3303"/>
      <c r="B48" s="3297" t="s">
        <v>3076</v>
      </c>
      <c r="C48" s="3297"/>
      <c r="D48" s="3304"/>
      <c r="E48" s="3293">
        <v>2</v>
      </c>
      <c r="F48" s="3293">
        <v>1</v>
      </c>
      <c r="G48" s="3305">
        <v>1100</v>
      </c>
      <c r="H48" s="3293">
        <f>G48</f>
        <v>1100</v>
      </c>
      <c r="I48" s="3298">
        <f>F48*G48</f>
        <v>1100</v>
      </c>
      <c r="J48" s="3306"/>
      <c r="K48" s="3299">
        <f>I48/100*0.8</f>
        <v>8.8000000000000007</v>
      </c>
      <c r="L48" s="3304"/>
      <c r="M48" s="3300">
        <v>4</v>
      </c>
      <c r="N48" s="3300"/>
      <c r="O48" s="3290"/>
      <c r="P48" s="3301"/>
      <c r="Q48" s="3301"/>
      <c r="R48" s="3301"/>
      <c r="S48" s="3301"/>
      <c r="T48" s="3301"/>
      <c r="U48" s="3302"/>
    </row>
    <row r="49" spans="1:22">
      <c r="A49" s="3303"/>
      <c r="B49" s="3297"/>
      <c r="C49" s="3297"/>
      <c r="D49" s="3304"/>
      <c r="E49" s="3304"/>
      <c r="F49" s="3304"/>
      <c r="G49" s="3306"/>
      <c r="H49" s="3307"/>
      <c r="I49" s="3298">
        <f>H49*D49</f>
        <v>0</v>
      </c>
      <c r="J49" s="3306"/>
      <c r="K49" s="3299"/>
      <c r="L49" s="3304"/>
      <c r="M49" s="3304"/>
      <c r="N49" s="3300"/>
      <c r="O49" s="3290"/>
      <c r="P49" s="3301"/>
      <c r="Q49" s="3301"/>
      <c r="R49" s="3301"/>
      <c r="S49" s="3301"/>
      <c r="T49" s="3301"/>
      <c r="U49" s="3302"/>
    </row>
    <row r="50" spans="1:22">
      <c r="A50" s="3308" t="s">
        <v>3056</v>
      </c>
      <c r="B50" s="3309" t="s">
        <v>3077</v>
      </c>
      <c r="C50" s="3310"/>
      <c r="I50" s="3298">
        <f>H50*D50</f>
        <v>0</v>
      </c>
      <c r="K50" s="3299"/>
      <c r="N50" s="3310"/>
      <c r="O50" s="3301"/>
      <c r="P50" s="3301"/>
      <c r="Q50" s="3301"/>
      <c r="R50" s="3301"/>
      <c r="S50" s="3301"/>
      <c r="T50" s="3301"/>
      <c r="U50" s="3311"/>
    </row>
    <row r="51" spans="1:22">
      <c r="A51" s="3598">
        <v>1</v>
      </c>
      <c r="B51" s="3301"/>
      <c r="C51" s="3312"/>
      <c r="D51" s="3310"/>
      <c r="E51" s="3310"/>
      <c r="F51" s="3310"/>
      <c r="G51" s="3313"/>
      <c r="H51" s="3307"/>
      <c r="I51" s="3298"/>
      <c r="J51" s="3293"/>
      <c r="K51" s="3299"/>
      <c r="L51" s="3314"/>
      <c r="M51" s="3261"/>
      <c r="N51" s="3310"/>
      <c r="O51" s="3301"/>
      <c r="P51" s="3301"/>
      <c r="Q51" s="3301"/>
      <c r="R51" s="3301"/>
      <c r="S51" s="3301"/>
      <c r="T51" s="3301"/>
      <c r="U51" s="3302"/>
    </row>
    <row r="52" spans="1:22">
      <c r="A52" s="3599"/>
      <c r="B52" s="3301"/>
      <c r="C52" s="3312"/>
      <c r="D52" s="3312"/>
      <c r="E52" s="3312"/>
      <c r="F52" s="3312"/>
      <c r="G52" s="3312"/>
      <c r="H52" s="3307"/>
      <c r="I52" s="3312"/>
      <c r="J52" s="3312"/>
      <c r="K52" s="3315"/>
      <c r="L52" s="3301"/>
      <c r="M52" s="3316"/>
      <c r="N52" s="3310"/>
      <c r="O52" s="3301"/>
      <c r="P52" s="3301"/>
      <c r="Q52" s="3301"/>
      <c r="R52" s="3301"/>
      <c r="S52" s="3301">
        <f>I52*0.03</f>
        <v>0</v>
      </c>
      <c r="T52" s="3301"/>
      <c r="U52" s="3302"/>
    </row>
    <row r="53" spans="1:22">
      <c r="A53" s="3308" t="s">
        <v>3056</v>
      </c>
      <c r="B53" s="3309" t="s">
        <v>3078</v>
      </c>
      <c r="C53" s="3312"/>
      <c r="D53" s="3312"/>
      <c r="E53" s="3312"/>
      <c r="F53" s="3312"/>
      <c r="G53" s="3301"/>
      <c r="H53" s="3307"/>
      <c r="I53" s="3312"/>
      <c r="J53" s="3312"/>
      <c r="K53" s="3301"/>
      <c r="L53" s="3301"/>
      <c r="M53" s="3301"/>
      <c r="N53" s="3317"/>
      <c r="O53" s="3318"/>
      <c r="P53" s="3318">
        <v>0</v>
      </c>
      <c r="Q53" s="3318">
        <v>0</v>
      </c>
      <c r="R53" s="3318">
        <v>0</v>
      </c>
      <c r="S53" s="3318">
        <v>0</v>
      </c>
      <c r="T53" s="3301"/>
      <c r="U53" s="3302"/>
    </row>
    <row r="54" spans="1:22">
      <c r="A54" s="3319"/>
      <c r="B54" s="3309"/>
      <c r="C54" s="3312"/>
      <c r="D54" s="3312"/>
      <c r="E54" s="3312"/>
      <c r="F54" s="3312"/>
      <c r="G54" s="3301"/>
      <c r="H54" s="3307"/>
      <c r="I54" s="3312"/>
      <c r="J54" s="3312"/>
      <c r="K54" s="3299"/>
      <c r="L54" s="3301"/>
      <c r="M54" s="3301"/>
      <c r="N54" s="3317"/>
      <c r="O54" s="3318"/>
      <c r="P54" s="3318"/>
      <c r="Q54" s="3318"/>
      <c r="R54" s="3318"/>
      <c r="S54" s="3318"/>
      <c r="T54" s="3301"/>
      <c r="U54" s="3302"/>
    </row>
    <row r="55" spans="1:22">
      <c r="A55" s="3292"/>
      <c r="B55" s="3320" t="s">
        <v>3079</v>
      </c>
      <c r="C55" s="3312"/>
      <c r="D55" s="3301"/>
      <c r="E55" s="3301"/>
      <c r="F55" s="3301"/>
      <c r="G55" s="3301"/>
      <c r="H55" s="3316"/>
      <c r="I55" s="3298">
        <f>SUM(I47:I54)</f>
        <v>2200</v>
      </c>
      <c r="J55" s="3298">
        <f>SUM(J47:J54)</f>
        <v>1100</v>
      </c>
      <c r="K55" s="3298">
        <f>SUM(K47:K54)</f>
        <v>17.600000000000001</v>
      </c>
      <c r="L55" s="3298">
        <f>SUM(L47:L53)</f>
        <v>3</v>
      </c>
      <c r="M55" s="3298"/>
      <c r="N55" s="3298">
        <f t="shared" ref="N55:S55" si="2">SUM(N46:N53)</f>
        <v>0</v>
      </c>
      <c r="O55" s="3298">
        <f t="shared" si="2"/>
        <v>0</v>
      </c>
      <c r="P55" s="3298">
        <f t="shared" si="2"/>
        <v>0</v>
      </c>
      <c r="Q55" s="3298">
        <f t="shared" si="2"/>
        <v>0</v>
      </c>
      <c r="R55" s="3298">
        <f t="shared" si="2"/>
        <v>0</v>
      </c>
      <c r="S55" s="3298">
        <f t="shared" si="2"/>
        <v>0</v>
      </c>
      <c r="T55" s="3321"/>
      <c r="U55" s="3322"/>
    </row>
    <row r="56" spans="1:22" ht="20.25">
      <c r="A56" s="3285"/>
      <c r="B56" s="3600" t="s">
        <v>3080</v>
      </c>
      <c r="C56" s="3600"/>
      <c r="D56" s="3600"/>
      <c r="E56" s="3600"/>
      <c r="F56" s="3600"/>
      <c r="G56" s="3600"/>
      <c r="H56" s="3600"/>
      <c r="I56" s="3600"/>
      <c r="J56" s="3323"/>
      <c r="K56" s="3323"/>
      <c r="L56" s="3323"/>
      <c r="M56" s="3600" t="s">
        <v>3081</v>
      </c>
      <c r="N56" s="3600"/>
      <c r="O56" s="3600"/>
      <c r="P56" s="3600"/>
      <c r="Q56" s="3600"/>
      <c r="R56" s="3600"/>
      <c r="S56" s="3600"/>
      <c r="T56" s="3600"/>
      <c r="U56" s="3601"/>
    </row>
    <row r="57" spans="1:22" ht="22.5">
      <c r="A57" s="3287" t="s">
        <v>2372</v>
      </c>
      <c r="B57" s="3288" t="s">
        <v>2999</v>
      </c>
      <c r="C57" s="3288"/>
      <c r="D57" s="3288" t="s">
        <v>3035</v>
      </c>
      <c r="E57" s="3288" t="s">
        <v>3036</v>
      </c>
      <c r="F57" s="3288" t="s">
        <v>3082</v>
      </c>
      <c r="G57" s="3288" t="s">
        <v>2942</v>
      </c>
      <c r="H57" s="3288" t="s">
        <v>3041</v>
      </c>
      <c r="I57" s="3288" t="s">
        <v>3004</v>
      </c>
      <c r="J57" s="3288"/>
      <c r="K57" s="3288" t="s">
        <v>3017</v>
      </c>
      <c r="L57" s="3324"/>
      <c r="M57" s="3288" t="s">
        <v>2372</v>
      </c>
      <c r="N57" s="3288" t="s">
        <v>2999</v>
      </c>
      <c r="O57" s="3288" t="s">
        <v>3003</v>
      </c>
      <c r="P57" s="3288" t="s">
        <v>3043</v>
      </c>
      <c r="Q57" s="3324"/>
      <c r="R57" s="3324"/>
      <c r="S57" s="3288" t="s">
        <v>3041</v>
      </c>
      <c r="T57" s="3641" t="s">
        <v>3004</v>
      </c>
      <c r="U57" s="3642"/>
    </row>
    <row r="58" spans="1:22">
      <c r="A58" s="3296">
        <v>1</v>
      </c>
      <c r="B58" s="3325" t="s">
        <v>3083</v>
      </c>
      <c r="C58" s="3325">
        <v>0</v>
      </c>
      <c r="D58" s="3297"/>
      <c r="E58" s="3297"/>
      <c r="F58" s="3312"/>
      <c r="G58" s="3326">
        <v>0</v>
      </c>
      <c r="H58" s="3327">
        <v>0</v>
      </c>
      <c r="I58" s="3297" t="s">
        <v>3084</v>
      </c>
      <c r="J58" s="3327" t="s">
        <v>3085</v>
      </c>
      <c r="K58" s="3315">
        <f>G58/100</f>
        <v>0</v>
      </c>
      <c r="L58" s="3328"/>
      <c r="M58" s="3329"/>
      <c r="N58" s="3325" t="s">
        <v>3086</v>
      </c>
      <c r="O58" s="3330">
        <v>25121.97</v>
      </c>
      <c r="P58" s="3331">
        <v>3.1</v>
      </c>
      <c r="Q58" s="3298"/>
      <c r="R58" s="3332"/>
      <c r="S58" s="3333"/>
      <c r="T58" s="3643"/>
      <c r="U58" s="3644"/>
      <c r="V58" s="3334"/>
    </row>
    <row r="59" spans="1:22" ht="30" customHeight="1">
      <c r="A59" s="3296">
        <v>2</v>
      </c>
      <c r="B59" s="3325" t="s">
        <v>3087</v>
      </c>
      <c r="C59" s="3325">
        <v>0</v>
      </c>
      <c r="D59" s="3297"/>
      <c r="E59" s="3297"/>
      <c r="F59" s="3312"/>
      <c r="G59" s="3326">
        <v>0</v>
      </c>
      <c r="H59" s="3327">
        <v>0</v>
      </c>
      <c r="I59" s="3297" t="s">
        <v>3088</v>
      </c>
      <c r="J59" s="3327" t="s">
        <v>3089</v>
      </c>
      <c r="K59" s="3315">
        <f>O60/100*0.8</f>
        <v>0</v>
      </c>
      <c r="L59" s="3328"/>
      <c r="M59" s="3329"/>
      <c r="N59" s="3325" t="s">
        <v>3090</v>
      </c>
      <c r="O59" s="3330">
        <f>D14-O58</f>
        <v>18430.040090999988</v>
      </c>
      <c r="P59" s="3335">
        <v>3.25</v>
      </c>
      <c r="Q59" s="3332"/>
      <c r="R59" s="3332"/>
      <c r="S59" s="3333"/>
      <c r="T59" s="3645"/>
      <c r="U59" s="3646"/>
    </row>
    <row r="60" spans="1:22">
      <c r="A60" s="3296">
        <v>3</v>
      </c>
      <c r="B60" s="3325" t="s">
        <v>3091</v>
      </c>
      <c r="C60" s="3325"/>
      <c r="D60" s="3297"/>
      <c r="E60" s="3297"/>
      <c r="F60" s="3312"/>
      <c r="G60" s="3326">
        <v>1690.2</v>
      </c>
      <c r="H60" s="3327">
        <v>850</v>
      </c>
      <c r="I60" s="3297" t="s">
        <v>3092</v>
      </c>
      <c r="J60" s="3327" t="s">
        <v>3093</v>
      </c>
      <c r="K60" s="3315">
        <f>G60/100</f>
        <v>16.902000000000001</v>
      </c>
      <c r="L60" s="3328"/>
      <c r="M60" s="3329"/>
      <c r="N60" s="3325" t="s">
        <v>3094</v>
      </c>
      <c r="O60" s="3330">
        <f>G59</f>
        <v>0</v>
      </c>
      <c r="P60" s="3331"/>
      <c r="Q60" s="3332"/>
      <c r="R60" s="3332"/>
      <c r="S60" s="3333"/>
      <c r="T60" s="3647"/>
      <c r="U60" s="3648"/>
    </row>
    <row r="61" spans="1:22" ht="22.5">
      <c r="A61" s="3296">
        <v>4</v>
      </c>
      <c r="B61" s="3325" t="s">
        <v>3095</v>
      </c>
      <c r="C61" s="3325"/>
      <c r="D61" s="3297"/>
      <c r="E61" s="3297"/>
      <c r="F61" s="3312"/>
      <c r="G61" s="3336">
        <f>I43*0.003/2</f>
        <v>186.31049999999999</v>
      </c>
      <c r="H61" s="3327">
        <v>187</v>
      </c>
      <c r="I61" s="3297" t="s">
        <v>3096</v>
      </c>
      <c r="J61" s="3327"/>
      <c r="K61" s="3315">
        <f>G61/100</f>
        <v>1.863105</v>
      </c>
      <c r="L61" s="3328"/>
      <c r="M61" s="3329"/>
      <c r="N61" s="3325" t="s">
        <v>3097</v>
      </c>
      <c r="O61" s="3298">
        <f>G61</f>
        <v>186.31049999999999</v>
      </c>
      <c r="P61" s="3332"/>
      <c r="Q61" s="3332"/>
      <c r="R61" s="3332"/>
      <c r="S61" s="3333"/>
      <c r="T61" s="3647"/>
      <c r="U61" s="3648"/>
    </row>
    <row r="62" spans="1:22" ht="22.5">
      <c r="A62" s="3296">
        <v>5</v>
      </c>
      <c r="B62" s="3325" t="s">
        <v>3098</v>
      </c>
      <c r="C62" s="3325"/>
      <c r="D62" s="3297"/>
      <c r="E62" s="3297"/>
      <c r="F62" s="3312"/>
      <c r="G62" s="3336">
        <v>80</v>
      </c>
      <c r="H62" s="3327">
        <v>80</v>
      </c>
      <c r="I62" s="3297" t="s">
        <v>3099</v>
      </c>
      <c r="J62" s="3327"/>
      <c r="K62" s="3315">
        <f>G62/100</f>
        <v>0.8</v>
      </c>
      <c r="L62" s="3328"/>
      <c r="M62" s="3329"/>
      <c r="N62" s="3325"/>
      <c r="O62" s="3298"/>
      <c r="P62" s="3332"/>
      <c r="Q62" s="3332"/>
      <c r="R62" s="3332"/>
      <c r="S62" s="3333"/>
      <c r="T62" s="3641"/>
      <c r="U62" s="3642"/>
    </row>
    <row r="63" spans="1:22">
      <c r="A63" s="3337">
        <v>6</v>
      </c>
      <c r="B63" s="3338" t="s">
        <v>3100</v>
      </c>
      <c r="C63" s="3338"/>
      <c r="D63" s="3339"/>
      <c r="E63" s="3339"/>
      <c r="F63" s="3340"/>
      <c r="G63" s="3336"/>
      <c r="H63" s="3341"/>
      <c r="I63" s="3339"/>
      <c r="J63" s="3341"/>
      <c r="K63" s="3315"/>
      <c r="L63" s="3342"/>
      <c r="M63" s="3343"/>
      <c r="N63" s="3344"/>
      <c r="O63" s="3345"/>
      <c r="P63" s="3346"/>
      <c r="Q63" s="3346"/>
      <c r="R63" s="3346"/>
      <c r="S63" s="3347"/>
      <c r="T63" s="3348"/>
      <c r="U63" s="3349"/>
    </row>
    <row r="64" spans="1:22" ht="33.75">
      <c r="A64" s="3337"/>
      <c r="B64" s="3338" t="s">
        <v>3101</v>
      </c>
      <c r="C64" s="3338"/>
      <c r="D64" s="3339"/>
      <c r="E64" s="3339"/>
      <c r="F64" s="3340"/>
      <c r="G64" s="3350">
        <v>0</v>
      </c>
      <c r="H64" s="3351">
        <f>G64/2*1.1</f>
        <v>0</v>
      </c>
      <c r="I64" s="3339" t="s">
        <v>3102</v>
      </c>
      <c r="J64" s="3327" t="s">
        <v>3089</v>
      </c>
      <c r="K64" s="3315">
        <f>G64/100</f>
        <v>0</v>
      </c>
      <c r="L64" s="3342"/>
      <c r="M64" s="3343"/>
      <c r="N64" s="3344"/>
      <c r="O64" s="3345"/>
      <c r="P64" s="3346"/>
      <c r="Q64" s="3346"/>
      <c r="R64" s="3346"/>
      <c r="S64" s="3347"/>
      <c r="T64" s="3348"/>
      <c r="U64" s="3349"/>
    </row>
    <row r="65" spans="1:21" ht="45">
      <c r="A65" s="3337">
        <v>8</v>
      </c>
      <c r="B65" s="3338" t="s">
        <v>3103</v>
      </c>
      <c r="C65" s="3338"/>
      <c r="D65" s="3339"/>
      <c r="E65" s="3339"/>
      <c r="F65" s="3340"/>
      <c r="G65" s="3352"/>
      <c r="H65" s="3353">
        <f>I43/10000*50</f>
        <v>621.03499999999997</v>
      </c>
      <c r="I65" s="3339" t="s">
        <v>3104</v>
      </c>
      <c r="J65" s="3339"/>
      <c r="K65" s="3315"/>
      <c r="L65" s="3342"/>
      <c r="M65" s="3343"/>
      <c r="N65" s="3344"/>
      <c r="O65" s="3345"/>
      <c r="P65" s="3346"/>
      <c r="Q65" s="3346"/>
      <c r="R65" s="3346"/>
      <c r="S65" s="3347"/>
      <c r="T65" s="3348"/>
      <c r="U65" s="3349"/>
    </row>
    <row r="66" spans="1:21" ht="22.5">
      <c r="A66" s="3337">
        <v>9</v>
      </c>
      <c r="B66" s="3338" t="s">
        <v>3105</v>
      </c>
      <c r="C66" s="3338"/>
      <c r="D66" s="3339"/>
      <c r="E66" s="3339"/>
      <c r="F66" s="3340"/>
      <c r="G66" s="3352"/>
      <c r="H66" s="3353">
        <f>K5*0.3</f>
        <v>1246.0800000000002</v>
      </c>
      <c r="I66" s="3339" t="s">
        <v>3106</v>
      </c>
      <c r="J66" s="3339"/>
      <c r="K66" s="3315"/>
      <c r="L66" s="3342"/>
      <c r="M66" s="3343"/>
      <c r="N66" s="3344"/>
      <c r="O66" s="3345"/>
      <c r="P66" s="3346"/>
      <c r="Q66" s="3346"/>
      <c r="R66" s="3346"/>
      <c r="S66" s="3347"/>
      <c r="T66" s="3348"/>
      <c r="U66" s="3349"/>
    </row>
    <row r="67" spans="1:21">
      <c r="A67" s="3354">
        <v>7</v>
      </c>
      <c r="B67" s="3355" t="s">
        <v>3107</v>
      </c>
      <c r="C67" s="3355"/>
      <c r="D67" s="3356"/>
      <c r="E67" s="3356"/>
      <c r="F67" s="3356"/>
      <c r="G67" s="3357">
        <v>8004</v>
      </c>
      <c r="H67" s="3358">
        <f>G67/3+87</f>
        <v>2755</v>
      </c>
      <c r="I67" s="3359" t="s">
        <v>3108</v>
      </c>
      <c r="J67" s="3327" t="s">
        <v>3093</v>
      </c>
      <c r="K67" s="3360"/>
      <c r="L67" s="3361"/>
      <c r="M67" s="3362"/>
      <c r="N67" s="3363"/>
      <c r="O67" s="3345"/>
      <c r="P67" s="3346"/>
      <c r="Q67" s="3346"/>
      <c r="R67" s="3346"/>
      <c r="S67" s="3347"/>
      <c r="T67" s="3348"/>
      <c r="U67" s="3349"/>
    </row>
    <row r="68" spans="1:21" ht="14.25" thickBot="1">
      <c r="A68" s="3364"/>
      <c r="B68" s="3365" t="s">
        <v>24</v>
      </c>
      <c r="C68" s="3365"/>
      <c r="D68" s="3366"/>
      <c r="E68" s="3366"/>
      <c r="F68" s="3366"/>
      <c r="G68" s="3367">
        <f>SUM(G58:G67)</f>
        <v>9960.5105000000003</v>
      </c>
      <c r="H68" s="3368">
        <f>SUM(H58:H64)+H67</f>
        <v>3872</v>
      </c>
      <c r="I68" s="3298">
        <f>SUM(I58:I67)</f>
        <v>0</v>
      </c>
      <c r="J68" s="3298">
        <f>SUM(J58:J67)</f>
        <v>0</v>
      </c>
      <c r="K68" s="3298">
        <f>SUM(K58:K67)+1</f>
        <v>20.565105000000003</v>
      </c>
      <c r="L68" s="3366"/>
      <c r="M68" s="3369"/>
      <c r="N68" s="3369" t="s">
        <v>24</v>
      </c>
      <c r="O68" s="3370">
        <f>O58+O59</f>
        <v>43552.010090999989</v>
      </c>
      <c r="P68" s="3371"/>
      <c r="Q68" s="3371"/>
      <c r="R68" s="3371"/>
      <c r="S68" s="3371"/>
      <c r="T68" s="3371"/>
      <c r="U68" s="3372"/>
    </row>
    <row r="69" spans="1:21">
      <c r="H69" s="3272">
        <f>D4*0.22-D5</f>
        <v>0.88580000000001746</v>
      </c>
    </row>
    <row r="70" spans="1:21" ht="18">
      <c r="A70" s="3649" t="s">
        <v>3109</v>
      </c>
      <c r="B70" s="3650"/>
      <c r="C70" s="3650"/>
      <c r="D70" s="3650"/>
      <c r="E70" s="3650"/>
      <c r="F70" s="3650"/>
      <c r="G70" s="3650"/>
      <c r="I70" s="3373" t="s">
        <v>3110</v>
      </c>
      <c r="J70" s="3272">
        <f>15*30*13</f>
        <v>5850</v>
      </c>
    </row>
    <row r="71" spans="1:21" ht="16.5">
      <c r="A71" s="3637" t="s">
        <v>3111</v>
      </c>
      <c r="B71" s="3638"/>
      <c r="C71" s="3639"/>
      <c r="D71" s="3374" t="s">
        <v>3112</v>
      </c>
      <c r="E71" s="3374" t="s">
        <v>3113</v>
      </c>
      <c r="F71" s="3640" t="s">
        <v>3004</v>
      </c>
      <c r="G71" s="3640"/>
      <c r="I71" s="3375"/>
      <c r="J71" s="3376"/>
      <c r="K71" s="3376"/>
      <c r="L71" s="3376"/>
      <c r="M71" s="3376"/>
      <c r="N71" s="3376"/>
      <c r="O71" s="3376"/>
      <c r="P71" s="3376"/>
      <c r="Q71" s="3376"/>
      <c r="R71" s="3376"/>
      <c r="S71" s="3376"/>
      <c r="T71" s="3376"/>
      <c r="U71" s="3376"/>
    </row>
    <row r="72" spans="1:21" ht="16.5">
      <c r="A72" s="3637" t="s">
        <v>2997</v>
      </c>
      <c r="B72" s="3638"/>
      <c r="C72" s="3639"/>
      <c r="D72" s="3374" t="s">
        <v>3114</v>
      </c>
      <c r="E72" s="3377">
        <v>43990.39</v>
      </c>
      <c r="F72" s="3640" t="s">
        <v>3115</v>
      </c>
      <c r="G72" s="3640"/>
      <c r="I72" s="3378"/>
      <c r="J72" s="3378"/>
      <c r="K72" s="3378"/>
      <c r="L72" s="3378"/>
      <c r="M72" s="3378"/>
      <c r="N72" s="3379"/>
      <c r="O72" s="3378"/>
      <c r="P72" s="3379"/>
      <c r="Q72" s="3376"/>
      <c r="R72" s="3376"/>
      <c r="S72" s="3376"/>
      <c r="T72" s="3376"/>
      <c r="U72" s="3376"/>
    </row>
    <row r="73" spans="1:21" ht="18">
      <c r="A73" s="3637" t="s">
        <v>3016</v>
      </c>
      <c r="B73" s="3638"/>
      <c r="C73" s="3639"/>
      <c r="D73" s="3374" t="s">
        <v>3114</v>
      </c>
      <c r="E73" s="3380">
        <f>E74+E79</f>
        <v>182458.67277999999</v>
      </c>
      <c r="F73" s="3637"/>
      <c r="G73" s="3639"/>
      <c r="I73" s="3381">
        <f>G60+G61</f>
        <v>1876.5105000000001</v>
      </c>
      <c r="J73" s="3382"/>
      <c r="K73" s="3382"/>
      <c r="L73" s="3382"/>
      <c r="M73" s="3382"/>
      <c r="N73" s="3382"/>
      <c r="O73" s="3382"/>
      <c r="P73" s="3382"/>
      <c r="Q73" s="3382"/>
      <c r="R73" s="3382"/>
      <c r="S73" s="3382"/>
      <c r="T73" s="3382"/>
      <c r="U73" s="3376"/>
    </row>
    <row r="74" spans="1:21" ht="18">
      <c r="A74" s="3651" t="s">
        <v>3116</v>
      </c>
      <c r="B74" s="3652"/>
      <c r="C74" s="3653"/>
      <c r="D74" s="3374" t="s">
        <v>3114</v>
      </c>
      <c r="E74" s="3383">
        <f>F74</f>
        <v>136370.209</v>
      </c>
      <c r="F74" s="3654">
        <f>E72*3.1</f>
        <v>136370.209</v>
      </c>
      <c r="G74" s="3654"/>
      <c r="H74" s="3384">
        <f>F74-E74</f>
        <v>0</v>
      </c>
      <c r="I74" s="3385"/>
      <c r="J74" s="3382"/>
      <c r="K74" s="3382"/>
      <c r="L74" s="3382"/>
      <c r="M74" s="3382"/>
      <c r="N74" s="3382"/>
      <c r="O74" s="3382"/>
      <c r="P74" s="3382"/>
      <c r="Q74" s="3382"/>
      <c r="R74" s="3382"/>
      <c r="S74" s="3382"/>
      <c r="T74" s="3382"/>
      <c r="U74" s="3376"/>
    </row>
    <row r="75" spans="1:21" ht="16.5">
      <c r="A75" s="3655" t="s">
        <v>3117</v>
      </c>
      <c r="B75" s="3655" t="s">
        <v>3118</v>
      </c>
      <c r="C75" s="3374" t="s">
        <v>3119</v>
      </c>
      <c r="D75" s="3374" t="s">
        <v>3114</v>
      </c>
      <c r="E75" s="3386">
        <f>I43</f>
        <v>124207</v>
      </c>
      <c r="F75" s="3658">
        <f>E75/F74</f>
        <v>0.91080743302226663</v>
      </c>
      <c r="G75" s="3658"/>
      <c r="H75" s="3186" t="s">
        <v>3120</v>
      </c>
      <c r="I75" s="3659" t="s">
        <v>3121</v>
      </c>
      <c r="J75" s="3659"/>
      <c r="K75" s="3659"/>
      <c r="L75" s="3659"/>
      <c r="M75" s="3659"/>
      <c r="N75" s="3659"/>
      <c r="O75" s="3659"/>
      <c r="P75" s="3660"/>
      <c r="Q75" s="3387">
        <v>0.4</v>
      </c>
      <c r="R75" s="3387">
        <v>0.4</v>
      </c>
      <c r="S75" s="3387">
        <v>0.2</v>
      </c>
      <c r="U75" s="3376"/>
    </row>
    <row r="76" spans="1:21" ht="16.5">
      <c r="A76" s="3656"/>
      <c r="B76" s="3656"/>
      <c r="C76" s="3374" t="s">
        <v>3122</v>
      </c>
      <c r="D76" s="3374" t="s">
        <v>3114</v>
      </c>
      <c r="E76" s="3386">
        <f>E74-E75-E77-E78</f>
        <v>2202.6985000000022</v>
      </c>
      <c r="F76" s="3661"/>
      <c r="G76" s="3662"/>
      <c r="H76" s="3388">
        <f>E76+E78</f>
        <v>4159.2090000000026</v>
      </c>
      <c r="I76" s="3389" t="s">
        <v>3123</v>
      </c>
      <c r="J76" s="3389" t="s">
        <v>3124</v>
      </c>
      <c r="K76" s="3389" t="s">
        <v>3125</v>
      </c>
      <c r="L76" s="3389" t="s">
        <v>3126</v>
      </c>
      <c r="M76" s="3389" t="s">
        <v>3035</v>
      </c>
      <c r="N76" s="3390" t="s">
        <v>3127</v>
      </c>
      <c r="O76" s="3389" t="s">
        <v>3067</v>
      </c>
      <c r="P76" s="3390" t="s">
        <v>2998</v>
      </c>
      <c r="Q76" s="3251">
        <v>85</v>
      </c>
      <c r="R76" s="3251">
        <v>95</v>
      </c>
      <c r="S76" s="3251">
        <v>119</v>
      </c>
      <c r="T76" s="3251"/>
      <c r="U76" s="3376"/>
    </row>
    <row r="77" spans="1:21" ht="16.5">
      <c r="A77" s="3656"/>
      <c r="B77" s="3656"/>
      <c r="C77" s="3374" t="s">
        <v>3128</v>
      </c>
      <c r="D77" s="3374" t="s">
        <v>3114</v>
      </c>
      <c r="E77" s="3386">
        <f>G67</f>
        <v>8004</v>
      </c>
      <c r="F77" s="3661" t="s">
        <v>3129</v>
      </c>
      <c r="G77" s="3662"/>
      <c r="I77" s="3663" t="s">
        <v>3130</v>
      </c>
      <c r="J77" s="3391">
        <v>27</v>
      </c>
      <c r="K77" s="3391" t="s">
        <v>3131</v>
      </c>
      <c r="L77" s="3391">
        <f>85*2+95*2+119*2</f>
        <v>598</v>
      </c>
      <c r="M77" s="3391">
        <v>5</v>
      </c>
      <c r="N77" s="3391">
        <v>1</v>
      </c>
      <c r="O77" s="3391">
        <f>L77*(M77*J77-N77)</f>
        <v>80132</v>
      </c>
      <c r="P77" s="3391">
        <f>6*(M77*J77-N77)</f>
        <v>804</v>
      </c>
      <c r="Q77" s="3391">
        <f>2*(M77*J77-N77)</f>
        <v>268</v>
      </c>
      <c r="R77" s="3391">
        <f>2*(M77*J77-N77)</f>
        <v>268</v>
      </c>
      <c r="S77" s="3391">
        <f>2*(M77*J77-N77)</f>
        <v>268</v>
      </c>
      <c r="T77" s="3391"/>
      <c r="U77" s="3376"/>
    </row>
    <row r="78" spans="1:21" ht="16.5">
      <c r="A78" s="3656"/>
      <c r="B78" s="3657"/>
      <c r="C78" s="3374" t="s">
        <v>3132</v>
      </c>
      <c r="D78" s="3374" t="s">
        <v>3114</v>
      </c>
      <c r="E78" s="3386">
        <f>G68-G67</f>
        <v>1956.5105000000003</v>
      </c>
      <c r="F78" s="3661"/>
      <c r="G78" s="3662"/>
      <c r="I78" s="3664"/>
      <c r="J78" s="3391">
        <v>27</v>
      </c>
      <c r="K78" s="3391" t="s">
        <v>3133</v>
      </c>
      <c r="L78" s="3391">
        <f>95*4+85*2</f>
        <v>550</v>
      </c>
      <c r="M78" s="3391">
        <v>2</v>
      </c>
      <c r="N78" s="3391">
        <v>1</v>
      </c>
      <c r="O78" s="3391">
        <f>L78*(M78*J78-N78)</f>
        <v>29150</v>
      </c>
      <c r="P78" s="3391">
        <f>6*(M78*J78-N78)</f>
        <v>318</v>
      </c>
      <c r="Q78" s="3391">
        <f>2*M78*J78-N78*2</f>
        <v>106</v>
      </c>
      <c r="R78" s="3391">
        <f>M78*J78*4-4*N78</f>
        <v>212</v>
      </c>
      <c r="S78" s="3391"/>
      <c r="T78" s="3391"/>
      <c r="U78" s="3376"/>
    </row>
    <row r="79" spans="1:21" ht="16.5">
      <c r="A79" s="3651" t="s">
        <v>3134</v>
      </c>
      <c r="B79" s="3652"/>
      <c r="C79" s="3653"/>
      <c r="D79" s="3374" t="s">
        <v>3114</v>
      </c>
      <c r="E79" s="3377">
        <f>E80+E85</f>
        <v>46088.463779999991</v>
      </c>
      <c r="F79" s="3637"/>
      <c r="G79" s="3639"/>
      <c r="I79" s="3665"/>
      <c r="J79" s="3391">
        <v>27</v>
      </c>
      <c r="K79" s="3391" t="s">
        <v>3135</v>
      </c>
      <c r="L79" s="3391">
        <f>85*4+95*2</f>
        <v>530</v>
      </c>
      <c r="M79" s="3391">
        <v>0</v>
      </c>
      <c r="N79" s="3391">
        <v>0</v>
      </c>
      <c r="O79" s="3391">
        <f>L79*(M79*J79-N79)</f>
        <v>0</v>
      </c>
      <c r="P79" s="3391">
        <f>6*(M79*J79-N79)</f>
        <v>0</v>
      </c>
      <c r="Q79" s="3391">
        <f>4*(M79*J79-N79)</f>
        <v>0</v>
      </c>
      <c r="R79" s="3391">
        <f>2*(M79*J79-N79)</f>
        <v>0</v>
      </c>
      <c r="S79" s="3391"/>
      <c r="T79" s="3391"/>
      <c r="U79" s="3376"/>
    </row>
    <row r="80" spans="1:21" ht="16.5">
      <c r="A80" s="3655" t="s">
        <v>3117</v>
      </c>
      <c r="B80" s="3639" t="s">
        <v>3136</v>
      </c>
      <c r="C80" s="3640"/>
      <c r="D80" s="3374" t="s">
        <v>3114</v>
      </c>
      <c r="E80" s="3377">
        <f>SUM(E81:E83)</f>
        <v>45902.153279999991</v>
      </c>
      <c r="F80" s="3666">
        <f>(E80-E82-E86-E87)/E90</f>
        <v>34.52253137871562</v>
      </c>
      <c r="G80" s="3666"/>
      <c r="I80" s="3391" t="s">
        <v>3137</v>
      </c>
      <c r="J80" s="3391">
        <v>27</v>
      </c>
      <c r="K80" s="3391" t="s">
        <v>3138</v>
      </c>
      <c r="L80" s="3391">
        <f>95*2+85*5</f>
        <v>615</v>
      </c>
      <c r="M80" s="3391">
        <v>1</v>
      </c>
      <c r="N80" s="3391"/>
      <c r="O80" s="3391">
        <f>M80*L80*J80</f>
        <v>16605</v>
      </c>
      <c r="P80" s="3391">
        <f>M80*J80*7</f>
        <v>189</v>
      </c>
      <c r="Q80" s="3391">
        <f>5*(M80*J80-N80)</f>
        <v>135</v>
      </c>
      <c r="R80" s="3391">
        <f>2*(M80*J80-N80)</f>
        <v>54</v>
      </c>
      <c r="S80" s="3391">
        <f>0*(M80*J80-N80)</f>
        <v>0</v>
      </c>
      <c r="T80" s="3251"/>
      <c r="U80" s="3376"/>
    </row>
    <row r="81" spans="1:21" ht="16.5">
      <c r="A81" s="3656"/>
      <c r="B81" s="3667" t="s">
        <v>3117</v>
      </c>
      <c r="C81" s="3392" t="s">
        <v>3139</v>
      </c>
      <c r="D81" s="3374" t="s">
        <v>3114</v>
      </c>
      <c r="E81" s="3377">
        <f>K17*1.8</f>
        <v>2350.1431889999999</v>
      </c>
      <c r="F81" s="3669" t="s">
        <v>3140</v>
      </c>
      <c r="G81" s="3670"/>
      <c r="I81" s="3391"/>
      <c r="J81" s="3391"/>
      <c r="K81" s="3251"/>
      <c r="L81" s="3391"/>
      <c r="M81" s="3391"/>
      <c r="N81" s="3391"/>
      <c r="O81" s="3393">
        <f>SUM(O77:O80)</f>
        <v>125887</v>
      </c>
      <c r="P81" s="3391">
        <f>SUM(P77:P80)</f>
        <v>1311</v>
      </c>
      <c r="Q81" s="3391">
        <f>SUM(Q77:Q80)</f>
        <v>509</v>
      </c>
      <c r="R81" s="3391">
        <f>SUM(R77:R80)</f>
        <v>534</v>
      </c>
      <c r="S81" s="3391">
        <f>SUM(S77:S80)</f>
        <v>268</v>
      </c>
      <c r="T81" s="3391">
        <f>SUM(Q81:S81)</f>
        <v>1311</v>
      </c>
      <c r="U81" s="3376"/>
    </row>
    <row r="82" spans="1:21" ht="16.5">
      <c r="A82" s="3656"/>
      <c r="B82" s="3668"/>
      <c r="C82" s="3392" t="s">
        <v>3141</v>
      </c>
      <c r="D82" s="3374" t="s">
        <v>3114</v>
      </c>
      <c r="E82" s="3394">
        <f>K7</f>
        <v>9677</v>
      </c>
      <c r="F82" s="3671"/>
      <c r="G82" s="3672"/>
      <c r="I82" s="3251"/>
      <c r="J82" s="3251"/>
      <c r="K82" s="3251"/>
      <c r="L82" s="3251"/>
      <c r="M82" s="3251"/>
      <c r="N82" s="3251"/>
      <c r="O82" s="3391"/>
      <c r="P82" s="3391"/>
      <c r="Q82" s="3395">
        <f>Q81/T81</f>
        <v>0.38825324180015258</v>
      </c>
      <c r="R82" s="3395">
        <f>R81/T81</f>
        <v>0.40732265446224258</v>
      </c>
      <c r="S82" s="3395">
        <f>S81/T81</f>
        <v>0.20442410373760489</v>
      </c>
      <c r="T82" s="3396">
        <f>SUM(Q82:S82)</f>
        <v>1</v>
      </c>
      <c r="U82" s="3376"/>
    </row>
    <row r="83" spans="1:21" ht="16.5">
      <c r="A83" s="3656"/>
      <c r="B83" s="3668"/>
      <c r="C83" s="3392" t="s">
        <v>3142</v>
      </c>
      <c r="D83" s="3374" t="s">
        <v>3114</v>
      </c>
      <c r="E83" s="3377">
        <f>K10*36-E81-E82-E85</f>
        <v>33875.010090999989</v>
      </c>
      <c r="F83" s="3673"/>
      <c r="G83" s="3640"/>
      <c r="I83" s="3385"/>
      <c r="J83" s="3382"/>
      <c r="K83" s="3382"/>
      <c r="L83" s="3382"/>
      <c r="M83" s="3382"/>
      <c r="N83" s="3382"/>
      <c r="O83" s="3382"/>
      <c r="P83" s="3382"/>
      <c r="Q83" s="3382"/>
      <c r="R83" s="3382"/>
      <c r="S83" s="3382"/>
      <c r="T83" s="3382"/>
      <c r="U83" s="3376"/>
    </row>
    <row r="84" spans="1:21" ht="16.5">
      <c r="A84" s="3656"/>
      <c r="B84" s="3637" t="s">
        <v>3143</v>
      </c>
      <c r="C84" s="3639"/>
      <c r="D84" s="3374" t="s">
        <v>3114</v>
      </c>
      <c r="E84" s="3377"/>
      <c r="F84" s="3673"/>
      <c r="G84" s="3640"/>
      <c r="I84" s="3385"/>
      <c r="J84" s="3382"/>
      <c r="K84" s="3382"/>
      <c r="L84" s="3382"/>
      <c r="M84" s="3382"/>
      <c r="N84" s="3382"/>
      <c r="O84" s="3382"/>
      <c r="P84" s="3382"/>
      <c r="Q84" s="3382"/>
      <c r="R84" s="3382"/>
      <c r="S84" s="3382"/>
      <c r="T84" s="3382"/>
      <c r="U84" s="3376"/>
    </row>
    <row r="85" spans="1:21" ht="16.5">
      <c r="A85" s="3657"/>
      <c r="B85" s="3639" t="s">
        <v>3144</v>
      </c>
      <c r="C85" s="3640"/>
      <c r="D85" s="3374" t="s">
        <v>3114</v>
      </c>
      <c r="E85" s="3377">
        <f>O60+O61</f>
        <v>186.31049999999999</v>
      </c>
      <c r="F85" s="3640"/>
      <c r="G85" s="3640"/>
      <c r="I85" s="3376">
        <f>E75/10000*10</f>
        <v>124.20699999999999</v>
      </c>
      <c r="J85" s="3397"/>
      <c r="K85" s="3376"/>
      <c r="L85" s="3376"/>
      <c r="M85" s="3382"/>
      <c r="N85" s="3382"/>
      <c r="O85" s="3398">
        <f>E75-O81</f>
        <v>-1680</v>
      </c>
      <c r="P85" s="3382"/>
      <c r="Q85" s="3382"/>
      <c r="R85" s="3382"/>
      <c r="S85" s="3382"/>
      <c r="T85" s="3382"/>
      <c r="U85" s="3376"/>
    </row>
    <row r="86" spans="1:21" ht="16.5">
      <c r="A86" s="3637" t="s">
        <v>3145</v>
      </c>
      <c r="B86" s="3638"/>
      <c r="C86" s="3639"/>
      <c r="D86" s="3374" t="s">
        <v>3146</v>
      </c>
      <c r="E86" s="3399">
        <f>K43+K55+K68</f>
        <v>1280.2351049999997</v>
      </c>
      <c r="F86" s="3640"/>
      <c r="G86" s="3640"/>
      <c r="I86" s="3400"/>
      <c r="J86" s="3376"/>
      <c r="K86" s="3376"/>
      <c r="L86" s="3376"/>
      <c r="M86" s="3376"/>
      <c r="N86" s="3376"/>
      <c r="O86" s="3382"/>
      <c r="P86" s="3382"/>
      <c r="Q86" s="3401"/>
      <c r="R86" s="3401"/>
      <c r="S86" s="3401"/>
      <c r="T86" s="3402"/>
      <c r="U86" s="3376"/>
    </row>
    <row r="87" spans="1:21" ht="16.5">
      <c r="A87" s="3655" t="s">
        <v>3117</v>
      </c>
      <c r="B87" s="3653" t="s">
        <v>3147</v>
      </c>
      <c r="C87" s="3670"/>
      <c r="D87" s="3374" t="s">
        <v>3146</v>
      </c>
      <c r="E87" s="3399">
        <v>0</v>
      </c>
      <c r="F87" s="3674"/>
      <c r="G87" s="3674"/>
      <c r="I87" s="3376"/>
      <c r="J87" s="3376"/>
      <c r="K87" s="3376"/>
      <c r="L87" s="3376"/>
      <c r="M87" s="3376"/>
      <c r="N87" s="3376"/>
      <c r="O87" s="3376"/>
      <c r="P87" s="3376"/>
      <c r="Q87" s="3376"/>
      <c r="R87" s="3376"/>
      <c r="S87" s="3376"/>
      <c r="T87" s="3376"/>
      <c r="U87" s="3376"/>
    </row>
    <row r="88" spans="1:21" ht="16.5">
      <c r="A88" s="3656"/>
      <c r="B88" s="3639" t="s">
        <v>3148</v>
      </c>
      <c r="C88" s="3640"/>
      <c r="D88" s="3374" t="s">
        <v>3146</v>
      </c>
      <c r="E88" s="3399">
        <f>E86-E87</f>
        <v>1280.2351049999997</v>
      </c>
      <c r="F88" s="3640"/>
      <c r="G88" s="3640"/>
      <c r="I88" s="3376"/>
      <c r="J88" s="3376"/>
      <c r="K88" s="3376"/>
      <c r="L88" s="3376"/>
      <c r="M88" s="3376"/>
      <c r="N88" s="3376"/>
      <c r="O88" s="3376"/>
      <c r="P88" s="3376"/>
      <c r="Q88" s="3376"/>
      <c r="R88" s="3376"/>
      <c r="S88" s="3376"/>
      <c r="T88" s="3376"/>
      <c r="U88" s="3376"/>
    </row>
    <row r="89" spans="1:21" ht="16.5">
      <c r="A89" s="3656"/>
      <c r="B89" s="3655" t="s">
        <v>3117</v>
      </c>
      <c r="C89" s="3374" t="s">
        <v>3149</v>
      </c>
      <c r="D89" s="3374" t="s">
        <v>3146</v>
      </c>
      <c r="E89" s="3399">
        <f>ROUNDDOWN(E82/36,0)</f>
        <v>268</v>
      </c>
      <c r="F89" s="3671"/>
      <c r="G89" s="3672"/>
    </row>
    <row r="90" spans="1:21" ht="16.5">
      <c r="A90" s="3656"/>
      <c r="B90" s="3656"/>
      <c r="C90" s="3374" t="s">
        <v>3150</v>
      </c>
      <c r="D90" s="3374" t="s">
        <v>3146</v>
      </c>
      <c r="E90" s="3399">
        <f>E88-E89</f>
        <v>1012.2351049999997</v>
      </c>
      <c r="F90" s="3671"/>
      <c r="G90" s="3672"/>
    </row>
    <row r="91" spans="1:21" ht="18">
      <c r="A91" s="3640" t="s">
        <v>3151</v>
      </c>
      <c r="B91" s="3640"/>
      <c r="C91" s="3640"/>
      <c r="D91" s="3374" t="s">
        <v>3152</v>
      </c>
      <c r="E91" s="3383">
        <f>E74/E72</f>
        <v>3.1</v>
      </c>
      <c r="F91" s="3640"/>
      <c r="G91" s="3640"/>
    </row>
    <row r="92" spans="1:21" ht="16.5">
      <c r="A92" s="3637" t="s">
        <v>3153</v>
      </c>
      <c r="B92" s="3638"/>
      <c r="C92" s="3639"/>
      <c r="D92" s="3374" t="s">
        <v>3114</v>
      </c>
      <c r="E92" s="3377">
        <f>H65</f>
        <v>621.03499999999997</v>
      </c>
      <c r="F92" s="3640" t="s">
        <v>3154</v>
      </c>
      <c r="G92" s="3640"/>
    </row>
    <row r="93" spans="1:21" ht="16.5">
      <c r="A93" s="3637" t="s">
        <v>3155</v>
      </c>
      <c r="B93" s="3638"/>
      <c r="C93" s="3639"/>
      <c r="D93" s="3374" t="s">
        <v>3114</v>
      </c>
      <c r="E93" s="3377">
        <f>H66</f>
        <v>1246.0800000000002</v>
      </c>
      <c r="F93" s="3640" t="s">
        <v>3154</v>
      </c>
      <c r="G93" s="3640"/>
      <c r="I93" s="3376"/>
      <c r="J93" s="3376"/>
      <c r="K93" s="3376"/>
      <c r="L93" s="3376"/>
      <c r="M93" s="3376"/>
      <c r="N93" s="3376"/>
      <c r="O93" s="3376"/>
      <c r="P93" s="3376"/>
      <c r="Q93" s="3376"/>
      <c r="R93" s="3376"/>
      <c r="S93" s="3376"/>
      <c r="T93" s="3376"/>
      <c r="U93" s="3376"/>
    </row>
    <row r="94" spans="1:21" ht="16.5">
      <c r="A94" s="3640" t="s">
        <v>3010</v>
      </c>
      <c r="B94" s="3640"/>
      <c r="C94" s="3640"/>
      <c r="D94" s="3374" t="s">
        <v>3156</v>
      </c>
      <c r="E94" s="3403">
        <f>(J43+J55+H68)/E72</f>
        <v>0.21997986378388554</v>
      </c>
      <c r="F94" s="3640" t="s">
        <v>3157</v>
      </c>
      <c r="G94" s="3640"/>
    </row>
    <row r="95" spans="1:21" ht="16.5">
      <c r="A95" s="3640" t="s">
        <v>3158</v>
      </c>
      <c r="B95" s="3640"/>
      <c r="C95" s="3640"/>
      <c r="D95" s="3374" t="s">
        <v>3159</v>
      </c>
      <c r="E95" s="3399">
        <f>N43</f>
        <v>1298</v>
      </c>
      <c r="F95" s="3640"/>
      <c r="G95" s="3640"/>
    </row>
    <row r="96" spans="1:21" ht="16.5">
      <c r="A96" s="3640" t="s">
        <v>3160</v>
      </c>
      <c r="B96" s="3640"/>
      <c r="C96" s="3640"/>
      <c r="D96" s="3374" t="s">
        <v>3161</v>
      </c>
      <c r="E96" s="3399">
        <f>E95*3.2</f>
        <v>4153.6000000000004</v>
      </c>
      <c r="F96" s="3640" t="s">
        <v>3162</v>
      </c>
      <c r="G96" s="3640"/>
    </row>
    <row r="99" spans="5:6">
      <c r="E99" s="3186" t="s">
        <v>3163</v>
      </c>
      <c r="F99" s="3404">
        <f>(E76+E78)/E74</f>
        <v>3.0499395949448185E-2</v>
      </c>
    </row>
  </sheetData>
  <mergeCells count="114">
    <mergeCell ref="A86:C86"/>
    <mergeCell ref="F86:G86"/>
    <mergeCell ref="A87:A90"/>
    <mergeCell ref="B87:C87"/>
    <mergeCell ref="F87:G87"/>
    <mergeCell ref="B88:C88"/>
    <mergeCell ref="F88:G88"/>
    <mergeCell ref="A96:C96"/>
    <mergeCell ref="F96:G96"/>
    <mergeCell ref="A93:C93"/>
    <mergeCell ref="F93:G93"/>
    <mergeCell ref="A94:C94"/>
    <mergeCell ref="F94:G94"/>
    <mergeCell ref="A95:C95"/>
    <mergeCell ref="F95:G95"/>
    <mergeCell ref="B89:B90"/>
    <mergeCell ref="F89:G89"/>
    <mergeCell ref="F90:G90"/>
    <mergeCell ref="A91:C91"/>
    <mergeCell ref="F91:G91"/>
    <mergeCell ref="A92:C92"/>
    <mergeCell ref="F92:G92"/>
    <mergeCell ref="A80:A85"/>
    <mergeCell ref="B80:C80"/>
    <mergeCell ref="F80:G80"/>
    <mergeCell ref="B81:B83"/>
    <mergeCell ref="F81:G81"/>
    <mergeCell ref="F82:G82"/>
    <mergeCell ref="F83:G83"/>
    <mergeCell ref="B84:C84"/>
    <mergeCell ref="F84:G84"/>
    <mergeCell ref="B85:C85"/>
    <mergeCell ref="F85:G85"/>
    <mergeCell ref="A74:C74"/>
    <mergeCell ref="F74:G74"/>
    <mergeCell ref="A75:A78"/>
    <mergeCell ref="B75:B78"/>
    <mergeCell ref="F75:G75"/>
    <mergeCell ref="I75:P75"/>
    <mergeCell ref="F76:G76"/>
    <mergeCell ref="F77:G77"/>
    <mergeCell ref="I77:I79"/>
    <mergeCell ref="F78:G78"/>
    <mergeCell ref="A79:C79"/>
    <mergeCell ref="F79:G79"/>
    <mergeCell ref="A71:C71"/>
    <mergeCell ref="F71:G71"/>
    <mergeCell ref="A72:C72"/>
    <mergeCell ref="F72:G72"/>
    <mergeCell ref="A73:C73"/>
    <mergeCell ref="F73:G73"/>
    <mergeCell ref="T57:U57"/>
    <mergeCell ref="T58:U59"/>
    <mergeCell ref="T60:U60"/>
    <mergeCell ref="T61:U61"/>
    <mergeCell ref="T62:U62"/>
    <mergeCell ref="A70:G70"/>
    <mergeCell ref="B44:T44"/>
    <mergeCell ref="A51:A52"/>
    <mergeCell ref="B56:I56"/>
    <mergeCell ref="M56:U56"/>
    <mergeCell ref="A16:A17"/>
    <mergeCell ref="B16:B17"/>
    <mergeCell ref="E16:H16"/>
    <mergeCell ref="E17:H17"/>
    <mergeCell ref="K17:L17"/>
    <mergeCell ref="A19:O19"/>
    <mergeCell ref="P11:U19"/>
    <mergeCell ref="B12:C12"/>
    <mergeCell ref="B13:B15"/>
    <mergeCell ref="E13:H13"/>
    <mergeCell ref="E15:H15"/>
    <mergeCell ref="K15:L15"/>
    <mergeCell ref="M15:O15"/>
    <mergeCell ref="B20:T20"/>
    <mergeCell ref="A43:H43"/>
    <mergeCell ref="A10:A15"/>
    <mergeCell ref="B10:C10"/>
    <mergeCell ref="E10:H10"/>
    <mergeCell ref="I10:I15"/>
    <mergeCell ref="K10:L10"/>
    <mergeCell ref="M10:O10"/>
    <mergeCell ref="B11:C11"/>
    <mergeCell ref="E11:H11"/>
    <mergeCell ref="K11:L11"/>
    <mergeCell ref="M11:O11"/>
    <mergeCell ref="B7:C7"/>
    <mergeCell ref="E7:H7"/>
    <mergeCell ref="K7:L7"/>
    <mergeCell ref="M7:O7"/>
    <mergeCell ref="A1:U1"/>
    <mergeCell ref="B2:U2"/>
    <mergeCell ref="B3:O3"/>
    <mergeCell ref="P3:U3"/>
    <mergeCell ref="B4:C4"/>
    <mergeCell ref="E4:H4"/>
    <mergeCell ref="K4:L4"/>
    <mergeCell ref="M4:O4"/>
    <mergeCell ref="A8:A9"/>
    <mergeCell ref="B8:C9"/>
    <mergeCell ref="D8:D9"/>
    <mergeCell ref="E8:H9"/>
    <mergeCell ref="I8:I9"/>
    <mergeCell ref="K8:L8"/>
    <mergeCell ref="M8:O9"/>
    <mergeCell ref="K9:L9"/>
    <mergeCell ref="B5:C5"/>
    <mergeCell ref="E5:H5"/>
    <mergeCell ref="K5:L5"/>
    <mergeCell ref="M5:O5"/>
    <mergeCell ref="B6:C6"/>
    <mergeCell ref="E6:H6"/>
    <mergeCell ref="K6:L6"/>
    <mergeCell ref="M6:O6"/>
  </mergeCells>
  <phoneticPr fontId="228"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32" sqref="K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2330</v>
      </c>
      <c r="BA2" s="2320" t="s">
        <v>2329</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B16</f>
        <v>61677.15</v>
      </c>
      <c r="B3" s="22">
        <f>IF(C3="否",G5-AT5,G5)</f>
        <v>245288.5</v>
      </c>
      <c r="C3" s="23" t="s">
        <v>3318</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258818.5</v>
      </c>
      <c r="H5" s="27">
        <f t="shared" ref="H5:AT5" si="0">SUM(H13:H641)</f>
        <v>238122.46</v>
      </c>
      <c r="I5" s="27">
        <f t="shared" si="0"/>
        <v>175210</v>
      </c>
      <c r="J5" s="27">
        <f t="shared" si="0"/>
        <v>0</v>
      </c>
      <c r="K5" s="27">
        <f t="shared" si="0"/>
        <v>13469.99</v>
      </c>
      <c r="L5" s="27">
        <f t="shared" si="0"/>
        <v>0</v>
      </c>
      <c r="M5" s="27">
        <f t="shared" si="0"/>
        <v>49442.47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7166.04</v>
      </c>
      <c r="AD5" s="27">
        <f t="shared" si="0"/>
        <v>3219</v>
      </c>
      <c r="AE5" s="27">
        <f t="shared" si="0"/>
        <v>0</v>
      </c>
      <c r="AF5" s="27">
        <f t="shared" si="0"/>
        <v>263</v>
      </c>
      <c r="AG5" s="27">
        <f t="shared" si="0"/>
        <v>0</v>
      </c>
      <c r="AH5" s="27">
        <f t="shared" si="0"/>
        <v>0</v>
      </c>
      <c r="AI5" s="27">
        <f t="shared" si="0"/>
        <v>0</v>
      </c>
      <c r="AJ5" s="27">
        <f t="shared" si="0"/>
        <v>0</v>
      </c>
      <c r="AK5" s="27">
        <f t="shared" si="0"/>
        <v>0</v>
      </c>
      <c r="AL5" s="27">
        <f t="shared" si="0"/>
        <v>0</v>
      </c>
      <c r="AM5" s="27">
        <f t="shared" si="0"/>
        <v>0</v>
      </c>
      <c r="AN5" s="27">
        <f t="shared" si="0"/>
        <v>3684.04</v>
      </c>
      <c r="AO5" s="27">
        <f t="shared" si="0"/>
        <v>0</v>
      </c>
      <c r="AP5" s="27">
        <f t="shared" si="0"/>
        <v>0</v>
      </c>
      <c r="AQ5" s="27">
        <f t="shared" si="0"/>
        <v>0</v>
      </c>
      <c r="AR5" s="27">
        <f t="shared" si="0"/>
        <v>0</v>
      </c>
      <c r="AS5" s="27">
        <f t="shared" si="0"/>
        <v>0</v>
      </c>
      <c r="AT5" s="27">
        <f t="shared" si="0"/>
        <v>13530</v>
      </c>
      <c r="AU5" s="985"/>
      <c r="AV5" s="26" t="s">
        <v>168</v>
      </c>
      <c r="AW5" s="986"/>
      <c r="AX5" s="986"/>
      <c r="AY5" s="28" t="s">
        <v>3</v>
      </c>
      <c r="AZ5" s="29">
        <f t="shared" ref="AZ5:BT5" si="1">SUM(AZ13:AZ641)</f>
        <v>245288.5</v>
      </c>
      <c r="BA5" s="29">
        <f t="shared" si="1"/>
        <v>238122.46</v>
      </c>
      <c r="BB5" s="29">
        <f t="shared" si="1"/>
        <v>175210</v>
      </c>
      <c r="BC5" s="29">
        <f t="shared" si="1"/>
        <v>13469.99</v>
      </c>
      <c r="BD5" s="29">
        <f t="shared" si="1"/>
        <v>49442.47</v>
      </c>
      <c r="BE5" s="29">
        <f t="shared" si="1"/>
        <v>0</v>
      </c>
      <c r="BF5" s="29">
        <f t="shared" si="1"/>
        <v>0</v>
      </c>
      <c r="BG5" s="29">
        <f t="shared" si="1"/>
        <v>0</v>
      </c>
      <c r="BH5" s="29">
        <f t="shared" si="1"/>
        <v>0</v>
      </c>
      <c r="BI5" s="29">
        <f t="shared" si="1"/>
        <v>0</v>
      </c>
      <c r="BJ5" s="29">
        <f t="shared" si="1"/>
        <v>0</v>
      </c>
      <c r="BK5" s="29">
        <f t="shared" si="1"/>
        <v>0</v>
      </c>
      <c r="BL5" s="29">
        <f t="shared" si="1"/>
        <v>7166.04</v>
      </c>
      <c r="BM5" s="29">
        <f t="shared" si="1"/>
        <v>3219</v>
      </c>
      <c r="BN5" s="29">
        <f t="shared" si="1"/>
        <v>263</v>
      </c>
      <c r="BO5" s="29">
        <f t="shared" si="1"/>
        <v>0</v>
      </c>
      <c r="BP5" s="29">
        <f t="shared" si="1"/>
        <v>0</v>
      </c>
      <c r="BQ5" s="29">
        <f t="shared" si="1"/>
        <v>0</v>
      </c>
      <c r="BR5" s="29">
        <f t="shared" si="1"/>
        <v>3684.04</v>
      </c>
      <c r="BS5" s="29">
        <f t="shared" si="1"/>
        <v>0</v>
      </c>
      <c r="BT5" s="30">
        <f t="shared" si="1"/>
        <v>0</v>
      </c>
    </row>
    <row r="6" spans="1:72" s="37" customFormat="1" ht="12.75">
      <c r="A6" s="26" t="s">
        <v>169</v>
      </c>
      <c r="B6" s="31"/>
      <c r="C6" s="31"/>
      <c r="D6" s="32"/>
      <c r="E6" s="27">
        <f>H6+AC6+AT6</f>
        <v>61677.139999999992</v>
      </c>
      <c r="F6" s="27" t="s">
        <v>1</v>
      </c>
      <c r="G6" s="27" t="s">
        <v>2</v>
      </c>
      <c r="H6" s="33">
        <f>SUMIF(I$12:AB$12,"总值",I6:AB6)</f>
        <v>59875.259999999995</v>
      </c>
      <c r="I6" s="27">
        <f t="shared" ref="I6:AB6" si="2">ROUND($A$3*I5/$B$3,2)</f>
        <v>44056.09</v>
      </c>
      <c r="J6" s="27">
        <f t="shared" si="2"/>
        <v>0</v>
      </c>
      <c r="K6" s="27">
        <f t="shared" si="2"/>
        <v>3386.99</v>
      </c>
      <c r="L6" s="27">
        <f t="shared" si="2"/>
        <v>0</v>
      </c>
      <c r="M6" s="27">
        <f t="shared" si="2"/>
        <v>12432.18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1801.88</v>
      </c>
      <c r="AD6" s="27">
        <f t="shared" ref="AD6:AS6" si="3">ROUND($A$3*AD5/$B$3,2)</f>
        <v>809.41</v>
      </c>
      <c r="AE6" s="27">
        <f t="shared" si="3"/>
        <v>0</v>
      </c>
      <c r="AF6" s="27">
        <f t="shared" si="3"/>
        <v>66.13</v>
      </c>
      <c r="AG6" s="27">
        <f t="shared" si="3"/>
        <v>0</v>
      </c>
      <c r="AH6" s="27">
        <f t="shared" si="3"/>
        <v>0</v>
      </c>
      <c r="AI6" s="27">
        <f t="shared" si="3"/>
        <v>0</v>
      </c>
      <c r="AJ6" s="27">
        <f t="shared" si="3"/>
        <v>0</v>
      </c>
      <c r="AK6" s="27">
        <f t="shared" si="3"/>
        <v>0</v>
      </c>
      <c r="AL6" s="27">
        <f t="shared" si="3"/>
        <v>0</v>
      </c>
      <c r="AM6" s="27">
        <f t="shared" si="3"/>
        <v>0</v>
      </c>
      <c r="AN6" s="27">
        <f t="shared" si="3"/>
        <v>926.34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61677.15</v>
      </c>
      <c r="AZ6" s="27" t="s">
        <v>3</v>
      </c>
      <c r="BA6" s="27">
        <f>ROUND($AY$6*BA5/$AZ$5,2)</f>
        <v>59875.27</v>
      </c>
      <c r="BB6" s="27">
        <f>ROUND($AY$6*BB5/$AZ$5,2)</f>
        <v>44056.09</v>
      </c>
      <c r="BC6" s="27">
        <f t="shared" ref="BC6:BH6" si="4">ROUND($AY$6*BC5/$AZ$5,2)</f>
        <v>3386.99</v>
      </c>
      <c r="BD6" s="27">
        <f t="shared" si="4"/>
        <v>12432.18</v>
      </c>
      <c r="BE6" s="27">
        <f t="shared" si="4"/>
        <v>0</v>
      </c>
      <c r="BF6" s="27">
        <f t="shared" si="4"/>
        <v>0</v>
      </c>
      <c r="BG6" s="27">
        <f t="shared" si="4"/>
        <v>0</v>
      </c>
      <c r="BH6" s="27">
        <f t="shared" si="4"/>
        <v>0</v>
      </c>
      <c r="BI6" s="27">
        <f t="shared" ref="BI6:BT6" si="5">ROUND($AY$6*BI5/$AZ$5,2)</f>
        <v>0</v>
      </c>
      <c r="BJ6" s="27">
        <f t="shared" si="5"/>
        <v>0</v>
      </c>
      <c r="BK6" s="27">
        <f t="shared" si="5"/>
        <v>0</v>
      </c>
      <c r="BL6" s="27">
        <f t="shared" si="5"/>
        <v>1801.88</v>
      </c>
      <c r="BM6" s="27">
        <f t="shared" si="5"/>
        <v>809.41</v>
      </c>
      <c r="BN6" s="27">
        <f t="shared" si="5"/>
        <v>66.13</v>
      </c>
      <c r="BO6" s="27">
        <f t="shared" si="5"/>
        <v>0</v>
      </c>
      <c r="BP6" s="27">
        <f t="shared" si="5"/>
        <v>0</v>
      </c>
      <c r="BQ6" s="27">
        <f t="shared" si="5"/>
        <v>0</v>
      </c>
      <c r="BR6" s="27">
        <f t="shared" si="5"/>
        <v>926.34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8"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3189</v>
      </c>
      <c r="J9" s="51"/>
      <c r="K9" s="2966" t="s">
        <v>3189</v>
      </c>
      <c r="L9" s="51"/>
      <c r="M9" s="2966" t="s">
        <v>3192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923</v>
      </c>
      <c r="J10" s="51"/>
      <c r="K10" s="2968" t="s">
        <v>3122</v>
      </c>
      <c r="L10" s="51"/>
      <c r="M10" s="2968" t="s">
        <v>3172</v>
      </c>
      <c r="N10" s="51"/>
      <c r="O10" s="66"/>
      <c r="P10" s="51"/>
      <c r="Q10" s="66"/>
      <c r="R10" s="51"/>
      <c r="S10" s="66"/>
      <c r="T10" s="51"/>
      <c r="U10" s="66"/>
      <c r="V10" s="51"/>
      <c r="W10" s="66"/>
      <c r="X10" s="51"/>
      <c r="Y10" s="66"/>
      <c r="Z10" s="51"/>
      <c r="AA10" s="66"/>
      <c r="AB10" s="51"/>
      <c r="AC10" s="55"/>
      <c r="AD10" s="2295" t="s">
        <v>2314</v>
      </c>
      <c r="AE10" s="2316"/>
      <c r="AF10" s="2295" t="s">
        <v>2314</v>
      </c>
      <c r="AG10" s="2316"/>
      <c r="AH10" s="2295" t="s">
        <v>2315</v>
      </c>
      <c r="AI10" s="2316"/>
      <c r="AJ10" s="26" t="s">
        <v>2328</v>
      </c>
      <c r="AK10" s="2313"/>
      <c r="AL10" s="2295" t="s">
        <v>2316</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t="s">
        <v>3190</v>
      </c>
      <c r="J11" s="71"/>
      <c r="K11" s="2967" t="s">
        <v>3191</v>
      </c>
      <c r="L11" s="71"/>
      <c r="M11" s="70" t="s">
        <v>3172</v>
      </c>
      <c r="N11" s="71"/>
      <c r="O11" s="70"/>
      <c r="P11" s="71"/>
      <c r="Q11" s="70"/>
      <c r="R11" s="71"/>
      <c r="S11" s="70"/>
      <c r="T11" s="71"/>
      <c r="U11" s="70"/>
      <c r="V11" s="71"/>
      <c r="W11" s="70"/>
      <c r="X11" s="71"/>
      <c r="Y11" s="70"/>
      <c r="Z11" s="71"/>
      <c r="AA11" s="70"/>
      <c r="AB11" s="71"/>
      <c r="AC11" s="55"/>
      <c r="AD11" s="2314" t="s">
        <v>2327</v>
      </c>
      <c r="AE11" s="999"/>
      <c r="AF11" s="2314" t="s">
        <v>2327</v>
      </c>
      <c r="AG11" s="999"/>
      <c r="AH11" s="2314" t="s">
        <v>2326</v>
      </c>
      <c r="AI11" s="2315"/>
      <c r="AJ11" s="2314" t="s">
        <v>2326</v>
      </c>
      <c r="AK11" s="2313"/>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c r="D13" s="2962" t="s">
        <v>1678</v>
      </c>
      <c r="E13" s="27">
        <f t="shared" ref="E13:E20" si="6">IF($C$3="是",ROUND($A$3*G13/$B$3,2),ROUND($A$3*(G13-AT13)/$B$3,2))</f>
        <v>61677.15</v>
      </c>
      <c r="F13" s="81"/>
      <c r="G13" s="82">
        <f t="shared" ref="G13:G20" si="7">H13+AC13+AT13</f>
        <v>258818.5</v>
      </c>
      <c r="H13" s="33">
        <f t="shared" ref="H13:H20" si="8">SUMIF(I$12:AB$12,"总值",I13:AB13)</f>
        <v>238122.46</v>
      </c>
      <c r="I13" s="2965">
        <f>ROUND(A1可研指标!E5,2)</f>
        <v>175210</v>
      </c>
      <c r="J13" s="2965"/>
      <c r="K13" s="2965">
        <f>ROUND(A1可研指标!E6,2)</f>
        <v>13469.99</v>
      </c>
      <c r="L13" s="2965"/>
      <c r="M13" s="2965">
        <f>ROUND(A1可研指标!E13,2)</f>
        <v>49442.47</v>
      </c>
      <c r="N13" s="83"/>
      <c r="O13" s="83"/>
      <c r="P13" s="83"/>
      <c r="Q13" s="83"/>
      <c r="R13" s="83"/>
      <c r="S13" s="83"/>
      <c r="T13" s="83"/>
      <c r="U13" s="83"/>
      <c r="V13" s="83"/>
      <c r="W13" s="83"/>
      <c r="X13" s="83"/>
      <c r="Y13" s="83"/>
      <c r="Z13" s="83"/>
      <c r="AA13" s="83"/>
      <c r="AB13" s="83"/>
      <c r="AC13" s="27">
        <f t="shared" ref="AC13:AC20" si="9">SUMIF(AD$12:AS$12,"总值",AD13:AS13)</f>
        <v>7166.04</v>
      </c>
      <c r="AD13" s="2969">
        <f>ROUND(A1可研指标!E8,0)</f>
        <v>3219</v>
      </c>
      <c r="AE13" s="2969"/>
      <c r="AF13" s="2969">
        <f>ROUND(A1可研指标!E14,0)</f>
        <v>263</v>
      </c>
      <c r="AG13" s="2969"/>
      <c r="AH13" s="2969"/>
      <c r="AI13" s="2969"/>
      <c r="AJ13" s="2969"/>
      <c r="AK13" s="2969"/>
      <c r="AL13" s="2969"/>
      <c r="AM13" s="2969"/>
      <c r="AN13" s="2969">
        <f>A1可研指标!E11</f>
        <v>3684.04</v>
      </c>
      <c r="AO13" s="2969"/>
      <c r="AP13" s="2969"/>
      <c r="AQ13" s="2969"/>
      <c r="AR13" s="2969"/>
      <c r="AS13" s="2969"/>
      <c r="AT13" s="2970">
        <f>A1可研指标!E12</f>
        <v>13530</v>
      </c>
      <c r="AU13" s="2971"/>
      <c r="AV13" s="17">
        <f t="shared" ref="AV13:AX20" si="10">A13</f>
        <v>0</v>
      </c>
      <c r="AW13" s="17">
        <f t="shared" si="10"/>
        <v>0</v>
      </c>
      <c r="AX13" s="17">
        <f t="shared" si="10"/>
        <v>0</v>
      </c>
      <c r="AY13" s="993">
        <f t="shared" ref="AY13:AY20" si="11">ROUND($AY$6*AZ13/$AZ$5,2)</f>
        <v>61677.15</v>
      </c>
      <c r="AZ13" s="27">
        <f t="shared" ref="AZ13:AZ20" si="12">BA13+BL13</f>
        <v>245288.5</v>
      </c>
      <c r="BA13" s="27">
        <f t="shared" ref="BA13:BA20" si="13">SUM(BB13:BK13)</f>
        <v>238122.46</v>
      </c>
      <c r="BB13" s="27">
        <f t="shared" ref="BB13:BB20" si="14">IF($D13="是",I13-J13,0)</f>
        <v>175210</v>
      </c>
      <c r="BC13" s="27">
        <f t="shared" ref="BC13:BC20" si="15">IF($D13="是",K13-L13,0)</f>
        <v>13469.99</v>
      </c>
      <c r="BD13" s="27">
        <f t="shared" ref="BD13:BD20" si="16">IF($D13="是",M13-N13,0)</f>
        <v>49442.47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7166.04</v>
      </c>
      <c r="BM13" s="27">
        <f t="shared" ref="BM13:BM20" si="25">IF($D13="是",AD13-AE13,0)</f>
        <v>3219</v>
      </c>
      <c r="BN13" s="27">
        <f t="shared" ref="BN13:BN20" si="26">IF($D13="是",AF13-AG13,0)</f>
        <v>263</v>
      </c>
      <c r="BO13" s="27">
        <f t="shared" ref="BO13:BO20" si="27">IF($D13="是",AH13-AI13,0)</f>
        <v>0</v>
      </c>
      <c r="BP13" s="27">
        <f t="shared" ref="BP13:BP20" si="28">IF($D13="是",AJ13-AK13,0)</f>
        <v>0</v>
      </c>
      <c r="BQ13" s="27">
        <f t="shared" ref="BQ13:BQ20" si="29">IF($D13="是",AL13-AM13,0)</f>
        <v>0</v>
      </c>
      <c r="BR13" s="27">
        <f t="shared" ref="BR13:BR20" si="30">IF($D13="是",AN13-AO13,0)</f>
        <v>3684.04</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t="s">
        <v>3173</v>
      </c>
      <c r="B16" s="2961">
        <v>61677.15</v>
      </c>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t="str">
        <f t="shared" si="10"/>
        <v>A1</v>
      </c>
      <c r="AW16" s="17">
        <f t="shared" si="10"/>
        <v>61677.15</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t="s">
        <v>3174</v>
      </c>
      <c r="B17" s="2961">
        <v>43972.49</v>
      </c>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t="str">
        <f t="shared" si="10"/>
        <v>A3</v>
      </c>
      <c r="AW17" s="17">
        <f t="shared" si="10"/>
        <v>43972.49</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75" t="s">
        <v>0</v>
      </c>
      <c r="B1" s="3675" t="s">
        <v>4</v>
      </c>
      <c r="C1" s="3675" t="s">
        <v>5</v>
      </c>
      <c r="D1" s="3676" t="s">
        <v>40</v>
      </c>
      <c r="E1" s="3676" t="s">
        <v>41</v>
      </c>
      <c r="F1" s="3676"/>
      <c r="G1" s="3676"/>
      <c r="H1" s="3676"/>
      <c r="I1" s="3676"/>
      <c r="J1" s="3676"/>
      <c r="K1" s="3676"/>
      <c r="L1" s="3676"/>
      <c r="M1" s="3676"/>
    </row>
    <row r="2" spans="1:13" ht="27" customHeight="1">
      <c r="A2" s="3675"/>
      <c r="B2" s="3675"/>
      <c r="C2" s="3675"/>
      <c r="D2" s="3676"/>
      <c r="E2" s="3676" t="s">
        <v>24</v>
      </c>
      <c r="F2" s="3676" t="s">
        <v>25</v>
      </c>
      <c r="G2" s="3676"/>
      <c r="H2" s="3676"/>
      <c r="I2" s="3676"/>
      <c r="J2" s="3676" t="s">
        <v>26</v>
      </c>
      <c r="K2" s="3676"/>
      <c r="L2" s="3676"/>
      <c r="M2" s="3676"/>
    </row>
    <row r="3" spans="1:13" ht="28.5">
      <c r="A3" s="3675"/>
      <c r="B3" s="3675"/>
      <c r="C3" s="3675"/>
      <c r="D3" s="3676"/>
      <c r="E3" s="36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76" t="s">
        <v>42</v>
      </c>
      <c r="B9" s="3676"/>
      <c r="C9" s="36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E43" sqref="E43"/>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686" t="s">
        <v>203</v>
      </c>
      <c r="B2" s="3686"/>
      <c r="C2" s="3686"/>
      <c r="D2" s="1957" t="s">
        <v>204</v>
      </c>
      <c r="E2" s="106" t="s">
        <v>205</v>
      </c>
      <c r="F2" s="1966"/>
      <c r="G2" s="1191"/>
      <c r="H2" s="1192"/>
      <c r="I2" s="1193" t="s">
        <v>857</v>
      </c>
      <c r="J2" s="1966"/>
      <c r="K2" s="1966"/>
      <c r="L2" s="1966"/>
    </row>
    <row r="3" spans="1:16" ht="15.75" thickBot="1">
      <c r="A3" s="3687" t="s">
        <v>206</v>
      </c>
      <c r="B3" s="3687"/>
      <c r="C3" s="3687"/>
      <c r="D3" s="107">
        <f>'数据-基础表'!AY6</f>
        <v>61677.15</v>
      </c>
      <c r="E3" s="107">
        <f>'数据-基础表'!AZ5</f>
        <v>245288.5</v>
      </c>
      <c r="F3" s="1966"/>
      <c r="G3" s="279" t="s">
        <v>858</v>
      </c>
      <c r="H3" s="274" t="s">
        <v>859</v>
      </c>
      <c r="I3" s="1958">
        <f>ROUND('数据-基础表'!B3/'数据-基础表'!A3,2)</f>
        <v>3.98</v>
      </c>
      <c r="J3" s="1966"/>
      <c r="K3" s="1966"/>
      <c r="L3" s="1966"/>
    </row>
    <row r="4" spans="1:16" ht="15">
      <c r="A4" s="3688"/>
      <c r="B4" s="3689"/>
      <c r="C4" s="3690"/>
      <c r="D4" s="108" t="s">
        <v>204</v>
      </c>
      <c r="E4" s="109" t="s">
        <v>205</v>
      </c>
      <c r="F4" s="1966"/>
      <c r="G4" s="1194"/>
      <c r="H4" s="274" t="s">
        <v>860</v>
      </c>
      <c r="I4" s="1958">
        <f>ROUND(SUMIF('数据-基础表'!I9:AS9,"地上",'数据-基础表'!I5:AS5)/'数据-基础表'!A3,2)</f>
        <v>3.11</v>
      </c>
      <c r="J4" s="1966"/>
      <c r="K4" s="1966"/>
      <c r="L4" s="1966"/>
    </row>
    <row r="5" spans="1:16">
      <c r="A5" s="110" t="s">
        <v>207</v>
      </c>
      <c r="B5" s="3691" t="s">
        <v>230</v>
      </c>
      <c r="C5" s="3691"/>
      <c r="D5" s="111">
        <f>ROUND($D$3*E5/$E$3,2)</f>
        <v>44056.09</v>
      </c>
      <c r="E5" s="112">
        <f>SUMIF('数据-基础表'!$11:$11,"住宅",'数据-基础表'!$5:$5)</f>
        <v>175210</v>
      </c>
      <c r="F5" s="1966"/>
      <c r="G5" s="279" t="s">
        <v>861</v>
      </c>
      <c r="H5" s="274" t="s">
        <v>859</v>
      </c>
      <c r="I5" s="1958">
        <f>ROUND(E31/D31,2)</f>
        <v>3.98</v>
      </c>
      <c r="J5" s="1966"/>
      <c r="K5" s="1966"/>
      <c r="L5" s="1966"/>
    </row>
    <row r="6" spans="1:16" ht="15" thickBot="1">
      <c r="A6" s="113"/>
      <c r="B6" s="3691" t="s">
        <v>208</v>
      </c>
      <c r="C6" s="3691"/>
      <c r="D6" s="111">
        <f>ROUND($D$3*E6/$E$3,2)</f>
        <v>17621.060000000001</v>
      </c>
      <c r="E6" s="112">
        <f>E3-E5</f>
        <v>70078.5</v>
      </c>
      <c r="F6" s="1966"/>
      <c r="G6" s="1194"/>
      <c r="H6" s="274" t="s">
        <v>860</v>
      </c>
      <c r="I6" s="1958">
        <f>ROUND(F31/D31,2)</f>
        <v>3.11</v>
      </c>
      <c r="J6" s="1966"/>
      <c r="K6" s="1966"/>
      <c r="L6" s="1966"/>
    </row>
    <row r="7" spans="1:16" ht="15">
      <c r="A7" s="3683"/>
      <c r="B7" s="3684"/>
      <c r="C7" s="3685"/>
      <c r="D7" s="108" t="s">
        <v>204</v>
      </c>
      <c r="E7" s="114" t="s">
        <v>231</v>
      </c>
      <c r="F7" s="1966"/>
      <c r="G7" s="1149" t="s">
        <v>1645</v>
      </c>
      <c r="H7" s="1150"/>
      <c r="I7" s="1828">
        <v>4</v>
      </c>
      <c r="J7" s="1966"/>
      <c r="K7" s="1966"/>
      <c r="L7" s="1966"/>
    </row>
    <row r="8" spans="1:16">
      <c r="A8" s="110" t="s">
        <v>209</v>
      </c>
      <c r="B8" s="115" t="s">
        <v>210</v>
      </c>
      <c r="C8" s="111" t="s">
        <v>211</v>
      </c>
      <c r="D8" s="111">
        <f t="shared" ref="D8:D15" si="0">ROUND($D$3*E8/$E$3,2)</f>
        <v>47443.09</v>
      </c>
      <c r="E8" s="116">
        <f>SUMIF('数据-基础表'!BB10:BK10,"地上",'数据-基础表'!BB5:BK5)</f>
        <v>188679.99</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1"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1" t="s">
        <v>2331</v>
      </c>
      <c r="D13" s="111">
        <f t="shared" si="0"/>
        <v>12432.18</v>
      </c>
      <c r="E13" s="116">
        <f>SUMPRODUCT(('数据-基础表'!BB10:BK10="地下")*('数据-基础表'!BB11:BK11="车库")*('数据-基础表'!BB5:BK5))</f>
        <v>49442.47</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59875.27</v>
      </c>
      <c r="E16" s="120">
        <f>SUM(E8:E15)</f>
        <v>238122.46</v>
      </c>
      <c r="F16" s="1966"/>
      <c r="G16" s="1968"/>
      <c r="H16" s="965" t="s">
        <v>219</v>
      </c>
      <c r="I16" s="966"/>
      <c r="J16" s="1966"/>
      <c r="K16" s="3677" t="s">
        <v>2563</v>
      </c>
      <c r="L16" s="3678"/>
      <c r="M16" s="3678"/>
      <c r="N16" s="3678"/>
      <c r="O16" s="3678"/>
      <c r="P16" s="3679"/>
    </row>
    <row r="17" spans="1:19" ht="15">
      <c r="A17" s="121" t="s">
        <v>216</v>
      </c>
      <c r="B17" s="122" t="s">
        <v>217</v>
      </c>
      <c r="C17" s="2279" t="s">
        <v>2310</v>
      </c>
      <c r="D17" s="108" t="s">
        <v>204</v>
      </c>
      <c r="E17" s="124" t="s">
        <v>205</v>
      </c>
      <c r="F17" s="125"/>
      <c r="G17" s="1359"/>
      <c r="H17" s="967" t="s">
        <v>218</v>
      </c>
      <c r="I17" s="968" t="s">
        <v>2309</v>
      </c>
      <c r="J17" s="1966"/>
      <c r="K17" s="3680" t="s">
        <v>2564</v>
      </c>
      <c r="L17" s="3681"/>
      <c r="M17" s="3682"/>
      <c r="N17" s="3680" t="s">
        <v>2565</v>
      </c>
      <c r="O17" s="3681"/>
      <c r="P17" s="3682"/>
      <c r="R17" s="2280" t="s">
        <v>2308</v>
      </c>
      <c r="S17" s="144"/>
    </row>
    <row r="18" spans="1:19" ht="15">
      <c r="A18" s="117"/>
      <c r="B18" s="128"/>
      <c r="C18" s="129"/>
      <c r="D18" s="2601"/>
      <c r="E18" s="130" t="s">
        <v>220</v>
      </c>
      <c r="F18" s="131" t="s">
        <v>221</v>
      </c>
      <c r="G18" s="1360" t="s">
        <v>222</v>
      </c>
      <c r="H18" s="969" t="s">
        <v>223</v>
      </c>
      <c r="I18" s="970" t="s">
        <v>224</v>
      </c>
      <c r="J18" s="1966"/>
      <c r="K18" s="2564" t="s">
        <v>2566</v>
      </c>
      <c r="L18" s="2565" t="s">
        <v>2567</v>
      </c>
      <c r="M18" s="2566" t="s">
        <v>2568</v>
      </c>
      <c r="N18" s="2564" t="s">
        <v>2566</v>
      </c>
      <c r="O18" s="2565" t="s">
        <v>2567</v>
      </c>
      <c r="P18" s="2566" t="s">
        <v>2568</v>
      </c>
      <c r="R18" s="2281" t="s">
        <v>2306</v>
      </c>
      <c r="S18" s="2281" t="s">
        <v>2307</v>
      </c>
    </row>
    <row r="19" spans="1:19">
      <c r="A19" s="133"/>
      <c r="B19" s="115" t="s">
        <v>225</v>
      </c>
      <c r="C19" s="2972" t="s">
        <v>3305</v>
      </c>
      <c r="D19" s="111">
        <f t="shared" ref="D19:D26" si="1">ROUND($D$3*E19/$E$3,2)</f>
        <v>44056.09</v>
      </c>
      <c r="E19" s="134">
        <f t="shared" ref="E19:E26" si="2">SUM(F19:G19)</f>
        <v>175210</v>
      </c>
      <c r="F19" s="135">
        <f>'数据-基础表'!I13</f>
        <v>175210</v>
      </c>
      <c r="G19" s="1361"/>
      <c r="H19" s="971">
        <f>ROUND($D$3*I19/$E$3,2)</f>
        <v>1557.14</v>
      </c>
      <c r="I19" s="116">
        <f>IF($I$17="自定义",P19,M19)</f>
        <v>6192.71</v>
      </c>
      <c r="J19" s="1966"/>
      <c r="K19" s="2567">
        <f t="shared" ref="K19:K26" si="3">ROUND(E$28*E19/E$27,2)</f>
        <v>2710.71</v>
      </c>
      <c r="L19" s="274">
        <f t="shared" ref="L19:L26" si="4">ROUND(IF(COUNTIF(C19,"*住宅*")&gt;0,E$29*E19/E$32,0),2)</f>
        <v>3482</v>
      </c>
      <c r="M19" s="2568">
        <f>K19+L19</f>
        <v>6192.71</v>
      </c>
      <c r="N19" s="2569"/>
      <c r="O19" s="2570"/>
      <c r="P19" s="2571">
        <f>N19+O19</f>
        <v>0</v>
      </c>
      <c r="R19" s="274">
        <f t="shared" ref="R19:S26" si="5">D19+H19</f>
        <v>45613.229999999996</v>
      </c>
      <c r="S19" s="2282">
        <f t="shared" si="5"/>
        <v>181402.71</v>
      </c>
    </row>
    <row r="20" spans="1:19">
      <c r="A20" s="138"/>
      <c r="B20" s="115" t="s">
        <v>226</v>
      </c>
      <c r="C20" s="2972" t="s">
        <v>3306</v>
      </c>
      <c r="D20" s="111">
        <f t="shared" si="1"/>
        <v>3386.99</v>
      </c>
      <c r="E20" s="134">
        <f t="shared" si="2"/>
        <v>13469.99</v>
      </c>
      <c r="F20" s="135">
        <f>'数据-基础表'!K13</f>
        <v>13469.99</v>
      </c>
      <c r="G20" s="1361"/>
      <c r="H20" s="971">
        <f t="shared" ref="H20:H26" si="6">ROUND($D$3*I20/$E$3,2)</f>
        <v>52.4</v>
      </c>
      <c r="I20" s="116">
        <f t="shared" ref="I20:I26" si="7">IF($I$17="自定义",P20,M20)</f>
        <v>208.4</v>
      </c>
      <c r="J20" s="1966"/>
      <c r="K20" s="2567">
        <f t="shared" si="3"/>
        <v>208.4</v>
      </c>
      <c r="L20" s="274">
        <f t="shared" si="4"/>
        <v>0</v>
      </c>
      <c r="M20" s="2568">
        <f t="shared" ref="M20:M26" si="8">K20+L20</f>
        <v>208.4</v>
      </c>
      <c r="N20" s="2569"/>
      <c r="O20" s="2570"/>
      <c r="P20" s="2571">
        <f t="shared" ref="P20:P26" si="9">N20+O20</f>
        <v>0</v>
      </c>
      <c r="R20" s="274">
        <f t="shared" si="5"/>
        <v>3439.39</v>
      </c>
      <c r="S20" s="2282">
        <f t="shared" si="5"/>
        <v>13678.39</v>
      </c>
    </row>
    <row r="21" spans="1:19">
      <c r="A21" s="138"/>
      <c r="B21" s="115" t="s">
        <v>226</v>
      </c>
      <c r="C21" s="2972" t="s">
        <v>3307</v>
      </c>
      <c r="D21" s="111">
        <f t="shared" si="1"/>
        <v>12432.18</v>
      </c>
      <c r="E21" s="134">
        <f t="shared" si="2"/>
        <v>49442.47</v>
      </c>
      <c r="F21" s="135"/>
      <c r="G21" s="1361">
        <f>'数据-基础表'!M13</f>
        <v>49442.47</v>
      </c>
      <c r="H21" s="971">
        <f t="shared" si="6"/>
        <v>192.34</v>
      </c>
      <c r="I21" s="116">
        <f t="shared" si="7"/>
        <v>764.93</v>
      </c>
      <c r="J21" s="1966"/>
      <c r="K21" s="2567">
        <f t="shared" si="3"/>
        <v>764.93</v>
      </c>
      <c r="L21" s="274">
        <f t="shared" si="4"/>
        <v>0</v>
      </c>
      <c r="M21" s="2568">
        <f t="shared" si="8"/>
        <v>764.93</v>
      </c>
      <c r="N21" s="2569"/>
      <c r="O21" s="2570"/>
      <c r="P21" s="2571">
        <f t="shared" si="9"/>
        <v>0</v>
      </c>
      <c r="R21" s="274">
        <f t="shared" si="5"/>
        <v>12624.52</v>
      </c>
      <c r="S21" s="2282">
        <f t="shared" si="5"/>
        <v>50207.4</v>
      </c>
    </row>
    <row r="22" spans="1:19">
      <c r="A22" s="138"/>
      <c r="B22" s="115" t="s">
        <v>226</v>
      </c>
      <c r="C22" s="1358"/>
      <c r="D22" s="111">
        <f t="shared" si="1"/>
        <v>0</v>
      </c>
      <c r="E22" s="134">
        <f t="shared" si="2"/>
        <v>0</v>
      </c>
      <c r="F22" s="140"/>
      <c r="G22" s="1362"/>
      <c r="H22" s="971">
        <f t="shared" si="6"/>
        <v>0</v>
      </c>
      <c r="I22" s="116">
        <f t="shared" si="7"/>
        <v>0</v>
      </c>
      <c r="J22" s="1966"/>
      <c r="K22" s="2567">
        <f t="shared" si="3"/>
        <v>0</v>
      </c>
      <c r="L22" s="274">
        <f t="shared" si="4"/>
        <v>0</v>
      </c>
      <c r="M22" s="2568">
        <f t="shared" si="8"/>
        <v>0</v>
      </c>
      <c r="N22" s="2569"/>
      <c r="O22" s="2570"/>
      <c r="P22" s="2571">
        <f t="shared" si="9"/>
        <v>0</v>
      </c>
      <c r="R22" s="274">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6"/>
      <c r="K23" s="2567">
        <f t="shared" si="3"/>
        <v>0</v>
      </c>
      <c r="L23" s="274">
        <f t="shared" si="4"/>
        <v>0</v>
      </c>
      <c r="M23" s="2568">
        <f t="shared" si="8"/>
        <v>0</v>
      </c>
      <c r="N23" s="2569"/>
      <c r="O23" s="2570"/>
      <c r="P23" s="2571">
        <f t="shared" si="9"/>
        <v>0</v>
      </c>
      <c r="R23" s="274">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6"/>
      <c r="K24" s="2567">
        <f t="shared" si="3"/>
        <v>0</v>
      </c>
      <c r="L24" s="274">
        <f t="shared" si="4"/>
        <v>0</v>
      </c>
      <c r="M24" s="2568">
        <f t="shared" si="8"/>
        <v>0</v>
      </c>
      <c r="N24" s="2569"/>
      <c r="O24" s="2570"/>
      <c r="P24" s="2571">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6"/>
      <c r="K25" s="2567">
        <f t="shared" si="3"/>
        <v>0</v>
      </c>
      <c r="L25" s="274">
        <f t="shared" si="4"/>
        <v>0</v>
      </c>
      <c r="M25" s="2568">
        <f t="shared" si="8"/>
        <v>0</v>
      </c>
      <c r="N25" s="2569"/>
      <c r="O25" s="2570"/>
      <c r="P25" s="2571">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6"/>
      <c r="K26" s="2572">
        <f t="shared" si="3"/>
        <v>0</v>
      </c>
      <c r="L26" s="279">
        <f t="shared" si="4"/>
        <v>0</v>
      </c>
      <c r="M26" s="146">
        <f t="shared" si="8"/>
        <v>0</v>
      </c>
      <c r="N26" s="2573"/>
      <c r="O26" s="2574"/>
      <c r="P26" s="2575">
        <f t="shared" si="9"/>
        <v>0</v>
      </c>
      <c r="R26" s="274">
        <f t="shared" si="5"/>
        <v>0</v>
      </c>
      <c r="S26" s="2282">
        <f t="shared" si="5"/>
        <v>0</v>
      </c>
    </row>
    <row r="27" spans="1:19" ht="29.25" thickBot="1">
      <c r="A27" s="138"/>
      <c r="B27" s="111"/>
      <c r="C27" s="127" t="s">
        <v>215</v>
      </c>
      <c r="D27" s="134">
        <f>SUM(D19:D26)</f>
        <v>59875.259999999995</v>
      </c>
      <c r="E27" s="143">
        <f>IF(SUM(E19:E26)='数据-基础表'!BA5,SUM(E19:E26),IF(F27="地上面积有误","面积有误","地下面积有误"))</f>
        <v>238122.46</v>
      </c>
      <c r="F27" s="134">
        <f>IF(SUM(F19:F26)=E8,SUM(F19:F26),"地上面积有误")</f>
        <v>188679.99</v>
      </c>
      <c r="G27" s="112">
        <f>SUM(G19:G26)</f>
        <v>49442.47</v>
      </c>
      <c r="H27" s="972">
        <f>SUM(H19:H26)</f>
        <v>1801.88</v>
      </c>
      <c r="I27" s="973">
        <f>SUM(I19:I26)</f>
        <v>7166.04</v>
      </c>
      <c r="J27" s="1966"/>
      <c r="K27" s="2576">
        <f t="shared" ref="K27:P27" si="10">SUM(K19:K26)</f>
        <v>3684.04</v>
      </c>
      <c r="L27" s="2577">
        <f t="shared" si="10"/>
        <v>3482</v>
      </c>
      <c r="M27" s="2578">
        <f t="shared" si="10"/>
        <v>7166.04</v>
      </c>
      <c r="N27" s="2576">
        <f t="shared" si="10"/>
        <v>0</v>
      </c>
      <c r="O27" s="2577">
        <f t="shared" si="10"/>
        <v>0</v>
      </c>
      <c r="P27" s="2579">
        <f t="shared" si="10"/>
        <v>0</v>
      </c>
      <c r="R27" s="2286" t="str">
        <f>IF(SUM(R19:R26)=$D$3,SUM(R19:R26),SUM(R19:R26)&amp;"误差"&amp;ROUND(SUM(R19:R26)-$D$3,2))</f>
        <v>61677.14误差-0.01</v>
      </c>
      <c r="S27" s="274">
        <f>IF(SUM(S19:S26)=$E$3,SUM(S19:S26),SUM(S19:S26)&amp;"误差"&amp;ROUND(SUM(S19:S26)-E3,2))</f>
        <v>245288.49999999997</v>
      </c>
    </row>
    <row r="28" spans="1:19">
      <c r="A28" s="138"/>
      <c r="B28" s="115" t="s">
        <v>227</v>
      </c>
      <c r="C28" s="136" t="s">
        <v>228</v>
      </c>
      <c r="D28" s="111">
        <f>ROUND($D$3*E28/$E$3,2)</f>
        <v>926.34</v>
      </c>
      <c r="E28" s="134">
        <f>SUM(F28:G28)</f>
        <v>3684.04</v>
      </c>
      <c r="F28" s="144">
        <f>'数据-基础表'!BQ5+'数据-基础表'!BS5</f>
        <v>0</v>
      </c>
      <c r="G28" s="145">
        <f>'数据-基础表'!BR5+'数据-基础表'!BT5</f>
        <v>3684.04</v>
      </c>
      <c r="H28" s="1966"/>
      <c r="I28" s="1966"/>
      <c r="J28" s="1966"/>
      <c r="K28" s="1966"/>
      <c r="L28" s="1966"/>
    </row>
    <row r="29" spans="1:19">
      <c r="A29" s="138"/>
      <c r="B29" s="115" t="s">
        <v>227</v>
      </c>
      <c r="C29" s="2294" t="s">
        <v>2317</v>
      </c>
      <c r="D29" s="111">
        <f>ROUND($D$3*E29/$E$3,2)</f>
        <v>875.54</v>
      </c>
      <c r="E29" s="134">
        <f>SUM(F29:G29)</f>
        <v>3482</v>
      </c>
      <c r="F29" s="144">
        <f>'数据-基础表'!BM5+'数据-基础表'!BO5</f>
        <v>3219</v>
      </c>
      <c r="G29" s="146">
        <f>'数据-基础表'!BN5+'数据-基础表'!BP5</f>
        <v>263</v>
      </c>
      <c r="H29" s="1966"/>
      <c r="I29" s="1966"/>
      <c r="J29" s="1966"/>
      <c r="K29" s="1966"/>
      <c r="L29" s="1966"/>
    </row>
    <row r="30" spans="1:19">
      <c r="A30" s="138"/>
      <c r="B30" s="111"/>
      <c r="C30" s="147" t="s">
        <v>215</v>
      </c>
      <c r="D30" s="134">
        <f>SUM(D28:D29)</f>
        <v>1801.88</v>
      </c>
      <c r="E30" s="134">
        <f>SUM(E28:E29)</f>
        <v>7166.04</v>
      </c>
      <c r="F30" s="134">
        <f>SUM(F28:F29)</f>
        <v>3219</v>
      </c>
      <c r="G30" s="112">
        <f>SUM(G28:G29)</f>
        <v>3947.04</v>
      </c>
      <c r="H30" s="1966"/>
      <c r="I30" s="1966"/>
      <c r="J30" s="1966"/>
      <c r="K30" s="1966"/>
      <c r="L30" s="1966"/>
    </row>
    <row r="31" spans="1:19" ht="32.25" customHeight="1" thickBot="1">
      <c r="A31" s="1363"/>
      <c r="B31" s="1364" t="s">
        <v>229</v>
      </c>
      <c r="C31" s="2310" t="s">
        <v>2319</v>
      </c>
      <c r="D31" s="1365">
        <f>D27+D30</f>
        <v>61677.139999999992</v>
      </c>
      <c r="E31" s="1365">
        <f>E27+E30</f>
        <v>245288.5</v>
      </c>
      <c r="F31" s="1366">
        <f>F27+F30</f>
        <v>191898.99</v>
      </c>
      <c r="G31" s="1367">
        <f>G27+G30</f>
        <v>53389.51</v>
      </c>
      <c r="H31" s="1966"/>
      <c r="I31" s="1966"/>
      <c r="J31" s="1966"/>
      <c r="K31" s="1966"/>
      <c r="L31" s="1966"/>
    </row>
    <row r="32" spans="1:19">
      <c r="A32" s="1966"/>
      <c r="B32" s="2322" t="s">
        <v>2318</v>
      </c>
      <c r="C32" s="2606"/>
      <c r="D32" s="1194"/>
      <c r="E32" s="1194">
        <f>SUMIF(C19:C26,"*住宅*",E19:E26)</f>
        <v>175210</v>
      </c>
      <c r="F32" s="1194"/>
      <c r="G32" s="1194"/>
    </row>
    <row r="33" spans="4:8">
      <c r="D33" s="1970"/>
      <c r="H33" s="1967">
        <f>G31/F31</f>
        <v>0.27821673266753516</v>
      </c>
    </row>
    <row r="34" spans="4:8">
      <c r="H34" s="1967">
        <f>F20/F31</f>
        <v>7.0193126081591159E-2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N22" sqref="N22"/>
    </sheetView>
  </sheetViews>
  <sheetFormatPr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9" style="1980"/>
    <col min="84" max="16384" width="9"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18">
        <f>项目基本情况!D3</f>
        <v>43965</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5"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2824</v>
      </c>
      <c r="O5" s="163" t="s">
        <v>246</v>
      </c>
      <c r="P5" s="165" t="s">
        <v>247</v>
      </c>
      <c r="Q5" s="166" t="s">
        <v>248</v>
      </c>
      <c r="R5" s="167" t="s">
        <v>249</v>
      </c>
      <c r="S5" s="2580" t="s">
        <v>2569</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0"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3" t="str">
        <f>'数据-汇总表'!C19</f>
        <v>住宅</v>
      </c>
      <c r="B6" s="2317" t="str">
        <f>IF(A6=0,"","经营性")</f>
        <v>经营性</v>
      </c>
      <c r="C6" s="173" t="s">
        <v>923</v>
      </c>
      <c r="D6" s="2289">
        <f>SUMIF(项目基本情况!D$15:I$15,C6,项目基本情况!D$18:I$18)</f>
        <v>70</v>
      </c>
      <c r="E6" s="2290">
        <f>IF(B6="","",SUMIF(项目基本情况!D$15:I$15,C6,项目基本情况!D$17:I$17))</f>
        <v>69217</v>
      </c>
      <c r="F6" s="174">
        <f>SUMIF(项目基本情况!D$15:I$15,C6,项目基本情况!D$19:I$19)</f>
        <v>69.180000000000007</v>
      </c>
      <c r="G6" s="175">
        <f t="shared" ref="G6:G13" si="0">IF(ISERROR(ROUND(POWER(1+H6,D6-F6)*(POWER(1+H6,F6)-1)/(POWER(1+H6,D6)-1),3)),0,ROUND(POWER(1+H6,D6-F6)*(POWER(1+H6,F6)-1)/(POWER(1+H6,D6)-1),3))</f>
        <v>0.998</v>
      </c>
      <c r="H6" s="2973">
        <v>4.4999999999999998E-2</v>
      </c>
      <c r="I6" s="2973">
        <v>0.05</v>
      </c>
      <c r="J6" s="176">
        <v>8.5000000000000006E-2</v>
      </c>
      <c r="K6" s="179">
        <f>SUMIF('数据-汇总表'!C$19:C$33,'数据-取费表'!A6,'数据-汇总表'!E$19:E$33)</f>
        <v>175210</v>
      </c>
      <c r="L6" s="3907">
        <v>2800</v>
      </c>
      <c r="M6" s="177">
        <f t="shared" ref="M6:M14" si="1">ROUND(K6*L6/10000,0)</f>
        <v>49059</v>
      </c>
      <c r="N6" s="2975">
        <v>0</v>
      </c>
      <c r="O6" s="177">
        <f>IF($N$5="成新度","——",ROUND(M6*N6,0))</f>
        <v>0</v>
      </c>
      <c r="P6" s="178">
        <f>IF($N$5="成新度","——",M6-O6)</f>
        <v>49059</v>
      </c>
      <c r="Q6" s="3908">
        <v>0.1</v>
      </c>
      <c r="R6" s="179">
        <f>SUMIF('数据-汇总表'!C$19:C$33,A6,'数据-汇总表'!R$19:R$33)</f>
        <v>45613.229999999996</v>
      </c>
      <c r="S6" s="132">
        <f>IF('数据-汇总表'!$I$17="按面积比例",SUMIF('数据-汇总表'!C$19:C$33,A6,'数据-汇总表'!K$19:K$33),SUMIF('数据-汇总表'!C$19:C$33,A6,'数据-汇总表'!N$19:N$33))</f>
        <v>2710.71</v>
      </c>
      <c r="T6" s="3461">
        <f>IF($T$4="按面积比例",IF(ISERROR(ROUND($M$14*S6/S$16,0)),"0",ROUND($M$14*S6/S$16,0)),"需自行计算录入")</f>
        <v>542</v>
      </c>
      <c r="U6" s="180"/>
      <c r="V6" s="181"/>
      <c r="W6" s="181"/>
      <c r="X6" s="2301"/>
      <c r="Y6" s="182"/>
      <c r="Z6" s="183"/>
      <c r="AA6" s="176"/>
      <c r="AB6" s="176"/>
      <c r="AC6" s="2304"/>
      <c r="AD6" s="184"/>
      <c r="AE6" s="969">
        <f ca="1">IF(AN6="",0,SUMIF(INDIRECT("'"&amp;AN6&amp;"'"&amp;"!E:E"),$AE$5,INDIRECT("'"&amp;AN6&amp;"'"&amp;"!F:F")))</f>
        <v>0</v>
      </c>
      <c r="AF6" s="141"/>
      <c r="AG6" s="1206">
        <f>IF(AF6="",0,AE6-AF6)</f>
        <v>0</v>
      </c>
      <c r="AH6" s="141"/>
      <c r="AI6" s="187"/>
      <c r="AJ6" s="188"/>
      <c r="AK6" s="189"/>
      <c r="AL6" s="190"/>
      <c r="AM6" s="2987"/>
      <c r="AN6" s="2351"/>
      <c r="AO6" s="1982"/>
      <c r="AP6" s="1197">
        <f>ROUND(1-1/(1+H6)^F6,3)</f>
        <v>0.95199999999999996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3" t="str">
        <f>'数据-汇总表'!C20</f>
        <v>商业</v>
      </c>
      <c r="B7" s="2317" t="str">
        <f t="shared" ref="B7:B13" si="2">IF(A7=0,"","经营性")</f>
        <v>经营性</v>
      </c>
      <c r="C7" s="173" t="s">
        <v>3122</v>
      </c>
      <c r="D7" s="2289">
        <f>SUMIF(项目基本情况!D$15:I$15,C7,项目基本情况!D$18:I$18)</f>
        <v>40</v>
      </c>
      <c r="E7" s="2290">
        <f>IF(B7="","",SUMIF(项目基本情况!D$15:I$15,C7,项目基本情况!D$17:I$17))</f>
        <v>58259</v>
      </c>
      <c r="F7" s="174">
        <f>SUMIF(项目基本情况!D$15:I$15,C7,项目基本情况!D$19:I$19)</f>
        <v>39.159999999999997</v>
      </c>
      <c r="G7" s="175">
        <f t="shared" si="0"/>
        <v>0.99299999999999999</v>
      </c>
      <c r="H7" s="2973">
        <v>0.05</v>
      </c>
      <c r="I7" s="2973">
        <v>5.5E-2</v>
      </c>
      <c r="J7" s="176">
        <v>8.5000000000000006E-2</v>
      </c>
      <c r="K7" s="179">
        <f>SUMIF('数据-汇总表'!C$19:C$33,'数据-取费表'!A7,'数据-汇总表'!E$19:E$33)</f>
        <v>13469.99</v>
      </c>
      <c r="L7" s="2974">
        <v>2000</v>
      </c>
      <c r="M7" s="177">
        <f t="shared" si="1"/>
        <v>2694</v>
      </c>
      <c r="N7" s="2975">
        <v>0</v>
      </c>
      <c r="O7" s="177">
        <f t="shared" ref="O7:O14" si="3">IF($N$5="成新度","——",ROUND(M7*N7,0))</f>
        <v>0</v>
      </c>
      <c r="P7" s="178">
        <f t="shared" ref="P7:P14" si="4">IF($N$5="成新度","——",M7-O7)</f>
        <v>2694</v>
      </c>
      <c r="Q7" s="3908">
        <v>0.15</v>
      </c>
      <c r="R7" s="179">
        <f>SUMIF('数据-汇总表'!C$19:C$33,A7,'数据-汇总表'!R$19:R$33)</f>
        <v>3439.39</v>
      </c>
      <c r="S7" s="132">
        <f>IF('数据-汇总表'!$I$17="按面积比例",SUMIF('数据-汇总表'!C$19:C$33,A7,'数据-汇总表'!K$19:K$33),SUMIF('数据-汇总表'!C$19:C$33,A7,'数据-汇总表'!N$19:N$33))</f>
        <v>208.4</v>
      </c>
      <c r="T7" s="3461">
        <f t="shared" ref="T7:T13" si="5">IF($T$4="按面积比例",IF(ISERROR(ROUND($M$14*S7/S$16,0)),"0",ROUND($M$14*S7/S$16,0)),"需自行计算录入")</f>
        <v>42</v>
      </c>
      <c r="U7" s="180">
        <v>2</v>
      </c>
      <c r="V7" s="181">
        <v>0.03</v>
      </c>
      <c r="W7" s="181">
        <v>0.1</v>
      </c>
      <c r="X7" s="2301"/>
      <c r="Y7" s="182">
        <v>1</v>
      </c>
      <c r="Z7" s="183"/>
      <c r="AA7" s="176"/>
      <c r="AB7" s="176"/>
      <c r="AC7" s="2304"/>
      <c r="AD7" s="184"/>
      <c r="AE7" s="969">
        <f t="shared" ref="AE7:AE13" ca="1" si="6">IF(AN7="",0,SUMIF(INDIRECT("'"&amp;AN7&amp;"'"&amp;"!E:E"),$AE$5,INDIRECT("'"&amp;AN7&amp;"'"&amp;"!F:F")))</f>
        <v>37.159999999999997</v>
      </c>
      <c r="AF7" s="141"/>
      <c r="AG7" s="1206">
        <f t="shared" ref="AG7:AG13" si="7">IF(AF7="",0,AE7-AF7)</f>
        <v>0</v>
      </c>
      <c r="AH7" s="141"/>
      <c r="AI7" s="187">
        <v>365</v>
      </c>
      <c r="AJ7" s="188"/>
      <c r="AK7" s="189">
        <v>1.4999999999999999E-2</v>
      </c>
      <c r="AL7" s="190">
        <v>1.5E-3</v>
      </c>
      <c r="AM7" s="2349">
        <v>0.01</v>
      </c>
      <c r="AN7" s="2351" t="s">
        <v>3309</v>
      </c>
      <c r="AO7" s="1982"/>
      <c r="AP7" s="1197">
        <f t="shared" ref="AP7:AP13" si="8">ROUND(1-1/(1+H7)^F7,3)</f>
        <v>0.85199999999999998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3" t="str">
        <f>'数据-汇总表'!C21</f>
        <v>车库</v>
      </c>
      <c r="B8" s="2317" t="str">
        <f t="shared" si="2"/>
        <v>经营性</v>
      </c>
      <c r="C8" s="173" t="s">
        <v>3172</v>
      </c>
      <c r="D8" s="2289">
        <f>SUMIF(项目基本情况!D$15:I$15,C8,项目基本情况!D$18:I$18)</f>
        <v>50</v>
      </c>
      <c r="E8" s="2290">
        <f>IF(B8="","",SUMIF(项目基本情况!D$15:I$15,C8,项目基本情况!D$17:I$17))</f>
        <v>61912</v>
      </c>
      <c r="F8" s="174">
        <f>SUMIF(项目基本情况!D$15:I$15,C8,项目基本情况!D$19:I$19)</f>
        <v>49.16</v>
      </c>
      <c r="G8" s="175">
        <f t="shared" si="0"/>
        <v>0.995</v>
      </c>
      <c r="H8" s="2973">
        <v>4.4999999999999998E-2</v>
      </c>
      <c r="I8" s="2973">
        <v>0.05</v>
      </c>
      <c r="J8" s="176">
        <v>8.5000000000000006E-2</v>
      </c>
      <c r="K8" s="179">
        <f>SUMIF('数据-汇总表'!C$19:C$33,'数据-取费表'!A8,'数据-汇总表'!E$19:E$33)</f>
        <v>49442.47</v>
      </c>
      <c r="L8" s="2974">
        <f>L7</f>
        <v>2000</v>
      </c>
      <c r="M8" s="177">
        <f>ROUND(K8*L8/10000,0)</f>
        <v>9888</v>
      </c>
      <c r="N8" s="2975">
        <v>0</v>
      </c>
      <c r="O8" s="177">
        <f t="shared" si="3"/>
        <v>0</v>
      </c>
      <c r="P8" s="178">
        <f t="shared" si="4"/>
        <v>9888</v>
      </c>
      <c r="Q8" s="2976">
        <v>0.05</v>
      </c>
      <c r="R8" s="179">
        <f>SUMIF('数据-汇总表'!C$19:C$33,A8,'数据-汇总表'!R$19:R$33)</f>
        <v>12624.52</v>
      </c>
      <c r="S8" s="132">
        <f>IF('数据-汇总表'!$I$17="按面积比例",SUMIF('数据-汇总表'!C$19:C$33,A8,'数据-汇总表'!K$19:K$33),SUMIF('数据-汇总表'!C$19:C$33,A8,'数据-汇总表'!N$19:N$33))</f>
        <v>764.93</v>
      </c>
      <c r="T8" s="3461">
        <f t="shared" si="5"/>
        <v>153</v>
      </c>
      <c r="U8" s="180">
        <v>400</v>
      </c>
      <c r="V8" s="181">
        <v>0.02</v>
      </c>
      <c r="W8" s="181">
        <v>0.1</v>
      </c>
      <c r="X8" s="2301"/>
      <c r="Y8" s="182">
        <v>1</v>
      </c>
      <c r="Z8" s="183"/>
      <c r="AA8" s="176"/>
      <c r="AB8" s="176"/>
      <c r="AC8" s="2304"/>
      <c r="AD8" s="184"/>
      <c r="AE8" s="969">
        <f t="shared" ca="1" si="6"/>
        <v>47.16</v>
      </c>
      <c r="AF8" s="141"/>
      <c r="AG8" s="1206">
        <f t="shared" si="7"/>
        <v>0</v>
      </c>
      <c r="AH8" s="141">
        <f>A1可研指标!E19</f>
        <v>1510</v>
      </c>
      <c r="AI8" s="187">
        <v>12</v>
      </c>
      <c r="AJ8" s="188"/>
      <c r="AK8" s="189">
        <v>1.4999999999999999E-2</v>
      </c>
      <c r="AL8" s="190">
        <v>1.5E-3</v>
      </c>
      <c r="AM8" s="2349">
        <v>0.01</v>
      </c>
      <c r="AN8" s="2351" t="s">
        <v>3315</v>
      </c>
      <c r="AO8" s="1982"/>
      <c r="AP8" s="1197">
        <f t="shared" si="8"/>
        <v>0.88500000000000001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3">
        <f>'数据-汇总表'!C22</f>
        <v>0</v>
      </c>
      <c r="B9" s="2317"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3462">
        <f t="shared" si="5"/>
        <v>0</v>
      </c>
      <c r="U9" s="180"/>
      <c r="V9" s="181"/>
      <c r="W9" s="181"/>
      <c r="X9" s="2301"/>
      <c r="Y9" s="182"/>
      <c r="Z9" s="183"/>
      <c r="AA9" s="176"/>
      <c r="AB9" s="176"/>
      <c r="AC9" s="2304"/>
      <c r="AD9" s="184"/>
      <c r="AE9" s="969">
        <f t="shared" ca="1" si="6"/>
        <v>0</v>
      </c>
      <c r="AF9" s="141"/>
      <c r="AG9" s="1206">
        <f t="shared" si="7"/>
        <v>0</v>
      </c>
      <c r="AH9" s="141"/>
      <c r="AI9" s="187"/>
      <c r="AJ9" s="188"/>
      <c r="AK9" s="189"/>
      <c r="AL9" s="190"/>
      <c r="AM9" s="2349"/>
      <c r="AN9" s="2351"/>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3">
        <f>'数据-汇总表'!C23</f>
        <v>0</v>
      </c>
      <c r="B10" s="2317"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3462">
        <f t="shared" si="5"/>
        <v>0</v>
      </c>
      <c r="U10" s="180"/>
      <c r="V10" s="181"/>
      <c r="W10" s="181"/>
      <c r="X10" s="2301"/>
      <c r="Y10" s="182"/>
      <c r="Z10" s="183"/>
      <c r="AA10" s="176"/>
      <c r="AB10" s="176"/>
      <c r="AC10" s="2304"/>
      <c r="AD10" s="184"/>
      <c r="AE10" s="969">
        <f t="shared" ca="1" si="6"/>
        <v>0</v>
      </c>
      <c r="AF10" s="141"/>
      <c r="AG10" s="1206">
        <f t="shared" si="7"/>
        <v>0</v>
      </c>
      <c r="AH10" s="141"/>
      <c r="AI10" s="187"/>
      <c r="AJ10" s="188"/>
      <c r="AK10" s="189"/>
      <c r="AL10" s="190"/>
      <c r="AM10" s="2349"/>
      <c r="AN10" s="2351"/>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3">
        <f>'数据-汇总表'!C24</f>
        <v>0</v>
      </c>
      <c r="B11" s="2317"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3462">
        <f t="shared" si="5"/>
        <v>0</v>
      </c>
      <c r="U11" s="185"/>
      <c r="V11" s="176"/>
      <c r="W11" s="176"/>
      <c r="X11" s="2304"/>
      <c r="Y11" s="182"/>
      <c r="Z11" s="195"/>
      <c r="AA11" s="176"/>
      <c r="AB11" s="176"/>
      <c r="AC11" s="2304"/>
      <c r="AD11" s="184"/>
      <c r="AE11" s="969">
        <f t="shared" ca="1" si="6"/>
        <v>0</v>
      </c>
      <c r="AF11" s="141"/>
      <c r="AG11" s="1206">
        <f t="shared" si="7"/>
        <v>0</v>
      </c>
      <c r="AH11" s="141"/>
      <c r="AI11" s="187"/>
      <c r="AJ11" s="188"/>
      <c r="AK11" s="196"/>
      <c r="AL11" s="197"/>
      <c r="AM11" s="1799"/>
      <c r="AN11" s="2351"/>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3">
        <f>'数据-汇总表'!C25</f>
        <v>0</v>
      </c>
      <c r="B12" s="2317"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3462">
        <f t="shared" si="5"/>
        <v>0</v>
      </c>
      <c r="U12" s="185"/>
      <c r="V12" s="176"/>
      <c r="W12" s="176"/>
      <c r="X12" s="2304"/>
      <c r="Y12" s="182"/>
      <c r="Z12" s="195"/>
      <c r="AA12" s="176"/>
      <c r="AB12" s="176"/>
      <c r="AC12" s="2304"/>
      <c r="AD12" s="184"/>
      <c r="AE12" s="969">
        <f t="shared" ca="1" si="6"/>
        <v>0</v>
      </c>
      <c r="AF12" s="141"/>
      <c r="AG12" s="1206">
        <f t="shared" si="7"/>
        <v>0</v>
      </c>
      <c r="AH12" s="141"/>
      <c r="AI12" s="187"/>
      <c r="AJ12" s="188"/>
      <c r="AK12" s="196"/>
      <c r="AL12" s="197"/>
      <c r="AM12" s="1799"/>
      <c r="AN12" s="2351"/>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3">
        <f>'数据-汇总表'!C26</f>
        <v>0</v>
      </c>
      <c r="B13" s="2317"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3462">
        <f t="shared" si="5"/>
        <v>0</v>
      </c>
      <c r="U13" s="180"/>
      <c r="V13" s="181"/>
      <c r="W13" s="181"/>
      <c r="X13" s="2301"/>
      <c r="Y13" s="182"/>
      <c r="Z13" s="183"/>
      <c r="AA13" s="176"/>
      <c r="AB13" s="176"/>
      <c r="AC13" s="2304"/>
      <c r="AD13" s="184"/>
      <c r="AE13" s="969">
        <f t="shared" ca="1" si="6"/>
        <v>0</v>
      </c>
      <c r="AF13" s="141"/>
      <c r="AG13" s="1206">
        <f t="shared" si="7"/>
        <v>0</v>
      </c>
      <c r="AH13" s="141"/>
      <c r="AI13" s="187"/>
      <c r="AJ13" s="188"/>
      <c r="AK13" s="189"/>
      <c r="AL13" s="190"/>
      <c r="AM13" s="2349"/>
      <c r="AN13" s="2351"/>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4" t="s">
        <v>2311</v>
      </c>
      <c r="B14" s="2287" t="s">
        <v>1679</v>
      </c>
      <c r="C14" s="2288" t="s">
        <v>2311</v>
      </c>
      <c r="D14" s="2289"/>
      <c r="E14" s="2290"/>
      <c r="F14" s="174"/>
      <c r="G14" s="175"/>
      <c r="H14" s="2291"/>
      <c r="I14" s="2291"/>
      <c r="J14" s="2291"/>
      <c r="K14" s="179">
        <f>SUMIF('数据-汇总表'!C$19:C$33,'数据-取费表'!A14,'数据-汇总表'!E$19:E$33)</f>
        <v>3684.04</v>
      </c>
      <c r="L14" s="193">
        <f>L7</f>
        <v>2000</v>
      </c>
      <c r="M14" s="177">
        <f t="shared" si="1"/>
        <v>737</v>
      </c>
      <c r="N14" s="194">
        <v>0</v>
      </c>
      <c r="O14" s="177">
        <f t="shared" si="3"/>
        <v>0</v>
      </c>
      <c r="P14" s="178">
        <f t="shared" si="4"/>
        <v>737</v>
      </c>
      <c r="Q14" s="2298"/>
      <c r="R14" s="179"/>
      <c r="S14" s="132"/>
      <c r="T14" s="971"/>
      <c r="U14" s="971"/>
      <c r="V14" s="2300"/>
      <c r="W14" s="2300"/>
      <c r="X14" s="2301"/>
      <c r="Y14" s="2302"/>
      <c r="Z14" s="136"/>
      <c r="AA14" s="2303"/>
      <c r="AB14" s="2303"/>
      <c r="AC14" s="2304"/>
      <c r="AD14" s="2301"/>
      <c r="AE14" s="969"/>
      <c r="AF14" s="2277"/>
      <c r="AG14" s="1206"/>
      <c r="AH14" s="2277"/>
      <c r="AI14" s="1555"/>
      <c r="AJ14" s="1555"/>
      <c r="AK14" s="2305"/>
      <c r="AL14" s="2306"/>
      <c r="AM14" s="2307"/>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3" t="s">
        <v>2313</v>
      </c>
      <c r="B15" s="2287" t="s">
        <v>1679</v>
      </c>
      <c r="C15" s="2288" t="s">
        <v>2312</v>
      </c>
      <c r="D15" s="2289"/>
      <c r="E15" s="2290"/>
      <c r="F15" s="174"/>
      <c r="G15" s="175"/>
      <c r="H15" s="2291"/>
      <c r="I15" s="2291"/>
      <c r="J15" s="2291"/>
      <c r="K15" s="179">
        <f>SUMIF('数据-汇总表'!C$19:C$33,'数据-取费表'!A15,'数据-汇总表'!E$19:E$33)</f>
        <v>3482</v>
      </c>
      <c r="L15" s="2297"/>
      <c r="M15" s="177"/>
      <c r="N15" s="2299"/>
      <c r="O15" s="177"/>
      <c r="P15" s="178"/>
      <c r="Q15" s="2298"/>
      <c r="R15" s="179"/>
      <c r="S15" s="132"/>
      <c r="T15" s="971"/>
      <c r="U15" s="971"/>
      <c r="V15" s="2300"/>
      <c r="W15" s="2300"/>
      <c r="X15" s="2301"/>
      <c r="Y15" s="2302"/>
      <c r="Z15" s="136"/>
      <c r="AA15" s="2303"/>
      <c r="AB15" s="2303"/>
      <c r="AC15" s="2304"/>
      <c r="AD15" s="2301"/>
      <c r="AE15" s="969"/>
      <c r="AF15" s="2277"/>
      <c r="AG15" s="1206"/>
      <c r="AH15" s="2277"/>
      <c r="AI15" s="1555"/>
      <c r="AJ15" s="1555"/>
      <c r="AK15" s="2305"/>
      <c r="AL15" s="2306"/>
      <c r="AM15" s="2307"/>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245288.5</v>
      </c>
      <c r="L16" s="206">
        <f>ROUND(M16*10000/SUM(K6:K14),0)</f>
        <v>2580</v>
      </c>
      <c r="M16" s="206">
        <f>SUM(M6:M14)</f>
        <v>62378</v>
      </c>
      <c r="N16" s="207">
        <f>ROUND(SUMPRODUCT(M6:M14,N6:N14)/M16,3)</f>
        <v>0</v>
      </c>
      <c r="O16" s="206">
        <f>SUM(O6:O14)</f>
        <v>0</v>
      </c>
      <c r="P16" s="206">
        <f>SUM(P6:P14)</f>
        <v>62378</v>
      </c>
      <c r="Q16" s="208">
        <f>ROUND(SUMPRODUCT(Q6:Q13,K6:K13)/SUMPRODUCT((Q6:Q13&gt;0)*(K6:K13)),2)</f>
        <v>0.09</v>
      </c>
      <c r="R16" s="2292">
        <f>SUM(R6:R13)</f>
        <v>61677.14</v>
      </c>
      <c r="S16" s="209">
        <f>SUM(S6:S13)</f>
        <v>3684.04</v>
      </c>
      <c r="T16" s="210">
        <f>IF(SUMIF(T6:T13,"&lt;9E307")=M14,SUMIF(T6:T13,"&lt;9E307"),"有误，请检查")</f>
        <v>737</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7">
        <f>ROUND(SUMPRODUCT(AP6:AP13,K6:K13)/SUMPRODUCT((AP6:AP13&gt;0)*(K6:K13)),3)</f>
        <v>0.93200000000000005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3" t="s">
        <v>2333</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3" t="s">
        <v>2332</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6" t="s">
        <v>2335</v>
      </c>
      <c r="B27" s="227">
        <v>80</v>
      </c>
      <c r="C27" s="2326" t="s">
        <v>2339</v>
      </c>
      <c r="D27" s="1978"/>
      <c r="E27" s="3453" t="s">
        <v>3308</v>
      </c>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8" t="s">
        <v>2336</v>
      </c>
      <c r="B28" s="229">
        <v>160</v>
      </c>
      <c r="C28" s="2325"/>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1" t="s">
        <v>2334</v>
      </c>
      <c r="B29" s="3905"/>
      <c r="C29" s="1536"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5"/>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8" t="s">
        <v>274</v>
      </c>
      <c r="B31" s="230">
        <f>B30-B32</f>
        <v>100</v>
      </c>
      <c r="C31" s="2326"/>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100</v>
      </c>
      <c r="C32" s="2325"/>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6" t="s">
        <v>278</v>
      </c>
      <c r="B33" s="1372">
        <v>0.03</v>
      </c>
      <c r="C33" s="2324"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2">
        <v>0.05</v>
      </c>
      <c r="C34" s="2324" t="s">
        <v>2888</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4"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4" t="s">
        <v>2890</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4"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2">
        <v>0.02</v>
      </c>
      <c r="C38" s="2324"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48" t="s">
        <v>2453</v>
      </c>
      <c r="B39" s="799">
        <f ca="1">存贷款利率!C4</f>
        <v>1.4999999999999999E-2</v>
      </c>
      <c r="C39" s="2324"/>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48" t="s">
        <v>2454</v>
      </c>
      <c r="B40" s="2440">
        <f ca="1">存贷款利率!E2</f>
        <v>4.7500000000000001E-2</v>
      </c>
      <c r="C40" s="2324"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6"/>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6.000000000000001E-3</v>
      </c>
      <c r="C43" s="2326"/>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4"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6"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6"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1"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2"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5"/>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5"/>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6</v>
      </c>
      <c r="C52" s="2325"/>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1096</v>
      </c>
      <c r="C53" s="3023" t="s">
        <v>2898</v>
      </c>
      <c r="D53" s="3024"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2900</v>
      </c>
      <c r="B54" s="186">
        <v>6</v>
      </c>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2901</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2902</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2903</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2904</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2905</v>
      </c>
      <c r="B59" s="186"/>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2909</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692" t="s">
        <v>1663</v>
      </c>
      <c r="B1" s="3693"/>
      <c r="C1" s="3693"/>
      <c r="D1" s="3693"/>
      <c r="E1" s="3693"/>
      <c r="F1" s="3693"/>
      <c r="G1" s="3693"/>
      <c r="H1" s="1984"/>
      <c r="I1" s="1985"/>
      <c r="J1" s="1986"/>
      <c r="K1" s="1984"/>
      <c r="L1" s="1985"/>
      <c r="M1" s="1986"/>
      <c r="N1" s="1984"/>
      <c r="O1" s="1985"/>
      <c r="P1" s="1986"/>
      <c r="Q1" s="1987"/>
      <c r="R1" s="1988"/>
    </row>
    <row r="2" spans="1:18" ht="14.25" thickBot="1">
      <c r="A2" s="1214"/>
      <c r="B2" s="1215"/>
      <c r="C2" s="1216" t="s">
        <v>1664</v>
      </c>
      <c r="D2" s="1217"/>
      <c r="E2" s="1218"/>
      <c r="F2" s="1219"/>
      <c r="G2" s="1216" t="s">
        <v>1665</v>
      </c>
      <c r="H2" s="1990"/>
      <c r="I2" s="1990"/>
      <c r="J2" s="1990"/>
      <c r="K2" s="1990"/>
      <c r="L2" s="1990"/>
      <c r="M2" s="1990"/>
      <c r="N2" s="1990"/>
      <c r="O2" s="1990"/>
      <c r="P2" s="1990"/>
      <c r="Q2" s="1990"/>
      <c r="R2" s="1990"/>
    </row>
    <row r="3" spans="1:18" ht="54">
      <c r="A3" s="1220" t="s">
        <v>1666</v>
      </c>
      <c r="B3" s="1221" t="s">
        <v>1653</v>
      </c>
      <c r="C3" s="3028" t="s">
        <v>2916</v>
      </c>
      <c r="D3" s="1991"/>
      <c r="E3" s="1222" t="s">
        <v>1666</v>
      </c>
      <c r="F3" s="1223" t="s">
        <v>1654</v>
      </c>
      <c r="G3" s="3032" t="s">
        <v>2915</v>
      </c>
      <c r="H3" s="1990"/>
      <c r="I3" s="1990"/>
      <c r="J3" s="1990"/>
      <c r="K3" s="1990"/>
      <c r="L3" s="1990"/>
      <c r="M3" s="1990"/>
      <c r="N3" s="1990"/>
      <c r="O3" s="1990"/>
      <c r="P3" s="1990"/>
      <c r="Q3" s="1990"/>
      <c r="R3" s="1990"/>
    </row>
    <row r="4" spans="1:18" ht="41.25">
      <c r="A4" s="1222"/>
      <c r="B4" s="1224" t="s">
        <v>1667</v>
      </c>
      <c r="C4" s="3029" t="s">
        <v>2917</v>
      </c>
      <c r="D4" s="1991"/>
      <c r="E4" s="1225"/>
      <c r="F4" s="1226" t="s">
        <v>1668</v>
      </c>
      <c r="G4" s="3030" t="s">
        <v>2912</v>
      </c>
      <c r="H4" s="1990"/>
      <c r="I4" s="1990"/>
      <c r="J4" s="1990"/>
      <c r="K4" s="1990"/>
      <c r="L4" s="1990"/>
      <c r="M4" s="1990"/>
      <c r="N4" s="1990"/>
      <c r="O4" s="1990"/>
      <c r="P4" s="1990"/>
      <c r="Q4" s="1990"/>
      <c r="R4" s="1990"/>
    </row>
    <row r="5" spans="1:18" ht="41.25">
      <c r="A5" s="1222"/>
      <c r="B5" s="1224" t="s">
        <v>1669</v>
      </c>
      <c r="C5" s="3029" t="s">
        <v>2918</v>
      </c>
      <c r="D5" s="1991"/>
      <c r="E5" s="1225"/>
      <c r="F5" s="1224" t="s">
        <v>2543</v>
      </c>
      <c r="G5" s="3030" t="s">
        <v>2913</v>
      </c>
      <c r="H5" s="1990"/>
      <c r="I5" s="1990"/>
      <c r="J5" s="1990"/>
      <c r="K5" s="1990"/>
      <c r="L5" s="1990"/>
      <c r="M5" s="1990"/>
      <c r="N5" s="1990"/>
      <c r="O5" s="1990"/>
      <c r="P5" s="1990"/>
      <c r="Q5" s="1990"/>
      <c r="R5" s="1990"/>
    </row>
    <row r="6" spans="1:18" ht="54">
      <c r="A6" s="1222"/>
      <c r="B6" s="1224" t="s">
        <v>1655</v>
      </c>
      <c r="C6" s="3030" t="s">
        <v>2912</v>
      </c>
      <c r="D6" s="1991"/>
      <c r="E6" s="1225"/>
      <c r="F6" s="1224" t="s">
        <v>2544</v>
      </c>
      <c r="G6" s="3030" t="s">
        <v>2910</v>
      </c>
      <c r="H6" s="1990"/>
      <c r="I6" s="1990"/>
      <c r="J6" s="1990"/>
      <c r="K6" s="1990"/>
      <c r="L6" s="1990"/>
      <c r="M6" s="1990"/>
      <c r="N6" s="1990"/>
      <c r="O6" s="1990"/>
      <c r="P6" s="1990"/>
      <c r="Q6" s="1990"/>
      <c r="R6" s="1990"/>
    </row>
    <row r="7" spans="1:18" ht="41.25" thickBot="1">
      <c r="A7" s="1222"/>
      <c r="B7" s="1224" t="s">
        <v>2543</v>
      </c>
      <c r="C7" s="3030" t="s">
        <v>2913</v>
      </c>
      <c r="D7" s="1992"/>
      <c r="E7" s="1227"/>
      <c r="F7" s="1228" t="s">
        <v>1670</v>
      </c>
      <c r="G7" s="3033" t="s">
        <v>2914</v>
      </c>
      <c r="H7" s="1990"/>
      <c r="I7" s="1990"/>
      <c r="J7" s="1990"/>
      <c r="K7" s="1990"/>
      <c r="L7" s="1990"/>
      <c r="M7" s="1990"/>
      <c r="N7" s="1990"/>
      <c r="O7" s="1990"/>
      <c r="P7" s="1990"/>
      <c r="Q7" s="1990"/>
      <c r="R7" s="1990"/>
    </row>
    <row r="8" spans="1:18" ht="27">
      <c r="A8" s="1222"/>
      <c r="B8" s="1224" t="s">
        <v>2544</v>
      </c>
      <c r="C8" s="3030" t="s">
        <v>2910</v>
      </c>
      <c r="D8" s="1992"/>
      <c r="E8" s="1992"/>
      <c r="F8" s="1537"/>
      <c r="G8" s="1537"/>
      <c r="H8" s="1990"/>
      <c r="I8" s="1990"/>
      <c r="J8" s="1990"/>
      <c r="K8" s="1990"/>
      <c r="L8" s="1990"/>
      <c r="M8" s="1990"/>
      <c r="N8" s="1990"/>
      <c r="O8" s="1990"/>
      <c r="P8" s="1990"/>
      <c r="Q8" s="1990"/>
      <c r="R8" s="1990"/>
    </row>
    <row r="9" spans="1:18" ht="40.5">
      <c r="A9" s="1222"/>
      <c r="B9" s="1224" t="s">
        <v>1656</v>
      </c>
      <c r="C9" s="3029" t="s">
        <v>2911</v>
      </c>
      <c r="D9" s="1991"/>
      <c r="E9" s="1992"/>
      <c r="F9" s="1537"/>
      <c r="G9" s="1537"/>
      <c r="H9" s="1990"/>
      <c r="I9" s="1990"/>
      <c r="J9" s="1990"/>
      <c r="K9" s="1990"/>
      <c r="L9" s="1990"/>
      <c r="M9" s="1990"/>
      <c r="N9" s="1990"/>
      <c r="O9" s="1990"/>
      <c r="P9" s="1990"/>
      <c r="Q9" s="1990"/>
      <c r="R9" s="1990"/>
    </row>
    <row r="10" spans="1:18" s="1998" customFormat="1" ht="15" thickBot="1">
      <c r="A10" s="1229"/>
      <c r="B10" s="1230" t="s">
        <v>1671</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7"/>
      <c r="E12" s="1991"/>
      <c r="F12" s="1992"/>
      <c r="G12" s="1994"/>
      <c r="H12" s="1999"/>
      <c r="I12" s="2000"/>
      <c r="J12" s="1999"/>
      <c r="K12" s="1999"/>
      <c r="L12" s="2001"/>
      <c r="M12" s="1999"/>
      <c r="N12" s="2002"/>
      <c r="O12" s="2003"/>
      <c r="P12" s="2004"/>
      <c r="Q12" s="2002"/>
      <c r="R12" s="1988"/>
    </row>
    <row r="13" spans="1:18" ht="19.5" thickBot="1">
      <c r="A13" s="2536" t="s">
        <v>1672</v>
      </c>
      <c r="B13" s="2537"/>
      <c r="C13" s="2537"/>
      <c r="D13" s="1217"/>
      <c r="E13" s="2537"/>
      <c r="F13" s="2537"/>
      <c r="G13" s="2537"/>
    </row>
    <row r="14" spans="1:18" ht="14.25" thickBot="1">
      <c r="A14" s="1231"/>
      <c r="B14" s="1232"/>
      <c r="C14" s="1233" t="s">
        <v>1664</v>
      </c>
      <c r="D14" s="1991"/>
      <c r="E14" s="1234"/>
      <c r="F14" s="1234"/>
      <c r="G14" s="1216" t="s">
        <v>1665</v>
      </c>
    </row>
    <row r="15" spans="1:18" ht="54">
      <c r="A15" s="2547" t="s">
        <v>1657</v>
      </c>
      <c r="B15" s="1235" t="s">
        <v>1653</v>
      </c>
      <c r="C15" s="1236" t="str">
        <f>C3</f>
        <v>估价对象周边居住用地比例、居住小区规模和社区发展完善程度，综合评价居住社区成熟度一般</v>
      </c>
      <c r="D15" s="1991"/>
      <c r="E15" s="2544" t="s">
        <v>1658</v>
      </c>
      <c r="F15" s="1235" t="s">
        <v>1673</v>
      </c>
      <c r="G15" s="1237" t="str">
        <f>G3</f>
        <v>估价对象位于XX开发区，园区建设成熟度XX，产业集聚程度XX</v>
      </c>
    </row>
    <row r="16" spans="1:18" ht="40.5">
      <c r="A16" s="2548"/>
      <c r="B16" s="1238" t="s">
        <v>1667</v>
      </c>
      <c r="C16" s="1239" t="str">
        <f>C4</f>
        <v>估价对象位于XX商圈，周边商业氛围成熟，人流量大，商业繁华度好</v>
      </c>
      <c r="D16" s="1991"/>
      <c r="E16" s="2545"/>
      <c r="F16" s="1240" t="s">
        <v>1668</v>
      </c>
      <c r="G16" s="1002" t="str">
        <f>G4</f>
        <v>估价对象周边道路状况、公共交通通达情况、停车便捷程度，综合评价交通便捷度较好</v>
      </c>
    </row>
    <row r="17" spans="1:7" ht="40.5">
      <c r="A17" s="2548"/>
      <c r="B17" s="1238" t="s">
        <v>1669</v>
      </c>
      <c r="C17" s="1239" t="str">
        <f>C5</f>
        <v>估价对象位于XX商圈，周边办公楼项目较多，入驻率高，办公集聚程度较好</v>
      </c>
      <c r="D17" s="1992"/>
      <c r="E17" s="2545"/>
      <c r="F17" s="1240" t="s">
        <v>1674</v>
      </c>
      <c r="G17" s="2745"/>
    </row>
    <row r="18" spans="1:7" ht="54">
      <c r="A18" s="2548"/>
      <c r="B18" s="1240" t="s">
        <v>1655</v>
      </c>
      <c r="C18" s="1002" t="str">
        <f>C6</f>
        <v>估价对象周边道路状况、公共交通通达情况、停车便捷程度，综合评价交通便捷度较好</v>
      </c>
      <c r="D18" s="1992"/>
      <c r="E18" s="2545"/>
      <c r="F18" s="1240" t="s">
        <v>1670</v>
      </c>
      <c r="G18" s="1002" t="str">
        <f>G7</f>
        <v>该园区内是否有污染型企业，绿化情况，卫生条件，整体环境状况判断</v>
      </c>
    </row>
    <row r="19" spans="1:7" ht="27">
      <c r="A19" s="2548"/>
      <c r="B19" s="1240" t="s">
        <v>1659</v>
      </c>
      <c r="C19" s="2745"/>
      <c r="D19" s="1991"/>
      <c r="E19" s="2545"/>
      <c r="F19" s="1224" t="s">
        <v>2543</v>
      </c>
      <c r="G19" s="1002" t="str">
        <f>G5</f>
        <v>估价对象所在区域公共配套设施齐备情况</v>
      </c>
    </row>
    <row r="20" spans="1:7" ht="40.5">
      <c r="A20" s="2548"/>
      <c r="B20" s="1240" t="s">
        <v>1660</v>
      </c>
      <c r="C20" s="1239" t="str">
        <f>C9</f>
        <v>区域自然环境：；人文环境；综合评价环境状况一般</v>
      </c>
      <c r="D20" s="1992"/>
      <c r="E20" s="2545"/>
      <c r="F20" s="1224" t="s">
        <v>2544</v>
      </c>
      <c r="G20" s="1002" t="str">
        <f>G6</f>
        <v>估价对象所在区域基础设施水平</v>
      </c>
    </row>
    <row r="21" spans="1:7" ht="27">
      <c r="A21" s="2548"/>
      <c r="B21" s="1224" t="s">
        <v>2543</v>
      </c>
      <c r="C21" s="1002" t="str">
        <f>C7</f>
        <v>估价对象所在区域公共配套设施齐备情况</v>
      </c>
      <c r="D21" s="1991"/>
      <c r="E21" s="2545"/>
      <c r="F21" s="1240" t="s">
        <v>1661</v>
      </c>
      <c r="G21" s="3034"/>
    </row>
    <row r="22" spans="1:7" ht="27">
      <c r="A22" s="2548"/>
      <c r="B22" s="1224" t="s">
        <v>2544</v>
      </c>
      <c r="C22" s="1002" t="str">
        <f>C8</f>
        <v>估价对象所在区域基础设施水平</v>
      </c>
      <c r="D22" s="1991"/>
      <c r="E22" s="2545"/>
      <c r="F22" s="1240" t="s">
        <v>1671</v>
      </c>
      <c r="G22" s="2745"/>
    </row>
    <row r="23" spans="1:7" ht="15" thickBot="1">
      <c r="A23" s="2548"/>
      <c r="B23" s="1240" t="s">
        <v>1661</v>
      </c>
      <c r="C23" s="3034"/>
      <c r="E23" s="2546"/>
      <c r="F23" s="1241" t="s">
        <v>1675</v>
      </c>
      <c r="G23" s="3035"/>
    </row>
    <row r="24" spans="1:7" ht="14.25" thickBot="1">
      <c r="A24" s="2549"/>
      <c r="B24" s="1241" t="s">
        <v>1662</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9" sqref="F29"/>
    </sheetView>
  </sheetViews>
  <sheetFormatPr defaultColWidth="14.625" defaultRowHeight="13.5"/>
  <cols>
    <col min="1" max="1" width="24.375" customWidth="1"/>
  </cols>
  <sheetData>
    <row r="1" spans="1:9" ht="16.5">
      <c r="A1" s="2992" t="s">
        <v>2840</v>
      </c>
      <c r="B1" s="2992">
        <f>SUM(B14:B23)</f>
        <v>418070.03</v>
      </c>
      <c r="C1" s="2993"/>
      <c r="D1" s="2993"/>
      <c r="E1" s="2993"/>
      <c r="F1" s="2993"/>
    </row>
    <row r="2" spans="1:9" ht="16.5">
      <c r="A2" s="2992" t="s">
        <v>2841</v>
      </c>
      <c r="B2" s="2992">
        <f>SUM(C14:C23)</f>
        <v>105649.64</v>
      </c>
      <c r="C2" s="2993"/>
      <c r="D2" s="2993"/>
      <c r="E2" s="2993"/>
      <c r="F2" s="2993"/>
    </row>
    <row r="3" spans="1:9" ht="16.5">
      <c r="A3" s="2992" t="s">
        <v>2842</v>
      </c>
      <c r="B3" s="2994">
        <f>项目基本情况!D3</f>
        <v>43965</v>
      </c>
      <c r="C3" s="2993"/>
      <c r="D3" s="2993"/>
      <c r="E3" s="2993"/>
      <c r="F3" s="2993"/>
    </row>
    <row r="4" spans="1:9" ht="33">
      <c r="A4" s="2992" t="s">
        <v>2843</v>
      </c>
      <c r="B4" s="2992" t="s">
        <v>2844</v>
      </c>
      <c r="C4" s="2992" t="s">
        <v>2845</v>
      </c>
      <c r="D4" s="2992" t="s">
        <v>2846</v>
      </c>
      <c r="E4" s="2993"/>
      <c r="F4" s="2993"/>
    </row>
    <row r="5" spans="1:9" ht="16.5">
      <c r="A5" s="2992" t="s">
        <v>2847</v>
      </c>
      <c r="B5" s="2992">
        <f ca="1">SUM(D14:D23)</f>
        <v>130639</v>
      </c>
      <c r="C5" s="2992">
        <f ca="1">ROUND(B5*10000/$B$1,0)</f>
        <v>3125</v>
      </c>
      <c r="D5" s="2992">
        <f ca="1">ROUND(B5*10000/$B$2,0)</f>
        <v>12365</v>
      </c>
      <c r="E5" s="2993"/>
      <c r="F5" s="2993"/>
    </row>
    <row r="6" spans="1:9" ht="16.5">
      <c r="A6" s="2992" t="s">
        <v>2848</v>
      </c>
      <c r="B6" s="2992">
        <f ca="1">SUM(G14:G23)</f>
        <v>130639</v>
      </c>
      <c r="C6" s="2992">
        <f ca="1">ROUND(B6*10000/$B$1,0)</f>
        <v>3125</v>
      </c>
      <c r="D6" s="2992">
        <f ca="1">ROUND(B6*10000/$B$2,0)</f>
        <v>12365</v>
      </c>
      <c r="E6" s="2993"/>
      <c r="F6" s="2993"/>
    </row>
    <row r="7" spans="1:9" ht="16.5">
      <c r="A7" s="2992" t="s">
        <v>2849</v>
      </c>
      <c r="B7" s="2992">
        <f>SUM(H14:H23)</f>
        <v>0</v>
      </c>
      <c r="C7" s="2992">
        <f>ROUND(B7*10000/$B$1,0)</f>
        <v>0</v>
      </c>
      <c r="D7" s="2992">
        <f>ROUND(B7*10000/$B$2,0)</f>
        <v>0</v>
      </c>
      <c r="E7" s="2993"/>
      <c r="F7" s="2993"/>
    </row>
    <row r="8" spans="1:9" ht="16.5">
      <c r="A8" s="2992" t="s">
        <v>2850</v>
      </c>
      <c r="B8" s="2992">
        <f>SUM(I14:I23)</f>
        <v>0</v>
      </c>
      <c r="C8" s="2992">
        <f>ROUND(B8*10000/$B$1,0)</f>
        <v>0</v>
      </c>
      <c r="D8" s="2992">
        <f>ROUND(B8*10000/$B$2,0)</f>
        <v>0</v>
      </c>
      <c r="E8" s="2993"/>
      <c r="F8" s="2993"/>
    </row>
    <row r="9" spans="1:9" ht="16.5">
      <c r="A9" s="2992" t="s">
        <v>2851</v>
      </c>
      <c r="B9" s="2995"/>
      <c r="C9" s="2993"/>
      <c r="D9" s="2993"/>
      <c r="E9" s="2993"/>
      <c r="F9" s="2993"/>
    </row>
    <row r="10" spans="1:9" ht="16.5">
      <c r="A10" s="2992" t="s">
        <v>2852</v>
      </c>
      <c r="B10" s="2995"/>
      <c r="C10" s="2993"/>
      <c r="D10" s="2993"/>
      <c r="E10" s="2993"/>
      <c r="F10" s="2993"/>
    </row>
    <row r="11" spans="1:9" ht="16.5">
      <c r="A11" s="2992" t="s">
        <v>2869</v>
      </c>
      <c r="B11" s="2995"/>
      <c r="C11" s="2993"/>
      <c r="D11" s="2993"/>
      <c r="E11" s="2993"/>
      <c r="F11" s="2993"/>
    </row>
    <row r="12" spans="1:9" ht="16.5">
      <c r="A12" s="2993"/>
      <c r="B12" s="2993"/>
      <c r="C12" s="2993"/>
      <c r="D12" s="2993"/>
      <c r="E12" s="2993"/>
      <c r="F12" s="2993"/>
    </row>
    <row r="13" spans="1:9" ht="33">
      <c r="A13" s="2998" t="s">
        <v>2868</v>
      </c>
      <c r="B13" s="2996" t="s">
        <v>2840</v>
      </c>
      <c r="C13" s="2996" t="s">
        <v>2841</v>
      </c>
      <c r="D13" s="2996" t="s">
        <v>2853</v>
      </c>
      <c r="E13" s="2992" t="s">
        <v>2867</v>
      </c>
      <c r="F13" s="2992" t="s">
        <v>2846</v>
      </c>
      <c r="G13" s="2996" t="s">
        <v>2854</v>
      </c>
      <c r="H13" s="2996" t="s">
        <v>2855</v>
      </c>
      <c r="I13" s="2996" t="s">
        <v>2856</v>
      </c>
    </row>
    <row r="14" spans="1:9" ht="16.5">
      <c r="A14" s="2999" t="s">
        <v>2866</v>
      </c>
      <c r="B14" s="2996">
        <f>结果表!L38</f>
        <v>245288.5</v>
      </c>
      <c r="C14" s="2996">
        <f>结果表!K38</f>
        <v>61677.15</v>
      </c>
      <c r="D14" s="2996">
        <f ca="1">结果表!C42</f>
        <v>79525</v>
      </c>
      <c r="E14" s="2996">
        <f ca="1">ROUND(D14*10000/B14,0)</f>
        <v>3242</v>
      </c>
      <c r="F14" s="2996">
        <f ca="1">ROUND(D14*10000/C14,0)</f>
        <v>12894</v>
      </c>
      <c r="G14" s="2996">
        <f ca="1">结果表!C44</f>
        <v>79525</v>
      </c>
      <c r="H14" s="2996" t="str">
        <f>结果表!C45</f>
        <v>——</v>
      </c>
      <c r="I14" s="2996" t="str">
        <f>结果表!C46</f>
        <v>——</v>
      </c>
    </row>
    <row r="15" spans="1:9" ht="16.5">
      <c r="A15" s="2999" t="s">
        <v>2857</v>
      </c>
      <c r="B15" s="3000">
        <f>[1]系统读取表!$B$14</f>
        <v>172781.53</v>
      </c>
      <c r="C15" s="3000">
        <f>[1]系统读取表!$C$14</f>
        <v>43972.49</v>
      </c>
      <c r="D15" s="3000">
        <f ca="1">[1]系统读取表!$D$14</f>
        <v>51114</v>
      </c>
      <c r="E15" s="2996">
        <f t="shared" ref="E15:E23" ca="1" si="0">ROUND(D15*10000/B15,0)</f>
        <v>2958</v>
      </c>
      <c r="F15" s="2996">
        <f t="shared" ref="F15:F23" ca="1" si="1">ROUND(D15*10000/C15,0)</f>
        <v>11624</v>
      </c>
      <c r="G15" s="2997">
        <f ca="1">D15</f>
        <v>51114</v>
      </c>
      <c r="H15" s="2997"/>
      <c r="I15" s="3000"/>
    </row>
    <row r="16" spans="1:9" ht="16.5">
      <c r="A16" s="2999" t="s">
        <v>2858</v>
      </c>
      <c r="B16" s="3000"/>
      <c r="C16" s="3000"/>
      <c r="D16" s="3000"/>
      <c r="E16" s="2996" t="e">
        <f t="shared" si="0"/>
        <v>#DIV/0!</v>
      </c>
      <c r="F16" s="2996" t="e">
        <f t="shared" si="1"/>
        <v>#DIV/0!</v>
      </c>
      <c r="G16" s="2997"/>
      <c r="H16" s="2997"/>
      <c r="I16" s="3000"/>
    </row>
    <row r="17" spans="1:9" ht="16.5">
      <c r="A17" s="2999" t="s">
        <v>2859</v>
      </c>
      <c r="B17" s="3000"/>
      <c r="C17" s="3000"/>
      <c r="D17" s="3000"/>
      <c r="E17" s="2996" t="e">
        <f t="shared" si="0"/>
        <v>#DIV/0!</v>
      </c>
      <c r="F17" s="2996" t="e">
        <f t="shared" si="1"/>
        <v>#DIV/0!</v>
      </c>
      <c r="G17" s="2997"/>
      <c r="H17" s="2997"/>
      <c r="I17" s="3000"/>
    </row>
    <row r="18" spans="1:9" ht="16.5">
      <c r="A18" s="2999" t="s">
        <v>2860</v>
      </c>
      <c r="B18" s="3000"/>
      <c r="C18" s="3000"/>
      <c r="D18" s="3000"/>
      <c r="E18" s="2996" t="e">
        <f t="shared" si="0"/>
        <v>#DIV/0!</v>
      </c>
      <c r="F18" s="2996" t="e">
        <f t="shared" si="1"/>
        <v>#DIV/0!</v>
      </c>
      <c r="G18" s="3000"/>
      <c r="H18" s="3000"/>
      <c r="I18" s="3000"/>
    </row>
    <row r="19" spans="1:9" ht="16.5">
      <c r="A19" s="2999" t="s">
        <v>2861</v>
      </c>
      <c r="B19" s="3000"/>
      <c r="C19" s="3000"/>
      <c r="D19" s="3000"/>
      <c r="E19" s="2996" t="e">
        <f t="shared" si="0"/>
        <v>#DIV/0!</v>
      </c>
      <c r="F19" s="2996" t="e">
        <f t="shared" si="1"/>
        <v>#DIV/0!</v>
      </c>
      <c r="G19" s="3000"/>
      <c r="H19" s="3000"/>
      <c r="I19" s="3000"/>
    </row>
    <row r="20" spans="1:9" ht="16.5">
      <c r="A20" s="2999" t="s">
        <v>2862</v>
      </c>
      <c r="B20" s="3000"/>
      <c r="C20" s="3000"/>
      <c r="D20" s="3000"/>
      <c r="E20" s="2996" t="e">
        <f t="shared" si="0"/>
        <v>#DIV/0!</v>
      </c>
      <c r="F20" s="2996" t="e">
        <f t="shared" si="1"/>
        <v>#DIV/0!</v>
      </c>
      <c r="G20" s="3000"/>
      <c r="H20" s="3000"/>
      <c r="I20" s="3000"/>
    </row>
    <row r="21" spans="1:9" ht="16.5">
      <c r="A21" s="2999" t="s">
        <v>2863</v>
      </c>
      <c r="B21" s="3000"/>
      <c r="C21" s="3000"/>
      <c r="D21" s="3000"/>
      <c r="E21" s="2996" t="e">
        <f t="shared" si="0"/>
        <v>#DIV/0!</v>
      </c>
      <c r="F21" s="2996" t="e">
        <f t="shared" si="1"/>
        <v>#DIV/0!</v>
      </c>
      <c r="G21" s="3000"/>
      <c r="H21" s="3000"/>
      <c r="I21" s="3000"/>
    </row>
    <row r="22" spans="1:9" ht="16.5">
      <c r="A22" s="2999" t="s">
        <v>2864</v>
      </c>
      <c r="B22" s="3000"/>
      <c r="C22" s="3000"/>
      <c r="D22" s="3000"/>
      <c r="E22" s="2996" t="e">
        <f t="shared" si="0"/>
        <v>#DIV/0!</v>
      </c>
      <c r="F22" s="2996" t="e">
        <f t="shared" si="1"/>
        <v>#DIV/0!</v>
      </c>
      <c r="G22" s="3000"/>
      <c r="H22" s="3000"/>
      <c r="I22" s="3000"/>
    </row>
    <row r="23" spans="1:9" ht="16.5">
      <c r="A23" s="2999" t="s">
        <v>2865</v>
      </c>
      <c r="B23" s="3000"/>
      <c r="C23" s="3000"/>
      <c r="D23" s="3000"/>
      <c r="E23" s="2992" t="e">
        <f t="shared" si="0"/>
        <v>#DIV/0!</v>
      </c>
      <c r="F23" s="2992" t="e">
        <f t="shared" si="1"/>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2053</v>
      </c>
      <c r="B1" s="1759"/>
      <c r="C1" s="1787" t="s">
        <v>2054</v>
      </c>
      <c r="D1" s="1788"/>
      <c r="E1" s="1787" t="s">
        <v>2055</v>
      </c>
      <c r="F1" s="1789"/>
      <c r="G1" s="310"/>
      <c r="H1" s="310"/>
      <c r="I1" s="310"/>
      <c r="J1" s="2011"/>
      <c r="K1" s="2011"/>
      <c r="L1" s="2011"/>
      <c r="M1" s="2011"/>
      <c r="N1" s="2011"/>
      <c r="O1" s="2011"/>
      <c r="P1" s="2011"/>
      <c r="Q1" s="2011"/>
      <c r="R1" s="2011"/>
      <c r="S1" s="2011"/>
      <c r="T1" s="2011"/>
      <c r="U1" s="2011"/>
      <c r="V1" s="2011"/>
    </row>
    <row r="2" spans="1:22" ht="21.75" customHeight="1" thickBot="1">
      <c r="A2" s="3739" t="str">
        <f>项目基本情况!K2</f>
        <v>云南省出让国有建设用地使用权</v>
      </c>
      <c r="B2" s="3740"/>
      <c r="C2" s="3741"/>
      <c r="D2" s="3741"/>
      <c r="E2" s="3741"/>
      <c r="F2" s="3741"/>
      <c r="G2" s="3740"/>
      <c r="H2" s="3740"/>
      <c r="I2" s="3742"/>
      <c r="J2" s="2012"/>
      <c r="K2" s="2011"/>
      <c r="L2" s="2011"/>
      <c r="M2" s="2011"/>
      <c r="N2" s="2011"/>
      <c r="O2" s="2011"/>
      <c r="P2" s="2011"/>
      <c r="Q2" s="2011"/>
      <c r="R2" s="2011"/>
      <c r="S2" s="2011"/>
      <c r="T2" s="2011"/>
      <c r="U2" s="2011"/>
      <c r="V2" s="2011"/>
    </row>
    <row r="3" spans="1:22" ht="14.25">
      <c r="A3" s="3750" t="s">
        <v>298</v>
      </c>
      <c r="B3" s="3751"/>
      <c r="C3" s="3751"/>
      <c r="D3" s="3751"/>
      <c r="E3" s="3751"/>
      <c r="F3" s="3751"/>
      <c r="G3" s="3751"/>
      <c r="H3" s="3751"/>
      <c r="I3" s="3751"/>
      <c r="J3" s="2012"/>
      <c r="K3" s="2011"/>
      <c r="L3" s="2011"/>
      <c r="M3" s="2011"/>
      <c r="N3" s="2011"/>
      <c r="O3" s="2011"/>
      <c r="P3" s="2011"/>
      <c r="Q3" s="2011"/>
      <c r="R3" s="2011"/>
      <c r="S3" s="2011"/>
      <c r="T3" s="2011"/>
      <c r="U3" s="2011"/>
      <c r="V3" s="2011"/>
    </row>
    <row r="4" spans="1:22" ht="14.25">
      <c r="A4" s="257" t="s">
        <v>299</v>
      </c>
      <c r="B4" s="258" t="s">
        <v>300</v>
      </c>
      <c r="C4" s="259" t="s">
        <v>3316</v>
      </c>
      <c r="D4" s="259" t="s">
        <v>3317</v>
      </c>
      <c r="E4" s="3714" t="s">
        <v>301</v>
      </c>
      <c r="F4" s="3756"/>
      <c r="G4" s="3756"/>
      <c r="H4" s="3756"/>
      <c r="I4" s="3715"/>
      <c r="J4" s="2012"/>
      <c r="K4" s="2011"/>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743" t="s">
        <v>302</v>
      </c>
      <c r="B5" s="3744">
        <v>25</v>
      </c>
      <c r="C5" s="3752"/>
      <c r="D5" s="3755"/>
      <c r="E5" s="260" t="s">
        <v>303</v>
      </c>
      <c r="F5" s="261"/>
      <c r="G5" s="261"/>
      <c r="H5" s="261"/>
      <c r="I5" s="262"/>
      <c r="J5" s="2012"/>
      <c r="K5" s="2011"/>
      <c r="L5" s="2011"/>
      <c r="M5" s="2011"/>
      <c r="N5" s="2011"/>
      <c r="O5" s="2011"/>
      <c r="P5" s="2011"/>
      <c r="Q5" s="2011"/>
      <c r="R5" s="2011"/>
      <c r="S5" s="2011"/>
      <c r="T5" s="2011"/>
      <c r="U5" s="2011"/>
      <c r="V5" s="2011"/>
    </row>
    <row r="6" spans="1:22" ht="14.25">
      <c r="A6" s="3743"/>
      <c r="B6" s="3744"/>
      <c r="C6" s="3753"/>
      <c r="D6" s="3755"/>
      <c r="E6" s="260" t="s">
        <v>304</v>
      </c>
      <c r="F6" s="261"/>
      <c r="G6" s="261"/>
      <c r="H6" s="261"/>
      <c r="I6" s="262"/>
      <c r="J6" s="2012"/>
      <c r="K6" s="2011"/>
      <c r="L6" s="2011"/>
      <c r="M6" s="2011"/>
      <c r="N6" s="2011"/>
      <c r="O6" s="2011"/>
      <c r="P6" s="2011"/>
      <c r="Q6" s="2011"/>
      <c r="R6" s="2011"/>
      <c r="S6" s="2011"/>
      <c r="T6" s="2011"/>
      <c r="U6" s="2011"/>
      <c r="V6" s="2011"/>
    </row>
    <row r="7" spans="1:22" ht="14.25">
      <c r="A7" s="3743"/>
      <c r="B7" s="3744"/>
      <c r="C7" s="3754"/>
      <c r="D7" s="3755"/>
      <c r="E7" s="260" t="s">
        <v>305</v>
      </c>
      <c r="F7" s="261"/>
      <c r="G7" s="261"/>
      <c r="H7" s="261"/>
      <c r="I7" s="262"/>
      <c r="J7" s="2012"/>
      <c r="K7" s="2011"/>
      <c r="L7" s="2011"/>
      <c r="M7" s="2011"/>
      <c r="N7" s="2011"/>
      <c r="O7" s="2011"/>
      <c r="P7" s="2011"/>
      <c r="Q7" s="2011"/>
      <c r="R7" s="2011"/>
      <c r="S7" s="2011"/>
      <c r="T7" s="2011"/>
      <c r="U7" s="2011"/>
      <c r="V7" s="2011"/>
    </row>
    <row r="8" spans="1:22" ht="14.25">
      <c r="A8" s="3743" t="s">
        <v>306</v>
      </c>
      <c r="B8" s="3744">
        <v>15</v>
      </c>
      <c r="C8" s="3752"/>
      <c r="D8" s="3755"/>
      <c r="E8" s="260" t="s">
        <v>307</v>
      </c>
      <c r="F8" s="261"/>
      <c r="G8" s="261"/>
      <c r="H8" s="261"/>
      <c r="I8" s="262"/>
      <c r="J8" s="2012"/>
      <c r="K8" s="2011"/>
      <c r="L8" s="2011"/>
      <c r="M8" s="2011"/>
      <c r="N8" s="2011"/>
      <c r="O8" s="2011"/>
      <c r="P8" s="2011"/>
      <c r="Q8" s="2011"/>
      <c r="R8" s="2011"/>
      <c r="S8" s="2011"/>
      <c r="T8" s="2011"/>
      <c r="U8" s="2011"/>
      <c r="V8" s="2011"/>
    </row>
    <row r="9" spans="1:22" ht="14.25">
      <c r="A9" s="3743"/>
      <c r="B9" s="3744"/>
      <c r="C9" s="3754"/>
      <c r="D9" s="3755"/>
      <c r="E9" s="260" t="s">
        <v>308</v>
      </c>
      <c r="F9" s="261"/>
      <c r="G9" s="261"/>
      <c r="H9" s="261"/>
      <c r="I9" s="262"/>
      <c r="J9" s="2012"/>
      <c r="K9" s="2011"/>
      <c r="L9" s="2011"/>
      <c r="M9" s="2011"/>
      <c r="N9" s="2011"/>
      <c r="O9" s="2011"/>
      <c r="P9" s="2011"/>
      <c r="Q9" s="2011"/>
      <c r="R9" s="2011"/>
      <c r="S9" s="2011"/>
      <c r="T9" s="2011"/>
      <c r="U9" s="2011"/>
      <c r="V9" s="2011"/>
    </row>
    <row r="10" spans="1:22" ht="14.25">
      <c r="A10" s="3743" t="s">
        <v>309</v>
      </c>
      <c r="B10" s="3744">
        <v>15</v>
      </c>
      <c r="C10" s="3752"/>
      <c r="D10" s="3755"/>
      <c r="E10" s="260" t="s">
        <v>310</v>
      </c>
      <c r="F10" s="261"/>
      <c r="G10" s="261"/>
      <c r="H10" s="261"/>
      <c r="I10" s="262"/>
      <c r="J10" s="2012"/>
      <c r="K10" s="2011"/>
      <c r="L10" s="2011"/>
      <c r="M10" s="2011"/>
      <c r="N10" s="2011"/>
      <c r="O10" s="2011"/>
      <c r="P10" s="2011"/>
      <c r="Q10" s="2011"/>
      <c r="R10" s="2011"/>
      <c r="S10" s="2011"/>
      <c r="T10" s="2011"/>
      <c r="U10" s="2011"/>
      <c r="V10" s="2011"/>
    </row>
    <row r="11" spans="1:22" ht="14.25">
      <c r="A11" s="3743"/>
      <c r="B11" s="3744"/>
      <c r="C11" s="3754"/>
      <c r="D11" s="3755"/>
      <c r="E11" s="260" t="s">
        <v>311</v>
      </c>
      <c r="F11" s="261"/>
      <c r="G11" s="261"/>
      <c r="H11" s="261"/>
      <c r="I11" s="262"/>
      <c r="J11" s="2012"/>
      <c r="K11" s="2011"/>
      <c r="L11" s="2011"/>
      <c r="M11" s="2011"/>
      <c r="N11" s="2011"/>
      <c r="O11" s="2011"/>
      <c r="P11" s="2011"/>
      <c r="Q11" s="2011"/>
      <c r="R11" s="2011"/>
      <c r="S11" s="2011"/>
      <c r="T11" s="2011"/>
      <c r="U11" s="2011"/>
      <c r="V11" s="2011"/>
    </row>
    <row r="12" spans="1:22" ht="14.25">
      <c r="A12" s="3743" t="s">
        <v>312</v>
      </c>
      <c r="B12" s="3744">
        <v>15</v>
      </c>
      <c r="C12" s="3752"/>
      <c r="D12" s="3755"/>
      <c r="E12" s="260" t="s">
        <v>313</v>
      </c>
      <c r="F12" s="261"/>
      <c r="G12" s="261"/>
      <c r="H12" s="261"/>
      <c r="I12" s="262"/>
      <c r="J12" s="2012"/>
      <c r="K12" s="2011"/>
      <c r="L12" s="2011"/>
      <c r="M12" s="2011"/>
      <c r="N12" s="2011"/>
      <c r="O12" s="2011"/>
      <c r="P12" s="2011"/>
      <c r="Q12" s="2011"/>
      <c r="R12" s="2011"/>
      <c r="S12" s="2011"/>
      <c r="T12" s="2011"/>
      <c r="U12" s="2011"/>
      <c r="V12" s="2011"/>
    </row>
    <row r="13" spans="1:22" ht="14.25">
      <c r="A13" s="3743"/>
      <c r="B13" s="3744"/>
      <c r="C13" s="3754"/>
      <c r="D13" s="3755"/>
      <c r="E13" s="260" t="s">
        <v>314</v>
      </c>
      <c r="F13" s="261"/>
      <c r="G13" s="261"/>
      <c r="H13" s="261"/>
      <c r="I13" s="262"/>
      <c r="J13" s="2012"/>
      <c r="K13" s="2011"/>
      <c r="L13" s="2011"/>
      <c r="M13" s="2011"/>
      <c r="N13" s="2011"/>
      <c r="O13" s="2011"/>
      <c r="P13" s="2011"/>
      <c r="Q13" s="2011"/>
      <c r="R13" s="2011"/>
      <c r="S13" s="2011"/>
      <c r="T13" s="2011"/>
      <c r="U13" s="2011"/>
      <c r="V13" s="2011"/>
    </row>
    <row r="14" spans="1:22" ht="14.25">
      <c r="A14" s="3743" t="s">
        <v>315</v>
      </c>
      <c r="B14" s="3744">
        <v>30</v>
      </c>
      <c r="C14" s="3752">
        <v>4</v>
      </c>
      <c r="D14" s="3755">
        <v>6</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743"/>
      <c r="B15" s="3744"/>
      <c r="C15" s="3753"/>
      <c r="D15" s="3755"/>
      <c r="E15" s="260" t="s">
        <v>317</v>
      </c>
      <c r="F15" s="261"/>
      <c r="G15" s="261"/>
      <c r="H15" s="261"/>
      <c r="I15" s="262"/>
      <c r="J15" s="2012"/>
      <c r="K15" s="2011"/>
      <c r="L15" s="2011"/>
      <c r="M15" s="2011"/>
      <c r="N15" s="2011"/>
      <c r="O15" s="2011"/>
      <c r="P15" s="2011"/>
      <c r="Q15" s="2011"/>
      <c r="R15" s="2011"/>
      <c r="S15" s="2011"/>
      <c r="T15" s="2011"/>
      <c r="U15" s="2011"/>
      <c r="V15" s="2011"/>
    </row>
    <row r="16" spans="1:22" ht="14.25">
      <c r="A16" s="3743"/>
      <c r="B16" s="3744"/>
      <c r="C16" s="3754"/>
      <c r="D16" s="3755"/>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4</v>
      </c>
      <c r="D17" s="264">
        <f>SUM(D5:D16)</f>
        <v>6</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0.4</v>
      </c>
      <c r="D18" s="266">
        <f>1-C18</f>
        <v>0.6</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68595</v>
      </c>
      <c r="D19" s="270">
        <f ca="1">SUMIF(INDIRECT("'"&amp;D4&amp;"'"&amp;"!A:A"),结果表!B19,INDIRECT("'"&amp;D4&amp;"'"&amp;"!B:B"))</f>
        <v>86812</v>
      </c>
      <c r="E19" s="267" t="s">
        <v>323</v>
      </c>
      <c r="F19" s="268" t="s">
        <v>322</v>
      </c>
      <c r="G19" s="271">
        <f ca="1">ROUND(C19*$C$18+D19*$D$18,0)</f>
        <v>79525</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2797</v>
      </c>
      <c r="D20" s="276">
        <f ca="1">SUMIF(INDIRECT("'"&amp;D4&amp;"'"&amp;"!A:A"),结果表!B20,INDIRECT("'"&amp;D4&amp;"'"&amp;"!B:B"))</f>
        <v>3539</v>
      </c>
      <c r="E20" s="273"/>
      <c r="F20" s="274" t="s">
        <v>325</v>
      </c>
      <c r="G20" s="277">
        <f ca="1">ROUND(C20*$C$18+D20*$D$18,0)</f>
        <v>3242</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11122</v>
      </c>
      <c r="D21" s="151">
        <f ca="1">SUMIF(INDIRECT("'"&amp;D4&amp;"'"&amp;"!A:A"),结果表!B21,INDIRECT("'"&amp;D4&amp;"'"&amp;"!B:B"))</f>
        <v>14075</v>
      </c>
      <c r="E21" s="273"/>
      <c r="F21" s="279" t="s">
        <v>327</v>
      </c>
      <c r="G21" s="281">
        <f ca="1">ROUND(C21*$C$18+D21*$D$18,0)</f>
        <v>12894</v>
      </c>
      <c r="H21" s="1244" t="s">
        <v>326</v>
      </c>
      <c r="I21" s="310"/>
      <c r="J21" s="2011"/>
      <c r="K21" s="2011"/>
      <c r="L21" s="2011"/>
      <c r="M21" s="2011"/>
      <c r="N21" s="2011"/>
      <c r="O21" s="2011"/>
      <c r="P21" s="2011"/>
      <c r="Q21" s="2011"/>
      <c r="R21" s="2011"/>
      <c r="S21" s="2011"/>
      <c r="T21" s="2011"/>
      <c r="U21" s="2011"/>
      <c r="V21" s="2011"/>
    </row>
    <row r="22" spans="1:26" ht="15.75" thickBot="1">
      <c r="A22" s="126" t="s">
        <v>328</v>
      </c>
      <c r="B22" s="1245"/>
      <c r="C22" s="1246"/>
      <c r="D22" s="282">
        <f ca="1">IF(C19&lt;D19,D19/C19-1,C19/D19-1)</f>
        <v>0.26557329251403172</v>
      </c>
      <c r="E22" s="283"/>
      <c r="F22" s="284"/>
      <c r="G22" s="285">
        <f ca="1">ROUND(G19/('数据-汇总表'!D3/666.67),0)</f>
        <v>860</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716"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758"/>
      <c r="B25" s="1314" t="s">
        <v>331</v>
      </c>
      <c r="C25" s="289">
        <f>IF(B30=0,0,C30)</f>
        <v>0</v>
      </c>
      <c r="D25" s="290"/>
      <c r="E25" s="310"/>
      <c r="F25" s="310"/>
      <c r="G25" s="310"/>
      <c r="H25" s="310"/>
      <c r="I25" s="310"/>
      <c r="J25" s="2011"/>
      <c r="K25" s="1248" t="str">
        <f ca="1">项目基本情况!B16&amp;"国有建设用地使用权价格："&amp;O38&amp;"万元"</f>
        <v>出让国有建设用地使用权价格：79525万元</v>
      </c>
      <c r="L25" s="1249"/>
      <c r="M25" s="1249"/>
      <c r="N25" s="1249"/>
      <c r="O25" s="1250"/>
      <c r="P25" s="2011"/>
      <c r="Q25" s="2011"/>
      <c r="R25" s="2011"/>
      <c r="S25" s="2011"/>
      <c r="T25" s="2011"/>
      <c r="U25" s="2011"/>
      <c r="V25" s="2011"/>
    </row>
    <row r="26" spans="1:26" s="1247" customFormat="1" ht="18">
      <c r="A26" s="292" t="s">
        <v>332</v>
      </c>
      <c r="B26" s="293" t="s">
        <v>333</v>
      </c>
      <c r="C26" s="293" t="s">
        <v>334</v>
      </c>
      <c r="D26" s="294" t="s">
        <v>335</v>
      </c>
      <c r="E26" s="310"/>
      <c r="F26" s="310"/>
      <c r="G26" s="310"/>
      <c r="H26" s="310"/>
      <c r="I26" s="310"/>
      <c r="J26" s="2011"/>
      <c r="K26" s="1251" t="str">
        <f ca="1">"大写金额：人民币"&amp;NUMBERSTRING(INT(O38*10000),2)&amp;"元整"</f>
        <v>大写金额：人民币柒亿玖仟伍佰贰拾伍万元整</v>
      </c>
      <c r="L26" s="1245"/>
      <c r="M26" s="1245"/>
      <c r="N26" s="1245"/>
      <c r="O26" s="1244"/>
      <c r="P26" s="2011"/>
      <c r="Q26" s="2011"/>
      <c r="R26" s="2011"/>
      <c r="S26" s="2011"/>
      <c r="T26" s="2011"/>
      <c r="U26" s="2011"/>
      <c r="V26" s="2011"/>
      <c r="W26" s="291"/>
      <c r="X26" s="291"/>
      <c r="Y26" s="291"/>
      <c r="Z26" s="291"/>
    </row>
    <row r="27" spans="1:26" ht="18">
      <c r="A27" s="292"/>
      <c r="B27" s="293"/>
      <c r="C27" s="293"/>
      <c r="D27" s="294">
        <f ca="1">G19/'数据-汇总表'!F31*10000</f>
        <v>4144.1072722686031</v>
      </c>
      <c r="E27" s="310"/>
      <c r="F27" s="310"/>
      <c r="G27" s="310"/>
      <c r="H27" s="310"/>
      <c r="I27" s="310"/>
      <c r="J27" s="2011"/>
      <c r="K27" s="1251" t="str">
        <f ca="1">"单位面积地价："&amp;M38&amp;"元/平方米"</f>
        <v>单位面积地价：12894元/平方米</v>
      </c>
      <c r="L27" s="1245"/>
      <c r="M27" s="1245"/>
      <c r="N27" s="1245"/>
      <c r="O27" s="1244"/>
      <c r="P27" s="2011"/>
      <c r="Q27" s="2011"/>
      <c r="R27" s="2011"/>
      <c r="S27" s="2011"/>
      <c r="T27" s="2011"/>
      <c r="U27" s="2011"/>
      <c r="V27" s="2011"/>
    </row>
    <row r="28" spans="1:26" ht="18.75" customHeight="1">
      <c r="A28" s="292"/>
      <c r="B28" s="293"/>
      <c r="C28" s="293"/>
      <c r="D28" s="294">
        <f ca="1">D27/3569</f>
        <v>1.161139611170805</v>
      </c>
      <c r="E28" s="310"/>
      <c r="F28" s="310"/>
      <c r="G28" s="310"/>
      <c r="H28" s="310"/>
      <c r="I28" s="310"/>
      <c r="J28" s="2011"/>
      <c r="K28" s="1251" t="str">
        <f ca="1">"楼面地价："&amp;N38&amp;"元/平方米"</f>
        <v>楼面地价：3242元/平方米</v>
      </c>
      <c r="L28" s="1245"/>
      <c r="M28" s="1245"/>
      <c r="N28" s="1245"/>
      <c r="O28" s="1244"/>
      <c r="P28" s="2011"/>
      <c r="V28" s="2011"/>
    </row>
    <row r="29" spans="1:26" ht="18">
      <c r="A29" s="292"/>
      <c r="B29" s="293"/>
      <c r="C29" s="293"/>
      <c r="D29" s="294"/>
      <c r="E29" s="310"/>
      <c r="F29" s="310"/>
      <c r="G29" s="310"/>
      <c r="H29" s="310"/>
      <c r="I29" s="310"/>
      <c r="J29" s="2011"/>
      <c r="K29" s="1251" t="str">
        <f ca="1">IF(OR(项目基本情况!E8="抵押价格",项目基本情况!E8="已注销及未注销"),"抵押价格："&amp;O39&amp;"万元","——")</f>
        <v>抵押价格：79525万元</v>
      </c>
      <c r="L29" s="1245"/>
      <c r="M29" s="1245"/>
      <c r="N29" s="1245"/>
      <c r="O29" s="1244"/>
      <c r="P29" s="2011"/>
      <c r="V29" s="2011"/>
    </row>
    <row r="30" spans="1:26" ht="18.75" thickBot="1">
      <c r="A30" s="3077" t="s">
        <v>336</v>
      </c>
      <c r="B30" s="308"/>
      <c r="C30" s="308"/>
      <c r="D30" s="309"/>
      <c r="E30" s="3078" t="s">
        <v>2962</v>
      </c>
      <c r="F30" s="310"/>
      <c r="G30" s="310"/>
      <c r="H30" s="310"/>
      <c r="I30" s="310"/>
      <c r="J30" s="2011"/>
      <c r="K30" s="1251" t="str">
        <f ca="1">IF(K29="——","——","大写金额：人民币"&amp;NUMBERSTRING(INT(O39*10000),2)&amp;"元整")</f>
        <v>大写金额：人民币柒亿玖仟伍佰贰拾伍万元整</v>
      </c>
      <c r="L30" s="1245"/>
      <c r="M30" s="1245"/>
      <c r="N30" s="1245"/>
      <c r="O30" s="1244"/>
      <c r="P30" s="2011"/>
      <c r="V30" s="2011"/>
    </row>
    <row r="31" spans="1:26" ht="24" customHeight="1" thickBot="1">
      <c r="A31" s="310"/>
      <c r="B31" s="310"/>
      <c r="C31" s="310"/>
      <c r="D31" s="310"/>
      <c r="E31" s="310"/>
      <c r="F31" s="310"/>
      <c r="G31" s="310"/>
      <c r="H31" s="310"/>
      <c r="I31" s="310"/>
      <c r="J31" s="2011"/>
      <c r="K31" s="2428" t="str">
        <f>IF(项目基本情况!E8="抵押价格","——","抵押担保权已注销时的抵押价格："&amp;O40&amp;"万元")</f>
        <v>——</v>
      </c>
      <c r="L31" s="2424"/>
      <c r="M31" s="2424"/>
      <c r="N31" s="2424"/>
      <c r="O31" s="2425"/>
      <c r="P31" s="2011"/>
      <c r="V31" s="2011"/>
    </row>
    <row r="32" spans="1:26" ht="18.75" thickBot="1">
      <c r="A32" s="267" t="s">
        <v>337</v>
      </c>
      <c r="B32" s="1375" t="s">
        <v>1688</v>
      </c>
      <c r="C32" s="1376">
        <f ca="1">G19-C24</f>
        <v>79525</v>
      </c>
      <c r="D32" s="1377" t="s">
        <v>1689</v>
      </c>
      <c r="E32" s="310"/>
      <c r="F32" s="310"/>
      <c r="G32" s="310"/>
      <c r="H32" s="310"/>
      <c r="I32" s="310"/>
      <c r="J32" s="2011"/>
      <c r="K32" s="2423" t="str">
        <f>IF(K31="——","——","大写金额：人民币"&amp;NUMBERSTRING(INT(O40*10000),2)&amp;"元整")</f>
        <v>——</v>
      </c>
      <c r="L32" s="2426"/>
      <c r="M32" s="2426"/>
      <c r="N32" s="2426"/>
      <c r="O32" s="2427"/>
      <c r="P32" s="2011"/>
      <c r="V32" s="2011"/>
    </row>
    <row r="33" spans="1:26" ht="18.75" thickBot="1">
      <c r="A33" s="297" t="s">
        <v>340</v>
      </c>
      <c r="B33" s="1378" t="s">
        <v>1690</v>
      </c>
      <c r="C33" s="263">
        <f ca="1">ROUND(C32*10000/'数据-汇总表'!E3,0)</f>
        <v>3242</v>
      </c>
      <c r="D33" s="1379" t="s">
        <v>1691</v>
      </c>
      <c r="E33" s="3716" t="s">
        <v>338</v>
      </c>
      <c r="F33" s="295" t="s">
        <v>339</v>
      </c>
      <c r="G33" s="296"/>
      <c r="H33" s="977"/>
      <c r="I33" s="1252"/>
      <c r="J33" s="2011"/>
      <c r="K33" s="1251" t="str">
        <f>IF(项目基本情况!E9="——","——","抵押净值："&amp;C46&amp;"万元")</f>
        <v>——</v>
      </c>
      <c r="L33" s="1245"/>
      <c r="M33" s="1245"/>
      <c r="N33" s="1245"/>
      <c r="O33" s="1244"/>
      <c r="P33" s="2011"/>
      <c r="V33" s="2011"/>
    </row>
    <row r="34" spans="1:26" s="1247" customFormat="1" ht="18.75" thickBot="1">
      <c r="A34" s="299"/>
      <c r="B34" s="1380" t="s">
        <v>1692</v>
      </c>
      <c r="C34" s="263">
        <f ca="1">ROUND(C32*10000/'数据-汇总表'!D3,0)</f>
        <v>12894</v>
      </c>
      <c r="D34" s="1381" t="s">
        <v>1691</v>
      </c>
      <c r="E34" s="3717"/>
      <c r="F34" s="127" t="s">
        <v>341</v>
      </c>
      <c r="G34" s="298"/>
      <c r="H34" s="105"/>
      <c r="I34" s="310"/>
      <c r="J34" s="2011"/>
      <c r="K34" s="1254" t="str">
        <f>IF(K33="——","——","大写金额：人民币"&amp;NUMBERSTRING(INT(O41*10000),2)&amp;"元整")</f>
        <v>——</v>
      </c>
      <c r="L34" s="1255"/>
      <c r="M34" s="1255"/>
      <c r="N34" s="1255"/>
      <c r="O34" s="1256"/>
      <c r="P34" s="2011"/>
      <c r="Q34" s="291"/>
      <c r="R34" s="291"/>
      <c r="S34" s="291"/>
      <c r="T34" s="291"/>
      <c r="U34" s="291"/>
      <c r="V34" s="2011"/>
      <c r="W34" s="291"/>
      <c r="X34" s="291"/>
      <c r="Y34" s="291"/>
      <c r="Z34" s="291"/>
    </row>
    <row r="35" spans="1:26" ht="15.75" thickBot="1">
      <c r="A35" s="283"/>
      <c r="B35" s="1382"/>
      <c r="C35" s="1383">
        <f ca="1">ROUND(C32/('数据-汇总表'!D3/666.67),0)</f>
        <v>860</v>
      </c>
      <c r="D35" s="1384" t="s">
        <v>1693</v>
      </c>
      <c r="E35" s="3718"/>
      <c r="F35" s="300" t="s">
        <v>342</v>
      </c>
      <c r="G35" s="979"/>
      <c r="H35" s="978" t="s">
        <v>343</v>
      </c>
      <c r="I35" s="310"/>
      <c r="J35" s="2011"/>
      <c r="K35" s="3722" t="s">
        <v>350</v>
      </c>
      <c r="L35" s="3722" t="s">
        <v>351</v>
      </c>
      <c r="M35" s="1257" t="s">
        <v>352</v>
      </c>
      <c r="N35" s="3722" t="s">
        <v>353</v>
      </c>
      <c r="O35" s="3722" t="s">
        <v>354</v>
      </c>
      <c r="P35" s="2011"/>
      <c r="V35" s="2011"/>
    </row>
    <row r="36" spans="1:26" ht="16.5" customHeight="1">
      <c r="A36" s="302" t="s">
        <v>344</v>
      </c>
      <c r="B36" s="303" t="s">
        <v>333</v>
      </c>
      <c r="C36" s="304" t="s">
        <v>345</v>
      </c>
      <c r="D36" s="304" t="s">
        <v>346</v>
      </c>
      <c r="E36" s="305" t="s">
        <v>347</v>
      </c>
      <c r="F36" s="310"/>
      <c r="G36" s="310"/>
      <c r="H36" s="310"/>
      <c r="I36" s="310"/>
      <c r="J36" s="2013"/>
      <c r="K36" s="3723"/>
      <c r="L36" s="3723"/>
      <c r="M36" s="1259" t="s">
        <v>355</v>
      </c>
      <c r="N36" s="3723"/>
      <c r="O36" s="3723"/>
      <c r="P36" s="2011"/>
      <c r="V36" s="2011"/>
    </row>
    <row r="37" spans="1:26" ht="16.5" customHeight="1" thickBot="1">
      <c r="A37" s="1253" t="s">
        <v>348</v>
      </c>
      <c r="B37" s="306"/>
      <c r="C37" s="293"/>
      <c r="D37" s="293"/>
      <c r="E37" s="294"/>
      <c r="F37" s="310"/>
      <c r="G37" s="310"/>
      <c r="H37" s="310"/>
      <c r="I37" s="310"/>
      <c r="J37" s="2013"/>
      <c r="K37" s="3724"/>
      <c r="L37" s="3724"/>
      <c r="M37" s="1260"/>
      <c r="N37" s="3724"/>
      <c r="O37" s="3724"/>
      <c r="P37" s="2011"/>
      <c r="V37" s="2011"/>
    </row>
    <row r="38" spans="1:26" ht="16.5" customHeight="1" thickBot="1">
      <c r="A38" s="1253" t="s">
        <v>349</v>
      </c>
      <c r="B38" s="306"/>
      <c r="C38" s="293"/>
      <c r="D38" s="293"/>
      <c r="E38" s="294"/>
      <c r="F38" s="310"/>
      <c r="G38" s="310"/>
      <c r="H38" s="310"/>
      <c r="I38" s="310"/>
      <c r="J38" s="2013"/>
      <c r="K38" s="1261">
        <f>'数据-汇总表'!D3</f>
        <v>61677.15</v>
      </c>
      <c r="L38" s="1262">
        <f>'数据-汇总表'!E3</f>
        <v>245288.5</v>
      </c>
      <c r="M38" s="1262">
        <f ca="1">C34</f>
        <v>12894</v>
      </c>
      <c r="N38" s="1262">
        <f ca="1">C33</f>
        <v>3242</v>
      </c>
      <c r="O38" s="1263">
        <f ca="1">C32</f>
        <v>79525</v>
      </c>
      <c r="P38" s="2011"/>
      <c r="V38" s="2011"/>
    </row>
    <row r="39" spans="1:26" ht="16.5" customHeight="1" thickBot="1">
      <c r="A39" s="1258"/>
      <c r="B39" s="307"/>
      <c r="C39" s="308"/>
      <c r="D39" s="308"/>
      <c r="E39" s="309"/>
      <c r="F39" s="310"/>
      <c r="G39" s="310"/>
      <c r="H39" s="310"/>
      <c r="I39" s="310"/>
      <c r="J39" s="2013"/>
      <c r="K39" s="3699" t="str">
        <f>MID(A44,3,LEN(A44)-2)</f>
        <v>抵押价格</v>
      </c>
      <c r="L39" s="3700"/>
      <c r="M39" s="3700"/>
      <c r="N39" s="3701"/>
      <c r="O39" s="1386">
        <f ca="1">C44</f>
        <v>79525</v>
      </c>
      <c r="P39" s="2011"/>
      <c r="V39" s="2011"/>
    </row>
    <row r="40" spans="1:26" ht="19.5" thickBot="1">
      <c r="A40" s="104" t="s">
        <v>873</v>
      </c>
      <c r="B40" s="310"/>
      <c r="C40" s="310"/>
      <c r="D40" s="310"/>
      <c r="E40" s="310"/>
      <c r="F40" s="310"/>
      <c r="G40" s="310"/>
      <c r="H40" s="310"/>
      <c r="I40" s="310"/>
      <c r="J40" s="2013"/>
      <c r="K40" s="3699" t="str">
        <f>MID(A45,3,LEN(A45)-2)</f>
        <v/>
      </c>
      <c r="L40" s="3700"/>
      <c r="M40" s="3700"/>
      <c r="N40" s="3701"/>
      <c r="O40" s="1386" t="str">
        <f>C45</f>
        <v>——</v>
      </c>
      <c r="P40" s="2011"/>
      <c r="V40" s="2011"/>
    </row>
    <row r="41" spans="1:26" ht="16.5" thickBot="1">
      <c r="A41" s="311" t="s">
        <v>356</v>
      </c>
      <c r="B41" s="312"/>
      <c r="C41" s="313" t="s">
        <v>357</v>
      </c>
      <c r="D41" s="314" t="s">
        <v>358</v>
      </c>
      <c r="E41" s="314" t="s">
        <v>359</v>
      </c>
      <c r="F41" s="315" t="s">
        <v>360</v>
      </c>
      <c r="G41" s="310"/>
      <c r="H41" s="310"/>
      <c r="I41" s="310"/>
      <c r="J41" s="2013"/>
      <c r="K41" s="3699" t="str">
        <f>MID(A46,3,LEN(A46)-2)</f>
        <v/>
      </c>
      <c r="L41" s="3700"/>
      <c r="M41" s="3700"/>
      <c r="N41" s="3701"/>
      <c r="O41" s="1386" t="str">
        <f>C46</f>
        <v>——</v>
      </c>
      <c r="P41" s="2011"/>
      <c r="V41" s="2011"/>
    </row>
    <row r="42" spans="1:26" ht="29.25">
      <c r="A42" s="3759" t="s">
        <v>2065</v>
      </c>
      <c r="B42" s="3760"/>
      <c r="C42" s="263">
        <f ca="1">C32</f>
        <v>79525</v>
      </c>
      <c r="D42" s="316">
        <f ca="1">C33</f>
        <v>3242</v>
      </c>
      <c r="E42" s="316">
        <f ca="1">C34</f>
        <v>12894</v>
      </c>
      <c r="F42" s="317">
        <f ca="1">C35</f>
        <v>860</v>
      </c>
      <c r="G42" s="310"/>
      <c r="H42" s="310"/>
      <c r="I42" s="318"/>
      <c r="J42" s="2013"/>
      <c r="K42" s="1264" t="s">
        <v>361</v>
      </c>
      <c r="L42" s="2030" t="s">
        <v>362</v>
      </c>
      <c r="M42" s="1265" t="s">
        <v>363</v>
      </c>
      <c r="N42" s="2031" t="s">
        <v>364</v>
      </c>
      <c r="O42" s="2032" t="s">
        <v>365</v>
      </c>
      <c r="P42" s="2011"/>
      <c r="V42" s="2011"/>
    </row>
    <row r="43" spans="1:26" ht="30">
      <c r="A43" s="3769" t="s">
        <v>2726</v>
      </c>
      <c r="B43" s="3770"/>
      <c r="C43" s="263">
        <f>IF(H33="正常操作",G33+G34+G35,G34+G35)</f>
        <v>0</v>
      </c>
      <c r="D43" s="316" t="s">
        <v>43</v>
      </c>
      <c r="E43" s="316" t="s">
        <v>44</v>
      </c>
      <c r="F43" s="317" t="s">
        <v>44</v>
      </c>
      <c r="G43" s="2817" t="s">
        <v>952</v>
      </c>
      <c r="H43" s="310"/>
      <c r="I43" s="318"/>
      <c r="J43" s="2013"/>
      <c r="K43" s="1266" t="str">
        <f>C4</f>
        <v>剩余法-待开发</v>
      </c>
      <c r="L43" s="1267">
        <f ca="1">IF(L42="估价结果/万元",C19,C20)</f>
        <v>68595</v>
      </c>
      <c r="M43" s="1268">
        <f>C18</f>
        <v>0.4</v>
      </c>
      <c r="N43" s="1269">
        <f ca="1">IF(N42="测算结果/万元",G19,G20)</f>
        <v>79525</v>
      </c>
      <c r="O43" s="1270">
        <f ca="1">IF(O42="最终结果/万元",C32,C33)</f>
        <v>79525</v>
      </c>
      <c r="P43" s="2011"/>
      <c r="V43" s="2011"/>
    </row>
    <row r="44" spans="1:26" ht="30.75" thickBot="1">
      <c r="A44" s="3759" t="str">
        <f>IF(OR(项目基本情况!E8="抵押价格",项目基本情况!E8="已注销及未注销"),"3.抵押价格","——")</f>
        <v>3.抵押价格</v>
      </c>
      <c r="B44" s="3760"/>
      <c r="C44" s="263">
        <f ca="1">IF(A44="——","——",C42-C43)</f>
        <v>79525</v>
      </c>
      <c r="D44" s="316">
        <f ca="1">ROUND(C44*10000/'数据-汇总表'!E3,0)</f>
        <v>3242</v>
      </c>
      <c r="E44" s="316">
        <f ca="1">ROUND(C44*10000/'数据-汇总表'!D3,0)</f>
        <v>12894</v>
      </c>
      <c r="F44" s="317">
        <f ca="1">ROUND(C44/('数据-汇总表'!D3/666.67),0)</f>
        <v>860</v>
      </c>
      <c r="G44" s="310"/>
      <c r="H44" s="310"/>
      <c r="I44" s="318"/>
      <c r="J44" s="2013"/>
      <c r="K44" s="1271" t="str">
        <f>D4</f>
        <v>比较法-住宅、综合</v>
      </c>
      <c r="L44" s="1272">
        <f ca="1">IF(L42="估价结果/万元",D19,D20)</f>
        <v>86812</v>
      </c>
      <c r="M44" s="1273">
        <f>D18</f>
        <v>0.6</v>
      </c>
      <c r="N44" s="1274"/>
      <c r="O44" s="1275"/>
      <c r="P44" s="2011"/>
      <c r="V44" s="2011"/>
    </row>
    <row r="45" spans="1:26" ht="15">
      <c r="A45" s="3764" t="str">
        <f>IF(项目基本情况!E8="已注销及未注销","4.抵押担保权已注销时的抵押价格",IF(项目基本情况!E8="已注销","3.抵押担保权已注销时的抵押价格","——"))</f>
        <v>——</v>
      </c>
      <c r="B45" s="3765"/>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761" t="str">
        <f>IF(项目基本情况!E9="抵押净值",IF(A45="——","4.抵押净值","5.抵押净值"),"——")</f>
        <v>——</v>
      </c>
      <c r="B46" s="3762"/>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727" t="s">
        <v>374</v>
      </c>
      <c r="B63" s="3728"/>
      <c r="C63" s="3729"/>
      <c r="D63" s="340">
        <f ca="1">ROUND(C42*F63,0)</f>
        <v>47715</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766" t="s">
        <v>378</v>
      </c>
      <c r="B64" s="3767"/>
      <c r="C64" s="3767"/>
      <c r="D64" s="3767"/>
      <c r="E64" s="3767"/>
      <c r="F64" s="3767"/>
      <c r="G64" s="3768"/>
      <c r="H64" s="1281"/>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1"/>
      <c r="I65" s="946"/>
      <c r="J65" s="1973"/>
      <c r="K65" s="1282"/>
      <c r="L65" s="1283"/>
      <c r="M65" s="1283"/>
      <c r="N65" s="1315" t="s">
        <v>379</v>
      </c>
      <c r="O65" s="1316"/>
      <c r="P65" s="1317"/>
      <c r="Q65" s="2011"/>
      <c r="R65" s="2011"/>
      <c r="S65" s="2011"/>
      <c r="T65" s="2011"/>
      <c r="U65" s="2011"/>
      <c r="V65" s="2011"/>
    </row>
    <row r="66" spans="1:22" ht="25.5">
      <c r="A66" s="3763" t="s">
        <v>386</v>
      </c>
      <c r="B66" s="3734"/>
      <c r="C66" s="3734"/>
      <c r="D66" s="260">
        <f ca="1">IF(H66="情况1",0,IF(H66="情况2",D70,IF(H66="情况3",D71,IF(H66="情况4",D72))))</f>
        <v>2545</v>
      </c>
      <c r="E66" s="990" t="str">
        <f>IF(H66="情况4","(销售额-原购置价)×税（费）率","销售额×税（费）率")</f>
        <v>销售额×税（费）率</v>
      </c>
      <c r="F66" s="349">
        <f>IF(H66="情况1","免征",'数据-取费表'!B41)</f>
        <v>5.6000000000000001E-2</v>
      </c>
      <c r="G66" s="350" t="s">
        <v>387</v>
      </c>
      <c r="H66" s="191" t="s">
        <v>388</v>
      </c>
      <c r="I66" s="1281"/>
      <c r="J66" s="2017"/>
      <c r="K66" s="1284">
        <v>1</v>
      </c>
      <c r="L66" s="3703" t="s">
        <v>385</v>
      </c>
      <c r="M66" s="3704"/>
      <c r="N66" s="2418"/>
      <c r="O66" s="2419"/>
      <c r="P66" s="2420"/>
      <c r="Q66" s="2011"/>
      <c r="R66" s="2011"/>
      <c r="S66" s="2011"/>
      <c r="T66" s="2011"/>
      <c r="U66" s="2011"/>
      <c r="V66" s="2011"/>
    </row>
    <row r="67" spans="1:22" ht="25.5" customHeight="1">
      <c r="A67" s="351" t="s">
        <v>390</v>
      </c>
      <c r="B67" s="3746" t="s">
        <v>391</v>
      </c>
      <c r="C67" s="3746"/>
      <c r="D67" s="352">
        <v>0</v>
      </c>
      <c r="E67" s="41" t="s">
        <v>392</v>
      </c>
      <c r="F67" s="62" t="s">
        <v>21</v>
      </c>
      <c r="G67" s="3730"/>
      <c r="H67" s="310"/>
      <c r="I67" s="1285"/>
      <c r="J67" s="2018"/>
      <c r="K67" s="1959">
        <v>2</v>
      </c>
      <c r="L67" s="3702" t="s">
        <v>389</v>
      </c>
      <c r="M67" s="3702"/>
      <c r="N67" s="1318">
        <f>'数据-取费表'!B2</f>
        <v>43965</v>
      </c>
      <c r="O67" s="1318"/>
      <c r="P67" s="1318"/>
      <c r="Q67" s="2011"/>
      <c r="R67" s="2011"/>
      <c r="S67" s="2011"/>
      <c r="T67" s="2011"/>
      <c r="U67" s="2011"/>
      <c r="V67" s="2011"/>
    </row>
    <row r="68" spans="1:22" ht="25.5" customHeight="1">
      <c r="A68" s="353"/>
      <c r="B68" s="3746" t="s">
        <v>394</v>
      </c>
      <c r="C68" s="3746"/>
      <c r="D68" s="354"/>
      <c r="E68" s="77"/>
      <c r="F68" s="355"/>
      <c r="G68" s="3731"/>
      <c r="H68" s="310"/>
      <c r="I68" s="1285"/>
      <c r="J68" s="2018"/>
      <c r="K68" s="1959">
        <v>3</v>
      </c>
      <c r="L68" s="3702" t="s">
        <v>393</v>
      </c>
      <c r="M68" s="3702"/>
      <c r="N68" s="1286">
        <f ca="1">C42</f>
        <v>79525</v>
      </c>
      <c r="O68" s="1286"/>
      <c r="P68" s="1286"/>
      <c r="Q68" s="2011"/>
      <c r="R68" s="2011"/>
      <c r="S68" s="2011"/>
      <c r="T68" s="2011"/>
      <c r="U68" s="2011"/>
      <c r="V68" s="2011"/>
    </row>
    <row r="69" spans="1:22" ht="12" customHeight="1">
      <c r="A69" s="356"/>
      <c r="B69" s="3746" t="s">
        <v>395</v>
      </c>
      <c r="C69" s="3746"/>
      <c r="D69" s="357"/>
      <c r="E69" s="73"/>
      <c r="F69" s="355"/>
      <c r="G69" s="3732"/>
      <c r="H69" s="310"/>
      <c r="I69" s="1285"/>
      <c r="J69" s="2018"/>
      <c r="K69" s="1287">
        <v>4</v>
      </c>
      <c r="L69" s="3708" t="s">
        <v>2879</v>
      </c>
      <c r="M69" s="3709"/>
      <c r="N69" s="1288">
        <f ca="1">C44</f>
        <v>79525</v>
      </c>
      <c r="O69" s="1288"/>
      <c r="P69" s="1288"/>
      <c r="Q69" s="2011"/>
      <c r="R69" s="2011"/>
      <c r="S69" s="2011"/>
      <c r="T69" s="2011"/>
      <c r="U69" s="2011"/>
      <c r="V69" s="2011"/>
    </row>
    <row r="70" spans="1:22" ht="24" customHeight="1">
      <c r="A70" s="358" t="s">
        <v>396</v>
      </c>
      <c r="B70" s="3746" t="s">
        <v>397</v>
      </c>
      <c r="C70" s="3746"/>
      <c r="D70" s="357">
        <f ca="1">ROUND(D63*'数据-取费表'!B41/(1+'数据-取费表'!C42),0)</f>
        <v>2545</v>
      </c>
      <c r="E70" s="17" t="s">
        <v>398</v>
      </c>
      <c r="F70" s="359">
        <f>'数据-取费表'!B41</f>
        <v>5.6000000000000001E-2</v>
      </c>
      <c r="G70" s="360"/>
      <c r="H70" s="310"/>
      <c r="I70" s="1285"/>
      <c r="J70" s="2018"/>
      <c r="K70" s="3009"/>
      <c r="L70" s="3010"/>
      <c r="M70" s="3010"/>
      <c r="N70" s="3011" t="s">
        <v>2884</v>
      </c>
      <c r="O70" s="3010"/>
      <c r="P70" s="3012"/>
      <c r="Q70" s="2011"/>
      <c r="R70" s="2011"/>
      <c r="S70" s="2011"/>
      <c r="T70" s="2011"/>
      <c r="U70" s="2011"/>
      <c r="V70" s="2011"/>
    </row>
    <row r="71" spans="1:22" ht="12" customHeight="1">
      <c r="A71" s="358" t="s">
        <v>404</v>
      </c>
      <c r="B71" s="3745" t="s">
        <v>405</v>
      </c>
      <c r="C71" s="3757"/>
      <c r="D71" s="357">
        <f ca="1">ROUND(D63*'数据-取费表'!B41/(1+'数据-取费表'!C42),0)</f>
        <v>2545</v>
      </c>
      <c r="E71" s="17" t="s">
        <v>398</v>
      </c>
      <c r="F71" s="359">
        <f>'数据-取费表'!B41</f>
        <v>5.6000000000000001E-2</v>
      </c>
      <c r="G71" s="360"/>
      <c r="H71" s="310"/>
      <c r="I71" s="1285"/>
      <c r="J71" s="2018"/>
      <c r="K71" s="3008" t="s">
        <v>399</v>
      </c>
      <c r="L71" s="3710" t="s">
        <v>400</v>
      </c>
      <c r="M71" s="3710"/>
      <c r="N71" s="3008" t="s">
        <v>401</v>
      </c>
      <c r="O71" s="3008" t="s">
        <v>402</v>
      </c>
      <c r="P71" s="3008" t="s">
        <v>403</v>
      </c>
      <c r="Q71" s="2011"/>
      <c r="R71" s="2011"/>
      <c r="S71" s="2011"/>
      <c r="T71" s="2011"/>
      <c r="U71" s="2011"/>
      <c r="V71" s="2011"/>
    </row>
    <row r="72" spans="1:22" ht="12" customHeight="1">
      <c r="A72" s="358" t="s">
        <v>407</v>
      </c>
      <c r="B72" s="3745" t="s">
        <v>408</v>
      </c>
      <c r="C72" s="3757"/>
      <c r="D72" s="357">
        <f ca="1">C86</f>
        <v>2433</v>
      </c>
      <c r="E72" s="73" t="s">
        <v>409</v>
      </c>
      <c r="F72" s="359">
        <f>'数据-取费表'!B41</f>
        <v>5.6000000000000001E-2</v>
      </c>
      <c r="G72" s="360"/>
      <c r="H72" s="1291"/>
      <c r="I72" s="1285"/>
      <c r="J72" s="2018"/>
      <c r="K72" s="1959">
        <v>1</v>
      </c>
      <c r="L72" s="3707" t="s">
        <v>406</v>
      </c>
      <c r="M72" s="3707"/>
      <c r="N72" s="1289">
        <f ca="1">D66</f>
        <v>2545</v>
      </c>
      <c r="O72" s="1842" t="str">
        <f>E66</f>
        <v>销售额×税（费）率</v>
      </c>
      <c r="P72" s="1290">
        <f>F66</f>
        <v>5.6000000000000001E-2</v>
      </c>
      <c r="Q72" s="2011"/>
      <c r="R72" s="2011"/>
      <c r="S72" s="2011"/>
      <c r="T72" s="2011"/>
      <c r="U72" s="2011"/>
      <c r="V72" s="2011"/>
    </row>
    <row r="73" spans="1:22" ht="24" customHeight="1">
      <c r="A73" s="3733" t="s">
        <v>411</v>
      </c>
      <c r="B73" s="3734"/>
      <c r="C73" s="3734"/>
      <c r="D73" s="361">
        <f>IF(H73="个人住宅",0,ROUND(D63*I73,0))</f>
        <v>0</v>
      </c>
      <c r="E73" s="17" t="s">
        <v>412</v>
      </c>
      <c r="F73" s="359" t="str">
        <f>IF(H73="正常",I73,"免征")</f>
        <v>免征</v>
      </c>
      <c r="G73" s="360"/>
      <c r="H73" s="191" t="s">
        <v>2452</v>
      </c>
      <c r="I73" s="359">
        <f>'数据-取费表'!B49</f>
        <v>5.0000000000000001E-4</v>
      </c>
      <c r="J73" s="2018"/>
      <c r="K73" s="1959">
        <v>2</v>
      </c>
      <c r="L73" s="3707" t="s">
        <v>410</v>
      </c>
      <c r="M73" s="3707"/>
      <c r="N73" s="1289">
        <f t="shared" ref="N73:P74" si="0">D73</f>
        <v>0</v>
      </c>
      <c r="O73" s="1842" t="str">
        <f t="shared" si="0"/>
        <v>销售额×税（费）率</v>
      </c>
      <c r="P73" s="1290" t="str">
        <f t="shared" si="0"/>
        <v>免征</v>
      </c>
      <c r="Q73" s="2011"/>
      <c r="R73" s="2011"/>
      <c r="S73" s="2011"/>
      <c r="T73" s="2011"/>
      <c r="U73" s="2011"/>
      <c r="V73" s="2011"/>
    </row>
    <row r="74" spans="1:22" ht="24.75">
      <c r="A74" s="3733" t="s">
        <v>415</v>
      </c>
      <c r="B74" s="3734"/>
      <c r="C74" s="3734"/>
      <c r="D74" s="361">
        <f ca="1">IF(H74="个人住宅",D75,D76)</f>
        <v>26409</v>
      </c>
      <c r="E74" s="17" t="s">
        <v>416</v>
      </c>
      <c r="F74" s="359" t="str">
        <f>IF(H74="正常",F76,"免征")</f>
        <v>——</v>
      </c>
      <c r="G74" s="980" t="s">
        <v>417</v>
      </c>
      <c r="H74" s="362" t="s">
        <v>413</v>
      </c>
      <c r="I74" s="42"/>
      <c r="J74" s="2018"/>
      <c r="K74" s="1959">
        <v>3</v>
      </c>
      <c r="L74" s="3707" t="s">
        <v>414</v>
      </c>
      <c r="M74" s="3707"/>
      <c r="N74" s="1289">
        <f t="shared" ca="1" si="0"/>
        <v>26409</v>
      </c>
      <c r="O74" s="1842" t="str">
        <f t="shared" si="0"/>
        <v>增值额×税（费）率</v>
      </c>
      <c r="P74" s="1292" t="str">
        <f t="shared" si="0"/>
        <v>——</v>
      </c>
      <c r="Q74" s="2011"/>
      <c r="R74" s="2011"/>
      <c r="S74" s="2011"/>
      <c r="T74" s="2011"/>
      <c r="U74" s="2011"/>
      <c r="V74" s="2011"/>
    </row>
    <row r="75" spans="1:22" ht="24">
      <c r="A75" s="358" t="s">
        <v>418</v>
      </c>
      <c r="B75" s="3714" t="s">
        <v>419</v>
      </c>
      <c r="C75" s="3715"/>
      <c r="D75" s="363">
        <v>0</v>
      </c>
      <c r="E75" s="41" t="s">
        <v>420</v>
      </c>
      <c r="F75" s="364"/>
      <c r="G75" s="360"/>
      <c r="H75" s="42"/>
      <c r="I75" s="42"/>
      <c r="J75" s="2018"/>
      <c r="K75" s="3001">
        <f>IF(H77="非个人房产","",4)</f>
        <v>4</v>
      </c>
      <c r="L75" s="3707" t="str">
        <f>IF(H77="非个人房产","——","个人所得税")</f>
        <v>个人所得税</v>
      </c>
      <c r="M75" s="3707"/>
      <c r="N75" s="1293">
        <f ca="1">D77</f>
        <v>477</v>
      </c>
      <c r="O75" s="1855" t="str">
        <f>E77</f>
        <v>销售额×税（费）率</v>
      </c>
      <c r="P75" s="1294">
        <f>F77</f>
        <v>0.01</v>
      </c>
      <c r="Q75" s="2011"/>
      <c r="R75" s="2011"/>
      <c r="S75" s="2011"/>
      <c r="T75" s="2011"/>
      <c r="U75" s="2011"/>
      <c r="V75" s="2011"/>
    </row>
    <row r="76" spans="1:22" ht="24.75">
      <c r="A76" s="358" t="s">
        <v>396</v>
      </c>
      <c r="B76" s="3714" t="s">
        <v>422</v>
      </c>
      <c r="C76" s="3756"/>
      <c r="D76" s="361">
        <f ca="1">IF(H76="转让取得",C99,C115)</f>
        <v>26409</v>
      </c>
      <c r="E76" s="17" t="s">
        <v>423</v>
      </c>
      <c r="F76" s="53" t="s">
        <v>21</v>
      </c>
      <c r="G76" s="360"/>
      <c r="H76" s="362" t="s">
        <v>424</v>
      </c>
      <c r="I76" s="42"/>
      <c r="J76" s="2018"/>
      <c r="K76" s="3001" t="str">
        <f>IF(项目基本情况!K6="上海银行",IF(K75="",4,K75+1),"")</f>
        <v/>
      </c>
      <c r="L76" s="3695" t="str">
        <f>IF(项目基本情况!K6="上海银行","其他处置费用","")</f>
        <v/>
      </c>
      <c r="M76" s="3696"/>
      <c r="N76" s="1289" t="str">
        <f>IF(项目基本情况!K6="上海银行",N89,"")</f>
        <v/>
      </c>
      <c r="O76" s="3697" t="str">
        <f>IF(项目基本情况!K6="上海银行","包含处置中涉及的律师、诉讼、拍卖、评估等费用","")</f>
        <v/>
      </c>
      <c r="P76" s="3698"/>
      <c r="Q76" s="2011"/>
      <c r="R76" s="2011"/>
      <c r="S76" s="2011"/>
      <c r="T76" s="2011"/>
      <c r="U76" s="2011"/>
      <c r="V76" s="2011"/>
    </row>
    <row r="77" spans="1:22" ht="26.25" thickBot="1">
      <c r="A77" s="3725" t="s">
        <v>426</v>
      </c>
      <c r="B77" s="3726"/>
      <c r="C77" s="3726"/>
      <c r="D77" s="365">
        <f ca="1">IF(H77="非个人房产","——",IF(H77="个人住宅",0,ROUND(D63*I77,0)))</f>
        <v>477</v>
      </c>
      <c r="E77" s="366" t="str">
        <f>IF(H77="非个人房产","——","销售额×税（费）率")</f>
        <v>销售额×税（费）率</v>
      </c>
      <c r="F77" s="367">
        <f>IF(H77="非个人房产","——",IF(H77="个人住宅","免征",I77))</f>
        <v>0.01</v>
      </c>
      <c r="G77" s="981" t="s">
        <v>417</v>
      </c>
      <c r="H77" s="362" t="s">
        <v>2880</v>
      </c>
      <c r="I77" s="368">
        <v>0.01</v>
      </c>
      <c r="J77" s="2018"/>
      <c r="K77" s="3721">
        <f>IF(AND(K75="",K76=""),4,IF(项目基本情况!K6="上海银行",K76+1,K75+1))</f>
        <v>5</v>
      </c>
      <c r="L77" s="3707" t="s">
        <v>2881</v>
      </c>
      <c r="M77" s="3007" t="s">
        <v>421</v>
      </c>
      <c r="N77" s="1295"/>
      <c r="O77" s="1296">
        <f ca="1">SUMIF(N72:N76,"&lt;9e307")</f>
        <v>29431</v>
      </c>
      <c r="P77" s="1297"/>
      <c r="Q77" s="3005">
        <f ca="1">O77/N69</f>
        <v>0.37008487896887771</v>
      </c>
      <c r="R77" s="2011"/>
      <c r="S77" s="2011"/>
      <c r="T77" s="2011"/>
      <c r="U77" s="2011"/>
      <c r="V77" s="2011"/>
    </row>
    <row r="78" spans="1:22" ht="12" customHeight="1">
      <c r="A78" s="1298"/>
      <c r="B78" s="310"/>
      <c r="C78" s="310"/>
      <c r="D78" s="310"/>
      <c r="E78" s="42"/>
      <c r="F78" s="42"/>
      <c r="G78" s="42"/>
      <c r="H78" s="1000"/>
      <c r="I78" s="310"/>
      <c r="J78" s="2018"/>
      <c r="K78" s="3721"/>
      <c r="L78" s="3707"/>
      <c r="M78" s="3007" t="s">
        <v>425</v>
      </c>
      <c r="N78" s="1295"/>
      <c r="O78" s="1296" t="str">
        <f ca="1">NUMBERSTRING(INT(O77*10000),2)&amp;"元整"</f>
        <v>贰亿玖仟肆佰叁拾壹万元整</v>
      </c>
      <c r="P78" s="1297"/>
      <c r="Q78" s="2011"/>
      <c r="R78" s="2011"/>
      <c r="S78" s="2011"/>
      <c r="T78" s="2011"/>
      <c r="U78" s="2011"/>
      <c r="V78" s="2011"/>
    </row>
    <row r="79" spans="1:22" ht="13.5" thickBot="1">
      <c r="A79" s="3711" t="s">
        <v>427</v>
      </c>
      <c r="B79" s="3711"/>
      <c r="C79" s="3711"/>
      <c r="D79" s="3711"/>
      <c r="E79" s="3711"/>
      <c r="F79" s="42"/>
      <c r="G79" s="42"/>
      <c r="H79" s="1000"/>
      <c r="I79" s="310"/>
      <c r="J79" s="2018"/>
      <c r="K79" s="3705">
        <f>K77+1</f>
        <v>6</v>
      </c>
      <c r="L79" s="3707" t="s">
        <v>2882</v>
      </c>
      <c r="M79" s="3007" t="s">
        <v>421</v>
      </c>
      <c r="N79" s="1295"/>
      <c r="O79" s="1296">
        <f ca="1">N69-O77</f>
        <v>50094</v>
      </c>
      <c r="P79" s="1297"/>
      <c r="Q79" s="2011"/>
      <c r="R79" s="2011"/>
      <c r="S79" s="2011"/>
      <c r="T79" s="2011"/>
      <c r="U79" s="2011"/>
      <c r="V79" s="2011"/>
    </row>
    <row r="80" spans="1:22" ht="25.5">
      <c r="A80" s="3712" t="s">
        <v>428</v>
      </c>
      <c r="B80" s="3713"/>
      <c r="C80" s="991"/>
      <c r="D80" s="991" t="s">
        <v>429</v>
      </c>
      <c r="E80" s="369" t="s">
        <v>430</v>
      </c>
      <c r="F80" s="42"/>
      <c r="G80" s="42"/>
      <c r="H80" s="1000"/>
      <c r="I80" s="310"/>
      <c r="J80" s="2011"/>
      <c r="K80" s="3706"/>
      <c r="L80" s="3707"/>
      <c r="M80" s="3007" t="s">
        <v>425</v>
      </c>
      <c r="N80" s="1295"/>
      <c r="O80" s="1296" t="str">
        <f ca="1">NUMBERSTRING(INT(O79*10000),2)&amp;"元整"</f>
        <v>伍亿零玖拾肆万元整</v>
      </c>
      <c r="P80" s="1297"/>
      <c r="Q80" s="2011"/>
      <c r="R80" s="2011"/>
      <c r="S80" s="2011"/>
      <c r="T80" s="2011"/>
      <c r="U80" s="2011"/>
      <c r="V80" s="2011"/>
    </row>
    <row r="81" spans="1:26" ht="13.5" thickBot="1">
      <c r="A81" s="380" t="s">
        <v>1823</v>
      </c>
      <c r="B81" s="370" t="s">
        <v>431</v>
      </c>
      <c r="C81" s="371">
        <f ca="1">ROUND((C82+C83)/(1+'数据-取费表'!C42),0)</f>
        <v>45443</v>
      </c>
      <c r="D81" s="372"/>
      <c r="E81" s="373"/>
      <c r="F81" s="42"/>
      <c r="G81" s="42"/>
      <c r="H81" s="1000"/>
      <c r="I81" s="310"/>
      <c r="J81" s="2011"/>
      <c r="K81" s="3001">
        <f>K79+1</f>
        <v>7</v>
      </c>
      <c r="L81" s="3719" t="s">
        <v>2883</v>
      </c>
      <c r="M81" s="3720"/>
      <c r="N81" s="1299"/>
      <c r="O81" s="1300">
        <f ca="1">ROUND(O79*10000/'数据-汇总表'!E3,0)</f>
        <v>2042</v>
      </c>
      <c r="P81" s="1301"/>
      <c r="Q81" s="2011"/>
      <c r="R81" s="2011"/>
      <c r="S81" s="2011"/>
      <c r="T81" s="2011"/>
      <c r="U81" s="2011"/>
      <c r="V81" s="2011"/>
    </row>
    <row r="82" spans="1:26" ht="13.5" thickTop="1">
      <c r="A82" s="374" t="s">
        <v>1824</v>
      </c>
      <c r="B82" s="375" t="s">
        <v>432</v>
      </c>
      <c r="C82" s="376">
        <f ca="1">D63</f>
        <v>47715</v>
      </c>
      <c r="D82" s="377" t="s">
        <v>19</v>
      </c>
      <c r="E82" s="378"/>
      <c r="F82" s="42"/>
      <c r="G82" s="42"/>
      <c r="H82" s="1000"/>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0"/>
      <c r="I83" s="310"/>
      <c r="J83" s="2011"/>
      <c r="K83" s="3694" t="s">
        <v>2870</v>
      </c>
      <c r="L83" s="3013" t="s">
        <v>2871</v>
      </c>
      <c r="M83" s="3003">
        <f ca="1">IF(N69&gt;10000,N69*0.5%,IF(AND(N69&gt;1000,N69&lt;=10000),N69*1%,IF(AND(N69&gt;100,N69&lt;=1000),N69*3%,IF(AND(N69&gt;10,N69&lt;=100),N69*5%,N69*8%))))</f>
        <v>397.625</v>
      </c>
      <c r="N83" s="53">
        <f ca="1">ROUND(M83,1)</f>
        <v>397.6</v>
      </c>
      <c r="O83" s="3006"/>
      <c r="P83" s="2011"/>
      <c r="Q83" s="2011"/>
      <c r="R83" s="2011"/>
      <c r="S83" s="2011"/>
      <c r="T83" s="2011"/>
      <c r="U83" s="2011"/>
      <c r="V83" s="2011"/>
    </row>
    <row r="84" spans="1:26" ht="12.75">
      <c r="A84" s="380" t="s">
        <v>1826</v>
      </c>
      <c r="B84" s="381" t="s">
        <v>434</v>
      </c>
      <c r="C84" s="382">
        <v>2000</v>
      </c>
      <c r="D84" s="383" t="s">
        <v>19</v>
      </c>
      <c r="E84" s="3048" t="s">
        <v>2935</v>
      </c>
      <c r="F84" s="42"/>
      <c r="G84" s="42"/>
      <c r="H84" s="1000"/>
      <c r="I84" s="310"/>
      <c r="J84" s="2011"/>
      <c r="K84" s="3694"/>
      <c r="L84" s="3013" t="s">
        <v>2872</v>
      </c>
      <c r="M84" s="3003">
        <f ca="1">IF(N69&gt;2000,N69*0.5%,IF(AND(N69&gt;1000,N69&lt;=2000),N69*0.6%,IF(AND(N69&gt;500,N69&lt;=1000),N69*0.7%,IF(AND(N69&gt;200,N69&lt;=500),N69*0.8%,IF(AND(N69&gt;100,N69&lt;=200),N69*0.9%,IF(AND(N69&gt;50,N69&lt;=100),N69*1%,IF(AND(N69&gt;20,N69&lt;=50),N69*1.5%,IF(AND(N69&gt;10,N69&lt;=20),N69*2%,IF(AND(N69&gt;1,N69&lt;=10),N69*2.5%)))))))))</f>
        <v>397.625</v>
      </c>
      <c r="N84" s="53">
        <f ca="1">ROUND(M84,1)</f>
        <v>397.6</v>
      </c>
      <c r="O84" s="2011" t="s">
        <v>2873</v>
      </c>
      <c r="P84" s="2011"/>
      <c r="Q84" s="2011"/>
      <c r="R84" s="2011"/>
      <c r="S84" s="2011"/>
      <c r="T84" s="2011"/>
      <c r="U84" s="2011"/>
      <c r="V84" s="2011"/>
    </row>
    <row r="85" spans="1:26" ht="12.75">
      <c r="A85" s="380" t="s">
        <v>1827</v>
      </c>
      <c r="B85" s="381" t="s">
        <v>435</v>
      </c>
      <c r="C85" s="384">
        <f ca="1">C81-C84</f>
        <v>43443</v>
      </c>
      <c r="D85" s="377" t="s">
        <v>19</v>
      </c>
      <c r="E85" s="378"/>
      <c r="F85" s="42"/>
      <c r="G85" s="42"/>
      <c r="H85" s="1000"/>
      <c r="I85" s="310"/>
      <c r="J85" s="2011"/>
      <c r="K85" s="3694"/>
      <c r="L85" s="3013" t="s">
        <v>2874</v>
      </c>
      <c r="M85" s="3003">
        <f ca="1">IF(N69&gt;1000,N69*0.1%,IF(AND(N69&gt;500,N69&lt;=1000),N69*0.5%,IF(AND(N69&gt;50,N69&lt;=500),N69*1%,IF(AND(N69&gt;1,N69&lt;=50),N69*1.5%))))</f>
        <v>79.525000000000006</v>
      </c>
      <c r="N85" s="53">
        <f ca="1">ROUND(M85,1)</f>
        <v>79.5</v>
      </c>
      <c r="O85" s="2011" t="s">
        <v>2873</v>
      </c>
      <c r="P85" s="2011"/>
      <c r="Q85" s="2011"/>
      <c r="R85" s="2011"/>
      <c r="S85" s="2011"/>
      <c r="T85" s="2011"/>
      <c r="U85" s="2011"/>
      <c r="V85" s="2011"/>
    </row>
    <row r="86" spans="1:26" ht="13.5" thickBot="1">
      <c r="A86" s="385" t="s">
        <v>1828</v>
      </c>
      <c r="B86" s="386" t="s">
        <v>436</v>
      </c>
      <c r="C86" s="387">
        <f ca="1">IF(C85&lt;=0,0,ROUND(C85*D86,0))</f>
        <v>2433</v>
      </c>
      <c r="D86" s="388">
        <f>'数据-取费表'!B41</f>
        <v>5.6000000000000001E-2</v>
      </c>
      <c r="E86" s="389"/>
      <c r="F86" s="42"/>
      <c r="G86" s="42"/>
      <c r="H86" s="1000"/>
      <c r="I86" s="310"/>
      <c r="J86" s="2011"/>
      <c r="K86" s="3694"/>
      <c r="L86" s="3013" t="s">
        <v>2875</v>
      </c>
      <c r="M86" s="3003">
        <f ca="1">N69*0.5%</f>
        <v>397.625</v>
      </c>
      <c r="N86" s="53">
        <f ca="1">IF(M86&gt;0.5,0.5,ROUND(M86,0))</f>
        <v>0.5</v>
      </c>
      <c r="O86" s="2011" t="s">
        <v>2876</v>
      </c>
      <c r="P86" s="2011"/>
      <c r="Q86" s="2011"/>
      <c r="R86" s="2011"/>
      <c r="S86" s="2011"/>
      <c r="T86" s="2011"/>
      <c r="U86" s="2011"/>
      <c r="V86" s="2011"/>
    </row>
    <row r="87" spans="1:26" s="1247" customFormat="1" ht="14.25" customHeight="1">
      <c r="A87" s="1302"/>
      <c r="B87" s="1303"/>
      <c r="C87" s="1304"/>
      <c r="D87" s="1305"/>
      <c r="E87" s="1306"/>
      <c r="F87" s="42"/>
      <c r="G87" s="42"/>
      <c r="H87" s="1000"/>
      <c r="I87" s="310"/>
      <c r="J87" s="2011"/>
      <c r="K87" s="3694"/>
      <c r="L87" s="3013" t="s">
        <v>2877</v>
      </c>
      <c r="M87" s="3003">
        <f ca="1">IF(N69&gt;=10000,(8.25+(N69-10000)*0.01%),IF(AND(N69&gt;=8000,N69&lt;10000),(7.85+(N69-8000)*0.02%),IF(AND(N69&gt;=5000,N69&lt;8000),(6.65+(N69-5000)*0.04%),IF(AND(N69&gt;=2000,N69&lt;5000),(4.25+(PN69-2000)*0.08%),IF(AND(N69&gt;=1000,N69&lt;2000),(2.75+(N69-1000)*0.15%),IF(AND(N69&gt;=100,N69&lt;1000),(0.5+(N69-100)*0.25%),IF(AND(N69&gt;0,N69&lt;100),N69*0.5%)))))))</f>
        <v>15.202500000000001</v>
      </c>
      <c r="N87" s="53">
        <f ca="1">ROUND(M87*0.9,1)</f>
        <v>13.7</v>
      </c>
      <c r="O87" s="3006"/>
      <c r="P87" s="310"/>
      <c r="Q87" s="2011"/>
      <c r="R87" s="2011"/>
      <c r="S87" s="2011"/>
      <c r="T87" s="2011"/>
      <c r="U87" s="2011"/>
      <c r="V87" s="2011"/>
      <c r="W87" s="291"/>
      <c r="X87" s="291"/>
      <c r="Y87" s="291"/>
      <c r="Z87" s="291"/>
    </row>
    <row r="88" spans="1:26" s="1307" customFormat="1" ht="15" thickBot="1">
      <c r="A88" s="3748" t="s">
        <v>437</v>
      </c>
      <c r="B88" s="3749"/>
      <c r="C88" s="3749"/>
      <c r="D88" s="3749"/>
      <c r="E88" s="3749"/>
      <c r="F88" s="3749"/>
      <c r="G88" s="3749"/>
      <c r="H88" s="3749"/>
      <c r="I88" s="1308"/>
      <c r="J88" s="2019"/>
      <c r="K88" s="3694"/>
      <c r="L88" s="3013" t="s">
        <v>2878</v>
      </c>
      <c r="M88" s="3003">
        <f ca="1">IF(N69&gt;10000,N69*0.5%,IF(AND(N69&gt;5000,N69&lt;=10000),N69*1%,IF(AND(N69&gt;1000,N69&lt;=5000),N69*2%,IF(AND(N69&gt;200,N69&lt;=1000),N69*3%,N69*5%))))</f>
        <v>397.625</v>
      </c>
      <c r="N88" s="53">
        <f ca="1">ROUND(M88,1)</f>
        <v>397.6</v>
      </c>
      <c r="O88" s="3006"/>
      <c r="P88" s="11"/>
      <c r="Q88" s="2016"/>
      <c r="R88" s="2016"/>
      <c r="S88" s="2016"/>
      <c r="T88" s="2016"/>
      <c r="U88" s="2016"/>
      <c r="V88" s="2016"/>
      <c r="W88" s="2020"/>
      <c r="X88" s="2020"/>
      <c r="Y88" s="2020"/>
      <c r="Z88" s="2020"/>
    </row>
    <row r="89" spans="1:26" s="1307" customFormat="1" ht="14.25">
      <c r="A89" s="3712" t="s">
        <v>428</v>
      </c>
      <c r="B89" s="3713"/>
      <c r="C89" s="991"/>
      <c r="D89" s="991" t="s">
        <v>429</v>
      </c>
      <c r="E89" s="390" t="s">
        <v>438</v>
      </c>
      <c r="F89" s="391"/>
      <c r="G89" s="391"/>
      <c r="H89" s="392"/>
      <c r="I89" s="1309"/>
      <c r="J89" s="2021"/>
      <c r="K89" s="3694"/>
      <c r="L89" s="3013" t="s">
        <v>27</v>
      </c>
      <c r="M89" s="3004"/>
      <c r="N89" s="53">
        <f ca="1">ROUND(SUM(N83:N88),0)</f>
        <v>1287</v>
      </c>
      <c r="O89" s="3014">
        <f ca="1">N89/N69</f>
        <v>1.6183590066016974E-2</v>
      </c>
      <c r="P89" s="2016"/>
      <c r="Q89" s="2016"/>
      <c r="R89" s="2016"/>
      <c r="S89" s="2016"/>
      <c r="T89" s="2016"/>
      <c r="U89" s="2016"/>
      <c r="V89" s="2016"/>
      <c r="W89" s="2020"/>
      <c r="X89" s="2020"/>
      <c r="Y89" s="2020"/>
      <c r="Z89" s="2020"/>
    </row>
    <row r="90" spans="1:26" s="1307" customFormat="1" ht="14.25">
      <c r="A90" s="380" t="s">
        <v>1823</v>
      </c>
      <c r="B90" s="381" t="s">
        <v>439</v>
      </c>
      <c r="C90" s="384">
        <f ca="1">ROUND(D63/(1+'数据-取费表'!C42),0)</f>
        <v>45443</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0" t="s">
        <v>1829</v>
      </c>
      <c r="B91" s="347" t="s">
        <v>440</v>
      </c>
      <c r="C91" s="384">
        <f ca="1">C92+C96</f>
        <v>2834</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1830</v>
      </c>
      <c r="B92" s="375" t="s">
        <v>441</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1832</v>
      </c>
      <c r="B94" s="399" t="s">
        <v>446</v>
      </c>
      <c r="C94" s="377">
        <f>IF(F93="购房发票",ROUND(C93*H93*5%,0),0)</f>
        <v>500</v>
      </c>
      <c r="D94" s="400">
        <v>0.05</v>
      </c>
      <c r="E94" s="3745" t="s">
        <v>447</v>
      </c>
      <c r="F94" s="3746"/>
      <c r="G94" s="3746"/>
      <c r="H94" s="3747"/>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2426</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1834</v>
      </c>
      <c r="B96" s="375" t="s">
        <v>450</v>
      </c>
      <c r="C96" s="404">
        <f ca="1">ROUND(D63*D96/(1+'数据-取费表'!C42),0)</f>
        <v>273</v>
      </c>
      <c r="D96" s="405">
        <f>'数据-取费表'!B43</f>
        <v>6.000000000000001E-3</v>
      </c>
      <c r="E96" s="3735" t="s">
        <v>2425</v>
      </c>
      <c r="F96" s="3736"/>
      <c r="G96" s="3736"/>
      <c r="H96" s="3737"/>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1835</v>
      </c>
      <c r="B97" s="381" t="s">
        <v>451</v>
      </c>
      <c r="C97" s="384">
        <f ca="1">C90-C91</f>
        <v>42609</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1836</v>
      </c>
      <c r="B98" s="381" t="s">
        <v>452</v>
      </c>
      <c r="C98" s="406">
        <f ca="1">IF(C97&lt;=0,0,C97/C91)</f>
        <v>15.034932956951305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1837</v>
      </c>
      <c r="B99" s="386" t="s">
        <v>453</v>
      </c>
      <c r="C99" s="407">
        <f ca="1">ROUND(IF(C97&lt;=0,0,IF(C98&gt;=200%,C97*60%-C91*35%,IF(C98&gt;=100%,C97*50%-C91*15%,IF(C98&gt;=50%,C97*40%-C91*5%,IF(C98&lt;50%,C97*30%,0))))),0)</f>
        <v>24574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748" t="s">
        <v>454</v>
      </c>
      <c r="B101" s="3749"/>
      <c r="C101" s="3749"/>
      <c r="D101" s="3749"/>
      <c r="E101" s="3749"/>
      <c r="F101" s="3749"/>
      <c r="G101" s="3749"/>
      <c r="H101" s="3749"/>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712" t="s">
        <v>428</v>
      </c>
      <c r="B102" s="3713"/>
      <c r="C102" s="991"/>
      <c r="D102" s="991"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0" t="s">
        <v>1823</v>
      </c>
      <c r="B103" s="381" t="s">
        <v>439</v>
      </c>
      <c r="C103" s="384">
        <f ca="1">ROUND(D63/(1+'数据-取费表'!C42),0)</f>
        <v>45443</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0" t="s">
        <v>1829</v>
      </c>
      <c r="B104" s="347" t="s">
        <v>440</v>
      </c>
      <c r="C104" s="384">
        <f ca="1">IF(H106="仅含出让金",C105+C108+C109+C110+C111+C112,C105+C109+C110+C111+C112)</f>
        <v>902</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4" t="s">
        <v>1830</v>
      </c>
      <c r="B105" s="375" t="s">
        <v>455</v>
      </c>
      <c r="C105" s="404">
        <f>C106+C107</f>
        <v>572</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4" t="s">
        <v>1831</v>
      </c>
      <c r="B106" s="375" t="s">
        <v>456</v>
      </c>
      <c r="C106" s="415">
        <v>555</v>
      </c>
      <c r="D106" s="405"/>
      <c r="E106" s="416" t="s">
        <v>457</v>
      </c>
      <c r="F106" s="983"/>
      <c r="G106" s="417" t="s">
        <v>458</v>
      </c>
      <c r="H106" s="418"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4" t="s">
        <v>1832</v>
      </c>
      <c r="B107" s="375" t="s">
        <v>448</v>
      </c>
      <c r="C107" s="404">
        <f>ROUND(C106*D107,0)</f>
        <v>17</v>
      </c>
      <c r="D107" s="405">
        <f>'数据-取费表'!B48+'数据-取费表'!B49</f>
        <v>3.0499999999999999E-2</v>
      </c>
      <c r="E107" s="416" t="s">
        <v>459</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4" t="s">
        <v>1834</v>
      </c>
      <c r="B108" s="375" t="s">
        <v>460</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1838</v>
      </c>
      <c r="B109" s="375" t="s">
        <v>461</v>
      </c>
      <c r="C109" s="404">
        <f>IF(H109="——",IF(F1="现房",'剩余法-现房'!C18,0),I109)</f>
        <v>0</v>
      </c>
      <c r="D109" s="405"/>
      <c r="E109" s="3738" t="s">
        <v>462</v>
      </c>
      <c r="F109" s="3736"/>
      <c r="G109" s="3736"/>
      <c r="H109" s="1924" t="s">
        <v>952</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1839</v>
      </c>
      <c r="B110" s="375" t="s">
        <v>463</v>
      </c>
      <c r="C110" s="404">
        <f>ROUND((C105+C108+C109)*D110,0)</f>
        <v>57</v>
      </c>
      <c r="D110" s="405">
        <v>0.1</v>
      </c>
      <c r="E110" s="3738" t="s">
        <v>464</v>
      </c>
      <c r="F110" s="3736"/>
      <c r="G110" s="3736"/>
      <c r="H110" s="3737"/>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1840</v>
      </c>
      <c r="B111" s="375" t="s">
        <v>450</v>
      </c>
      <c r="C111" s="404">
        <f ca="1">ROUND(D63*D111/(1+'数据-取费表'!C42),0)</f>
        <v>273</v>
      </c>
      <c r="D111" s="405">
        <f>'数据-取费表'!B43</f>
        <v>6.000000000000001E-3</v>
      </c>
      <c r="E111" s="3735" t="s">
        <v>2425</v>
      </c>
      <c r="F111" s="3736"/>
      <c r="G111" s="3736"/>
      <c r="H111" s="3737"/>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1841</v>
      </c>
      <c r="B112" s="375" t="s">
        <v>465</v>
      </c>
      <c r="C112" s="404">
        <f>ROUND(C108*D112,0)</f>
        <v>0</v>
      </c>
      <c r="D112" s="405">
        <v>0.2</v>
      </c>
      <c r="E112" s="3738" t="s">
        <v>2450</v>
      </c>
      <c r="F112" s="3736"/>
      <c r="G112" s="3736"/>
      <c r="H112" s="3737"/>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1835</v>
      </c>
      <c r="B113" s="381" t="s">
        <v>451</v>
      </c>
      <c r="C113" s="384">
        <f ca="1">ROUND(C103-C104,0)</f>
        <v>44541</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1836</v>
      </c>
      <c r="B114" s="381" t="s">
        <v>452</v>
      </c>
      <c r="C114" s="406">
        <f ca="1">IF(C113&lt;=0,0,C113/C104)</f>
        <v>49.380266075388029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1837</v>
      </c>
      <c r="B115" s="386" t="s">
        <v>453</v>
      </c>
      <c r="C115" s="407">
        <f ca="1">ROUND(IF(C113&lt;=0,0,IF(C114&gt;=200%,C113*60%-C104*35%,IF(C114&gt;=100%,C113*50%-C104*15%,IF(C114&gt;=50%,C113*40%-C104*5%,IF(C114&lt;50%,C113*30%,0))))),0)</f>
        <v>26409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470" t="str">
        <f>项目基本情况!B1</f>
        <v>云南省出让国有建设用地使用权抵押价格预评估</v>
      </c>
      <c r="C37" s="3470"/>
      <c r="D37" s="3470"/>
      <c r="E37" s="3470"/>
      <c r="F37" s="3470"/>
      <c r="G37" s="3470"/>
      <c r="H37" s="3470"/>
      <c r="I37" s="3470"/>
    </row>
    <row r="38" spans="1:9">
      <c r="A38" s="1639"/>
      <c r="B38" s="1639"/>
    </row>
    <row r="39" spans="1:9">
      <c r="A39" s="1637" t="s">
        <v>1901</v>
      </c>
      <c r="B39" s="1637" t="s">
        <v>2044</v>
      </c>
    </row>
    <row r="40" spans="1:9">
      <c r="A40" s="1637"/>
      <c r="B40" s="1637">
        <f>项目基本情况!B5</f>
        <v>0</v>
      </c>
    </row>
    <row r="41" spans="1:9">
      <c r="A41" s="1637"/>
      <c r="B41" s="1637"/>
    </row>
    <row r="42" spans="1:9">
      <c r="A42" s="1637" t="s">
        <v>1901</v>
      </c>
      <c r="B42" s="1637" t="s">
        <v>2045</v>
      </c>
    </row>
    <row r="43" spans="1:9">
      <c r="A43" s="1637"/>
      <c r="B43" s="1637" t="s">
        <v>1903</v>
      </c>
    </row>
    <row r="44" spans="1:9">
      <c r="A44" s="1637"/>
      <c r="B44" s="1637"/>
    </row>
    <row r="45" spans="1:9">
      <c r="A45" s="1637" t="s">
        <v>1901</v>
      </c>
      <c r="B45" s="1637" t="s">
        <v>2043</v>
      </c>
    </row>
    <row r="46" spans="1:9" s="1637" customFormat="1" ht="12.75">
      <c r="B46" s="1637" t="str">
        <f>项目基本情况!K4</f>
        <v>吴薇、郑燚</v>
      </c>
    </row>
    <row r="47" spans="1:9">
      <c r="A47" s="1637"/>
      <c r="B47" s="1637"/>
    </row>
    <row r="48" spans="1:9">
      <c r="A48" s="1637" t="s">
        <v>1901</v>
      </c>
      <c r="B48" s="1637" t="s">
        <v>2046</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4" zoomScale="80" zoomScaleNormal="95" zoomScaleSheetLayoutView="80" workbookViewId="0">
      <selection activeCell="M62" sqref="M62"/>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467</v>
      </c>
      <c r="B2" s="507">
        <f>F68</f>
        <v>86812</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1684</v>
      </c>
      <c r="B3" s="509">
        <f>ROUND(B2*10000/'数据-汇总表'!E3,0)</f>
        <v>3539</v>
      </c>
      <c r="C3" s="2044"/>
      <c r="D3" s="2530"/>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520</v>
      </c>
      <c r="B4" s="426">
        <f>IF(B48="单位面积地价",C50,ROUND(B2*10000/'数据-汇总表'!D3,0))</f>
        <v>14075</v>
      </c>
      <c r="C4" s="2044"/>
      <c r="D4" s="2530"/>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938</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793" t="s">
        <v>522</v>
      </c>
      <c r="D6" s="3794"/>
      <c r="E6" s="3793" t="s">
        <v>523</v>
      </c>
      <c r="F6" s="3794"/>
      <c r="G6" s="3793" t="s">
        <v>524</v>
      </c>
      <c r="H6" s="3794"/>
      <c r="I6" s="3793" t="s">
        <v>525</v>
      </c>
      <c r="J6" s="3794"/>
      <c r="K6" s="513" t="s">
        <v>526</v>
      </c>
      <c r="L6" s="2116"/>
      <c r="M6" s="2115"/>
      <c r="N6" s="2115"/>
      <c r="O6" s="2117"/>
      <c r="P6" s="3795" t="s">
        <v>527</v>
      </c>
      <c r="Q6" s="3796"/>
      <c r="R6" s="3781" t="s">
        <v>523</v>
      </c>
      <c r="S6" s="3782"/>
      <c r="T6" s="3781" t="s">
        <v>524</v>
      </c>
      <c r="U6" s="3782"/>
      <c r="V6" s="3801" t="s">
        <v>525</v>
      </c>
      <c r="W6" s="3801"/>
      <c r="X6" s="1551"/>
      <c r="Y6" s="3781" t="s">
        <v>527</v>
      </c>
      <c r="Z6" s="3782"/>
      <c r="AA6" s="3776" t="s">
        <v>523</v>
      </c>
      <c r="AB6" s="3777" t="s">
        <v>524</v>
      </c>
      <c r="AC6" s="3776" t="s">
        <v>525</v>
      </c>
    </row>
    <row r="7" spans="1:30" ht="20.25">
      <c r="A7" s="514"/>
      <c r="B7" s="515"/>
      <c r="C7" s="3804" t="s">
        <v>2924</v>
      </c>
      <c r="D7" s="3805"/>
      <c r="E7" s="3804" t="str">
        <f>Sheet1!A21</f>
        <v>昆明市官渡区小板桥街道办事处</v>
      </c>
      <c r="F7" s="3805"/>
      <c r="G7" s="3804" t="str">
        <f>Sheet1!A22</f>
        <v>昆明市官渡区小板桥街道办事处</v>
      </c>
      <c r="H7" s="3805"/>
      <c r="I7" s="3804" t="str">
        <f>Sheet1!A44</f>
        <v>昆明市官渡区小板桥街道办事处</v>
      </c>
      <c r="J7" s="3805"/>
      <c r="K7" s="513"/>
      <c r="L7" s="2116"/>
      <c r="M7" s="2115"/>
      <c r="N7" s="2115"/>
      <c r="O7" s="2117"/>
      <c r="P7" s="3797"/>
      <c r="Q7" s="3798"/>
      <c r="R7" s="3783"/>
      <c r="S7" s="3784"/>
      <c r="T7" s="3783"/>
      <c r="U7" s="3784"/>
      <c r="V7" s="3801"/>
      <c r="W7" s="3801"/>
      <c r="X7" s="1551"/>
      <c r="Y7" s="3783"/>
      <c r="Z7" s="3784"/>
      <c r="AA7" s="3777"/>
      <c r="AB7" s="3777"/>
      <c r="AC7" s="3777"/>
    </row>
    <row r="8" spans="1:30" ht="21" thickBot="1">
      <c r="A8" s="514"/>
      <c r="B8" s="515"/>
      <c r="C8" s="3806" t="s">
        <v>2928</v>
      </c>
      <c r="D8" s="3807"/>
      <c r="E8" s="3806" t="s">
        <v>2928</v>
      </c>
      <c r="F8" s="3807"/>
      <c r="G8" s="3802" t="s">
        <v>2928</v>
      </c>
      <c r="H8" s="3803"/>
      <c r="I8" s="3802" t="s">
        <v>2928</v>
      </c>
      <c r="J8" s="3803"/>
      <c r="K8" s="513" t="s">
        <v>528</v>
      </c>
      <c r="L8" s="2116"/>
      <c r="M8" s="2115"/>
      <c r="N8" s="2115"/>
      <c r="O8" s="2117"/>
      <c r="P8" s="3799"/>
      <c r="Q8" s="3800"/>
      <c r="R8" s="3783"/>
      <c r="S8" s="3784"/>
      <c r="T8" s="3785"/>
      <c r="U8" s="3786"/>
      <c r="V8" s="3801"/>
      <c r="W8" s="3801"/>
      <c r="X8" s="1551"/>
      <c r="Y8" s="3785"/>
      <c r="Z8" s="3786"/>
      <c r="AA8" s="3778"/>
      <c r="AB8" s="3778"/>
      <c r="AC8" s="3778"/>
    </row>
    <row r="9" spans="1:30" s="1213" customFormat="1" ht="21" thickBot="1">
      <c r="A9" s="2863"/>
      <c r="B9" s="2870" t="s">
        <v>529</v>
      </c>
      <c r="C9" s="2862">
        <f>'数据-取费表'!B2</f>
        <v>43965</v>
      </c>
      <c r="D9" s="519">
        <v>100</v>
      </c>
      <c r="E9" s="520">
        <f>Sheet1!L21</f>
        <v>43678</v>
      </c>
      <c r="F9" s="521">
        <f>SUMIF(72:72,YEAR(E9)&amp;"-"&amp;INT((MONTH(E9)+2)/3),73:73)</f>
        <v>99.5</v>
      </c>
      <c r="G9" s="522">
        <f>Sheet1!L22</f>
        <v>43678</v>
      </c>
      <c r="H9" s="519">
        <f>SUMIF(72:72,YEAR(G9)&amp;"-"&amp;INT((MONTH(G9)+2)/3),73:73)</f>
        <v>99.5</v>
      </c>
      <c r="I9" s="522">
        <f>Sheet1!L44</f>
        <v>43649</v>
      </c>
      <c r="J9" s="519">
        <f>SUMIF(72:72,YEAR(I9)&amp;"-"&amp;INT((MONTH(I9)+2)/3),73:73)</f>
        <v>99.5</v>
      </c>
      <c r="K9" s="523"/>
      <c r="L9" s="2118"/>
      <c r="M9" s="2115"/>
      <c r="N9" s="2115"/>
      <c r="O9" s="2119"/>
      <c r="P9" s="3779" t="s">
        <v>530</v>
      </c>
      <c r="Q9" s="3788"/>
      <c r="R9" s="1552" t="s">
        <v>8</v>
      </c>
      <c r="S9" s="1553">
        <f t="shared" ref="S9:S17" si="0">F9</f>
        <v>99.5</v>
      </c>
      <c r="T9" s="1552" t="s">
        <v>8</v>
      </c>
      <c r="U9" s="1553">
        <f t="shared" ref="U9:U17" si="1">H9</f>
        <v>99.5</v>
      </c>
      <c r="V9" s="1552" t="s">
        <v>8</v>
      </c>
      <c r="W9" s="1553">
        <f t="shared" ref="W9:W17" si="2">J9</f>
        <v>99.5</v>
      </c>
      <c r="X9" s="1554"/>
      <c r="Y9" s="3779" t="s">
        <v>530</v>
      </c>
      <c r="Z9" s="3780"/>
      <c r="AA9" s="1555">
        <f>D9/F9</f>
        <v>1.0050251256281406</v>
      </c>
      <c r="AB9" s="1555">
        <f>D9/H9</f>
        <v>1.0050251256281406</v>
      </c>
      <c r="AC9" s="1555">
        <f>D9/J9</f>
        <v>1.0050251256281406</v>
      </c>
    </row>
    <row r="10" spans="1:30" s="1213" customFormat="1" ht="21" thickBot="1">
      <c r="A10" s="2864"/>
      <c r="B10" s="2871"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8"/>
      <c r="M10" s="2115"/>
      <c r="N10" s="2115"/>
      <c r="O10" s="2119"/>
      <c r="P10" s="3779" t="s">
        <v>533</v>
      </c>
      <c r="Q10" s="3780"/>
      <c r="R10" s="1552" t="s">
        <v>8</v>
      </c>
      <c r="S10" s="1553">
        <f t="shared" si="0"/>
        <v>100</v>
      </c>
      <c r="T10" s="1552" t="s">
        <v>8</v>
      </c>
      <c r="U10" s="1553">
        <f t="shared" si="1"/>
        <v>100</v>
      </c>
      <c r="V10" s="1552" t="s">
        <v>8</v>
      </c>
      <c r="W10" s="1553">
        <f t="shared" si="2"/>
        <v>100</v>
      </c>
      <c r="X10" s="1554"/>
      <c r="Y10" s="3779" t="s">
        <v>533</v>
      </c>
      <c r="Z10" s="3780"/>
      <c r="AA10" s="1555">
        <f t="shared" ref="AA10:AA47" si="3">D10/F10</f>
        <v>1</v>
      </c>
      <c r="AB10" s="1555">
        <f t="shared" ref="AB10:AB47" si="4">D10/H10</f>
        <v>1</v>
      </c>
      <c r="AC10" s="1555">
        <f t="shared" ref="AC10:AC47" si="5">D10/J10</f>
        <v>1</v>
      </c>
    </row>
    <row r="11" spans="1:30" s="1213" customFormat="1" ht="20.25">
      <c r="A11" s="2865"/>
      <c r="B11" s="2872" t="s">
        <v>2752</v>
      </c>
      <c r="C11" s="2859"/>
      <c r="D11" s="253">
        <v>100</v>
      </c>
      <c r="E11" s="525"/>
      <c r="F11" s="253">
        <f>SUMIF(77:77,E11,78:78)-SUMIF(77:77,C11,78:78)+100</f>
        <v>100</v>
      </c>
      <c r="G11" s="525"/>
      <c r="H11" s="253">
        <f>SUMIF(77:77,G11,78:78)-SUMIF(77:77,C11,78:78)+100</f>
        <v>100</v>
      </c>
      <c r="I11" s="525"/>
      <c r="J11" s="253">
        <f>SUMIF(77:77,I11,78:78)-SUMIF(77:77,C11,78:78)+100</f>
        <v>100</v>
      </c>
      <c r="K11" s="523"/>
      <c r="L11" s="2118"/>
      <c r="M11" s="2115"/>
      <c r="N11" s="2115"/>
      <c r="O11" s="2120"/>
      <c r="P11" s="3787" t="s">
        <v>535</v>
      </c>
      <c r="Q11" s="1144" t="str">
        <f t="shared" ref="Q11:Q17" si="6">B11</f>
        <v>用途</v>
      </c>
      <c r="R11" s="1552" t="s">
        <v>8</v>
      </c>
      <c r="S11" s="1553">
        <f t="shared" si="0"/>
        <v>100</v>
      </c>
      <c r="T11" s="1552" t="s">
        <v>8</v>
      </c>
      <c r="U11" s="1553">
        <f t="shared" si="1"/>
        <v>100</v>
      </c>
      <c r="V11" s="1552" t="s">
        <v>8</v>
      </c>
      <c r="W11" s="1553">
        <f t="shared" si="2"/>
        <v>100</v>
      </c>
      <c r="X11" s="1554"/>
      <c r="Y11" s="3744" t="s">
        <v>536</v>
      </c>
      <c r="Z11" s="1143" t="str">
        <f t="shared" ref="Z11:Z17" si="7">Q11</f>
        <v>用途</v>
      </c>
      <c r="AA11" s="1555">
        <f t="shared" si="3"/>
        <v>1</v>
      </c>
      <c r="AB11" s="1555">
        <f t="shared" si="4"/>
        <v>1</v>
      </c>
      <c r="AC11" s="1555">
        <f t="shared" si="5"/>
        <v>1</v>
      </c>
    </row>
    <row r="12" spans="1:30" s="1331" customFormat="1" ht="27">
      <c r="A12" s="2866"/>
      <c r="B12" s="2871" t="s">
        <v>2753</v>
      </c>
      <c r="C12" s="908"/>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787"/>
      <c r="Q12" s="1144" t="str">
        <f t="shared" si="6"/>
        <v>土地使用年限（年）</v>
      </c>
      <c r="R12" s="1552" t="s">
        <v>8</v>
      </c>
      <c r="S12" s="1553">
        <f t="shared" si="0"/>
        <v>100</v>
      </c>
      <c r="T12" s="1552" t="s">
        <v>8</v>
      </c>
      <c r="U12" s="1553">
        <f t="shared" si="1"/>
        <v>100</v>
      </c>
      <c r="V12" s="1552" t="s">
        <v>8</v>
      </c>
      <c r="W12" s="1553">
        <f t="shared" si="2"/>
        <v>100</v>
      </c>
      <c r="X12" s="1554"/>
      <c r="Y12" s="3744"/>
      <c r="Z12" s="1143" t="str">
        <f t="shared" si="7"/>
        <v>土地使用年限（年）</v>
      </c>
      <c r="AA12" s="1555">
        <f t="shared" si="3"/>
        <v>1</v>
      </c>
      <c r="AB12" s="1555">
        <f t="shared" si="4"/>
        <v>1</v>
      </c>
      <c r="AC12" s="1555">
        <f t="shared" si="5"/>
        <v>1</v>
      </c>
    </row>
    <row r="13" spans="1:30" ht="20.25">
      <c r="A13" s="2867"/>
      <c r="B13" s="2871" t="s">
        <v>2754</v>
      </c>
      <c r="C13" s="3906">
        <f>'数据-汇总表'!I4</f>
        <v>3.11</v>
      </c>
      <c r="D13" s="254">
        <v>100</v>
      </c>
      <c r="E13" s="532">
        <v>3.2</v>
      </c>
      <c r="F13" s="254">
        <f>LOOKUP(E13,82:82,83:83)-LOOKUP(C13,82:82,83:83)+100</f>
        <v>100</v>
      </c>
      <c r="G13" s="533">
        <v>3.2</v>
      </c>
      <c r="H13" s="254">
        <f>LOOKUP(G13,82:82,83:83)-LOOKUP(C13,82:82,83:83)+100</f>
        <v>100</v>
      </c>
      <c r="I13" s="532">
        <v>6</v>
      </c>
      <c r="J13" s="254">
        <f>LOOKUP(I13,82:82,83:83)-LOOKUP(C13,82:82,83:83)+100</f>
        <v>91</v>
      </c>
      <c r="K13" s="534">
        <v>3</v>
      </c>
      <c r="L13" s="2123"/>
      <c r="M13" s="2115"/>
      <c r="N13" s="2115"/>
      <c r="O13" s="2124"/>
      <c r="P13" s="3787"/>
      <c r="Q13" s="1144" t="str">
        <f t="shared" si="6"/>
        <v>容积率</v>
      </c>
      <c r="R13" s="1552" t="s">
        <v>8</v>
      </c>
      <c r="S13" s="1553">
        <f t="shared" si="0"/>
        <v>100</v>
      </c>
      <c r="T13" s="1552" t="s">
        <v>8</v>
      </c>
      <c r="U13" s="1553">
        <f t="shared" si="1"/>
        <v>100</v>
      </c>
      <c r="V13" s="1552" t="s">
        <v>8</v>
      </c>
      <c r="W13" s="1553">
        <f t="shared" si="2"/>
        <v>91</v>
      </c>
      <c r="X13" s="1554"/>
      <c r="Y13" s="3744"/>
      <c r="Z13" s="1143" t="str">
        <f t="shared" si="7"/>
        <v>容积率</v>
      </c>
      <c r="AA13" s="1555">
        <f t="shared" si="3"/>
        <v>1</v>
      </c>
      <c r="AB13" s="1555">
        <f t="shared" si="4"/>
        <v>1</v>
      </c>
      <c r="AC13" s="1555">
        <f t="shared" si="5"/>
        <v>1.098901098901099</v>
      </c>
    </row>
    <row r="14" spans="1:30" s="1213" customFormat="1" ht="20.25">
      <c r="A14" s="2864"/>
      <c r="B14" s="2873" t="s">
        <v>2755</v>
      </c>
      <c r="C14" s="2860"/>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787"/>
      <c r="Q14" s="1144" t="str">
        <f t="shared" si="6"/>
        <v>配建</v>
      </c>
      <c r="R14" s="1552" t="s">
        <v>8</v>
      </c>
      <c r="S14" s="1553">
        <f t="shared" si="0"/>
        <v>100</v>
      </c>
      <c r="T14" s="1552" t="s">
        <v>8</v>
      </c>
      <c r="U14" s="1553">
        <f t="shared" si="1"/>
        <v>100</v>
      </c>
      <c r="V14" s="1552" t="s">
        <v>8</v>
      </c>
      <c r="W14" s="1553">
        <f t="shared" si="2"/>
        <v>100</v>
      </c>
      <c r="X14" s="1554"/>
      <c r="Y14" s="3744"/>
      <c r="Z14" s="1143" t="str">
        <f t="shared" si="7"/>
        <v>配建</v>
      </c>
      <c r="AA14" s="1555">
        <f>D14/F14</f>
        <v>1</v>
      </c>
      <c r="AB14" s="1555">
        <f>D14/H14</f>
        <v>1</v>
      </c>
      <c r="AC14" s="1555">
        <f>D14/J14</f>
        <v>1</v>
      </c>
    </row>
    <row r="15" spans="1:30" ht="20.25">
      <c r="A15" s="2868"/>
      <c r="B15" s="2874">
        <v>111</v>
      </c>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787"/>
      <c r="Q15" s="1144">
        <f t="shared" si="6"/>
        <v>111</v>
      </c>
      <c r="R15" s="1552" t="s">
        <v>8</v>
      </c>
      <c r="S15" s="1553">
        <f t="shared" si="0"/>
        <v>100</v>
      </c>
      <c r="T15" s="1552" t="s">
        <v>8</v>
      </c>
      <c r="U15" s="1553">
        <f t="shared" si="1"/>
        <v>100</v>
      </c>
      <c r="V15" s="1552" t="s">
        <v>8</v>
      </c>
      <c r="W15" s="1553">
        <f t="shared" si="2"/>
        <v>100</v>
      </c>
      <c r="X15" s="1554"/>
      <c r="Y15" s="3744"/>
      <c r="Z15" s="1143">
        <f t="shared" si="7"/>
        <v>111</v>
      </c>
      <c r="AA15" s="1555">
        <f>D15/F15</f>
        <v>1</v>
      </c>
      <c r="AB15" s="1555">
        <f>D15/H15</f>
        <v>1</v>
      </c>
      <c r="AC15" s="1555">
        <f>D15/J15</f>
        <v>1</v>
      </c>
    </row>
    <row r="16" spans="1:30" ht="21" thickBot="1">
      <c r="A16" s="2869"/>
      <c r="B16" s="2875">
        <v>111</v>
      </c>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787"/>
      <c r="Q16" s="1144">
        <f t="shared" si="6"/>
        <v>111</v>
      </c>
      <c r="R16" s="1552" t="s">
        <v>8</v>
      </c>
      <c r="S16" s="1553">
        <f t="shared" si="0"/>
        <v>100</v>
      </c>
      <c r="T16" s="1552" t="s">
        <v>8</v>
      </c>
      <c r="U16" s="1553">
        <f t="shared" si="1"/>
        <v>100</v>
      </c>
      <c r="V16" s="1552" t="s">
        <v>8</v>
      </c>
      <c r="W16" s="1553">
        <f t="shared" si="2"/>
        <v>100</v>
      </c>
      <c r="X16" s="1554"/>
      <c r="Y16" s="3744"/>
      <c r="Z16" s="1143">
        <f t="shared" si="7"/>
        <v>111</v>
      </c>
      <c r="AA16" s="1555">
        <f>D16/F16</f>
        <v>1</v>
      </c>
      <c r="AB16" s="1555">
        <f>D16/H16</f>
        <v>1</v>
      </c>
      <c r="AC16" s="1555">
        <f>D16/J16</f>
        <v>1</v>
      </c>
    </row>
    <row r="17" spans="1:29" ht="99.75">
      <c r="A17" s="2861"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25"/>
      <c r="M17" s="2115"/>
      <c r="N17" s="2115"/>
      <c r="O17" s="2124"/>
      <c r="P17" s="3789" t="s">
        <v>540</v>
      </c>
      <c r="Q17" s="1556" t="str">
        <f t="shared" si="6"/>
        <v>居住社区成熟度</v>
      </c>
      <c r="R17" s="1557" t="s">
        <v>8</v>
      </c>
      <c r="S17" s="1558">
        <f t="shared" si="0"/>
        <v>103</v>
      </c>
      <c r="T17" s="1557" t="s">
        <v>8</v>
      </c>
      <c r="U17" s="1558">
        <f t="shared" si="1"/>
        <v>103</v>
      </c>
      <c r="V17" s="1557" t="s">
        <v>8</v>
      </c>
      <c r="W17" s="1558">
        <f t="shared" si="2"/>
        <v>103</v>
      </c>
      <c r="X17" s="1551"/>
      <c r="Y17" s="3789" t="s">
        <v>540</v>
      </c>
      <c r="Z17" s="1559" t="str">
        <f t="shared" si="7"/>
        <v>居住社区成熟度</v>
      </c>
      <c r="AA17" s="1560">
        <f t="shared" si="3"/>
        <v>0.970873786407767</v>
      </c>
      <c r="AB17" s="1560">
        <f t="shared" si="4"/>
        <v>0.970873786407767</v>
      </c>
      <c r="AC17" s="1560">
        <f t="shared" si="5"/>
        <v>0.970873786407767</v>
      </c>
    </row>
    <row r="18" spans="1:29" ht="20.25">
      <c r="A18" s="531"/>
      <c r="B18" s="552"/>
      <c r="C18" s="553" t="s">
        <v>3294</v>
      </c>
      <c r="D18" s="556"/>
      <c r="E18" s="553" t="s">
        <v>3295</v>
      </c>
      <c r="F18" s="554"/>
      <c r="G18" s="553" t="s">
        <v>3295</v>
      </c>
      <c r="H18" s="558"/>
      <c r="I18" s="553" t="s">
        <v>3295</v>
      </c>
      <c r="J18" s="554"/>
      <c r="K18" s="530"/>
      <c r="L18" s="2125"/>
      <c r="M18" s="2115"/>
      <c r="N18" s="2115"/>
      <c r="O18" s="2124"/>
      <c r="P18" s="3790"/>
      <c r="Q18" s="1556"/>
      <c r="R18" s="1557"/>
      <c r="S18" s="1558"/>
      <c r="T18" s="1557"/>
      <c r="U18" s="1558"/>
      <c r="V18" s="1557"/>
      <c r="W18" s="1558"/>
      <c r="X18" s="1551"/>
      <c r="Y18" s="3790"/>
      <c r="Z18" s="1559"/>
      <c r="AA18" s="1560">
        <v>1</v>
      </c>
      <c r="AB18" s="1560">
        <v>1</v>
      </c>
      <c r="AC18" s="1560">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102</v>
      </c>
      <c r="I19" s="563"/>
      <c r="J19" s="564">
        <f>SUMIF(92:92,I20,93:93)-SUMIF(92:92,C20,93:93)+100</f>
        <v>102</v>
      </c>
      <c r="K19" s="534">
        <v>2</v>
      </c>
      <c r="L19" s="2125"/>
      <c r="M19" s="2115"/>
      <c r="N19" s="2115"/>
      <c r="O19" s="2124"/>
      <c r="P19" s="3790"/>
      <c r="Q19" s="1556" t="str">
        <f>B19</f>
        <v>商业繁华度</v>
      </c>
      <c r="R19" s="1557" t="s">
        <v>8</v>
      </c>
      <c r="S19" s="1558">
        <f>F19</f>
        <v>102</v>
      </c>
      <c r="T19" s="1557" t="s">
        <v>8</v>
      </c>
      <c r="U19" s="1558">
        <f>H19</f>
        <v>102</v>
      </c>
      <c r="V19" s="1557" t="s">
        <v>8</v>
      </c>
      <c r="W19" s="1558">
        <f>J19</f>
        <v>102</v>
      </c>
      <c r="X19" s="1551"/>
      <c r="Y19" s="3790"/>
      <c r="Z19" s="1559" t="str">
        <f>Q19</f>
        <v>商业繁华度</v>
      </c>
      <c r="AA19" s="1560">
        <f t="shared" si="3"/>
        <v>0.98039215686274506</v>
      </c>
      <c r="AB19" s="1560">
        <f t="shared" si="4"/>
        <v>0.98039215686274506</v>
      </c>
      <c r="AC19" s="1560">
        <f t="shared" si="5"/>
        <v>0.98039215686274506</v>
      </c>
    </row>
    <row r="20" spans="1:29" ht="20.25">
      <c r="A20" s="531"/>
      <c r="B20" s="565"/>
      <c r="C20" s="566" t="s">
        <v>3294</v>
      </c>
      <c r="D20" s="562"/>
      <c r="E20" s="553" t="s">
        <v>3295</v>
      </c>
      <c r="F20" s="558"/>
      <c r="G20" s="553" t="s">
        <v>3295</v>
      </c>
      <c r="H20" s="554"/>
      <c r="I20" s="553" t="s">
        <v>3295</v>
      </c>
      <c r="J20" s="554"/>
      <c r="K20" s="530"/>
      <c r="L20" s="2125"/>
      <c r="M20" s="2115"/>
      <c r="N20" s="2115"/>
      <c r="O20" s="2124"/>
      <c r="P20" s="3790"/>
      <c r="Q20" s="1556"/>
      <c r="R20" s="1557"/>
      <c r="S20" s="1558"/>
      <c r="T20" s="1557"/>
      <c r="U20" s="1558"/>
      <c r="V20" s="1557"/>
      <c r="W20" s="1558"/>
      <c r="X20" s="1551"/>
      <c r="Y20" s="3790"/>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790"/>
      <c r="Q21" s="1556" t="str">
        <f>B21</f>
        <v>办公集聚程度</v>
      </c>
      <c r="R21" s="1557" t="s">
        <v>8</v>
      </c>
      <c r="S21" s="1558">
        <f>F21</f>
        <v>100</v>
      </c>
      <c r="T21" s="1557" t="s">
        <v>8</v>
      </c>
      <c r="U21" s="1558">
        <f>H21</f>
        <v>100</v>
      </c>
      <c r="V21" s="1557" t="s">
        <v>8</v>
      </c>
      <c r="W21" s="1558">
        <f>J21</f>
        <v>100</v>
      </c>
      <c r="X21" s="1551"/>
      <c r="Y21" s="3790"/>
      <c r="Z21" s="1559" t="str">
        <f>Q21</f>
        <v>办公集聚程度</v>
      </c>
      <c r="AA21" s="1560">
        <f t="shared" si="3"/>
        <v>1</v>
      </c>
      <c r="AB21" s="1560">
        <f t="shared" si="4"/>
        <v>1</v>
      </c>
      <c r="AC21" s="1560">
        <f t="shared" si="5"/>
        <v>1</v>
      </c>
    </row>
    <row r="22" spans="1:29" ht="20.25" hidden="1">
      <c r="A22" s="531"/>
      <c r="B22" s="565"/>
      <c r="C22" s="553" t="s">
        <v>3294</v>
      </c>
      <c r="D22" s="556"/>
      <c r="E22" s="553" t="s">
        <v>3295</v>
      </c>
      <c r="F22" s="554"/>
      <c r="G22" s="553" t="s">
        <v>3295</v>
      </c>
      <c r="H22" s="554"/>
      <c r="I22" s="553" t="s">
        <v>3295</v>
      </c>
      <c r="J22" s="554"/>
      <c r="K22" s="530"/>
      <c r="L22" s="2125"/>
      <c r="M22" s="2115"/>
      <c r="N22" s="2115"/>
      <c r="O22" s="2124"/>
      <c r="P22" s="3790"/>
      <c r="Q22" s="1556"/>
      <c r="R22" s="1557"/>
      <c r="S22" s="1558"/>
      <c r="T22" s="1557"/>
      <c r="U22" s="1558"/>
      <c r="V22" s="1557"/>
      <c r="W22" s="1558"/>
      <c r="X22" s="1551"/>
      <c r="Y22" s="3790"/>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25"/>
      <c r="M23" s="2115"/>
      <c r="N23" s="2115"/>
      <c r="O23" s="2124"/>
      <c r="P23" s="3790"/>
      <c r="Q23" s="1556" t="str">
        <f>B23</f>
        <v>交通便捷度</v>
      </c>
      <c r="R23" s="1557" t="s">
        <v>8</v>
      </c>
      <c r="S23" s="1558">
        <f>F23</f>
        <v>102</v>
      </c>
      <c r="T23" s="1557" t="s">
        <v>8</v>
      </c>
      <c r="U23" s="1558">
        <f>H23</f>
        <v>102</v>
      </c>
      <c r="V23" s="1557" t="s">
        <v>8</v>
      </c>
      <c r="W23" s="1558">
        <f>J23</f>
        <v>102</v>
      </c>
      <c r="X23" s="1551"/>
      <c r="Y23" s="3790"/>
      <c r="Z23" s="1559" t="str">
        <f>Q23</f>
        <v>交通便捷度</v>
      </c>
      <c r="AA23" s="1560">
        <f t="shared" si="3"/>
        <v>0.98039215686274506</v>
      </c>
      <c r="AB23" s="1560">
        <f t="shared" si="4"/>
        <v>0.98039215686274506</v>
      </c>
      <c r="AC23" s="1560">
        <f t="shared" si="5"/>
        <v>0.98039215686274506</v>
      </c>
    </row>
    <row r="24" spans="1:29" ht="20.25">
      <c r="A24" s="531"/>
      <c r="B24" s="577"/>
      <c r="C24" s="553" t="s">
        <v>3294</v>
      </c>
      <c r="D24" s="556"/>
      <c r="E24" s="553" t="s">
        <v>3295</v>
      </c>
      <c r="F24" s="554"/>
      <c r="G24" s="553" t="s">
        <v>3295</v>
      </c>
      <c r="H24" s="554"/>
      <c r="I24" s="553" t="s">
        <v>3295</v>
      </c>
      <c r="J24" s="554"/>
      <c r="K24" s="530"/>
      <c r="L24" s="2125"/>
      <c r="M24" s="2115"/>
      <c r="N24" s="2115"/>
      <c r="O24" s="2124"/>
      <c r="P24" s="3790"/>
      <c r="Q24" s="1556"/>
      <c r="R24" s="1557"/>
      <c r="S24" s="1558"/>
      <c r="T24" s="1557"/>
      <c r="U24" s="1558"/>
      <c r="V24" s="1557"/>
      <c r="W24" s="1558"/>
      <c r="X24" s="1551"/>
      <c r="Y24" s="3790"/>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790"/>
      <c r="Q25" s="1556" t="str">
        <f t="shared" ref="Q25:Q39" si="8">B25</f>
        <v>区域土地利用方向</v>
      </c>
      <c r="R25" s="1557" t="s">
        <v>8</v>
      </c>
      <c r="S25" s="1558">
        <f>F25</f>
        <v>100</v>
      </c>
      <c r="T25" s="1557" t="s">
        <v>8</v>
      </c>
      <c r="U25" s="1558">
        <f>H25</f>
        <v>100</v>
      </c>
      <c r="V25" s="1557" t="s">
        <v>8</v>
      </c>
      <c r="W25" s="1558">
        <f>J25</f>
        <v>100</v>
      </c>
      <c r="X25" s="1551"/>
      <c r="Y25" s="3790"/>
      <c r="Z25" s="1559" t="str">
        <f>Q25</f>
        <v>区域土地利用方向</v>
      </c>
      <c r="AA25" s="1560">
        <f t="shared" si="3"/>
        <v>1</v>
      </c>
      <c r="AB25" s="1560">
        <f t="shared" si="4"/>
        <v>1</v>
      </c>
      <c r="AC25" s="1560">
        <f t="shared" si="5"/>
        <v>1</v>
      </c>
    </row>
    <row r="26" spans="1:29" ht="20.25">
      <c r="A26" s="514"/>
      <c r="B26" s="1004"/>
      <c r="C26" s="553" t="s">
        <v>3295</v>
      </c>
      <c r="D26" s="556"/>
      <c r="E26" s="553" t="s">
        <v>3295</v>
      </c>
      <c r="F26" s="554"/>
      <c r="G26" s="553" t="s">
        <v>3295</v>
      </c>
      <c r="H26" s="554"/>
      <c r="I26" s="553" t="s">
        <v>3295</v>
      </c>
      <c r="J26" s="554"/>
      <c r="K26" s="530"/>
      <c r="L26" s="2125"/>
      <c r="M26" s="2115"/>
      <c r="N26" s="2115"/>
      <c r="O26" s="2124"/>
      <c r="P26" s="3790"/>
      <c r="Q26" s="1556"/>
      <c r="R26" s="1557"/>
      <c r="S26" s="1558"/>
      <c r="T26" s="1557"/>
      <c r="U26" s="1558"/>
      <c r="V26" s="1557"/>
      <c r="W26" s="1558"/>
      <c r="X26" s="1551"/>
      <c r="Y26" s="3790"/>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5"/>
      <c r="M27" s="2115"/>
      <c r="N27" s="2115"/>
      <c r="O27" s="2124"/>
      <c r="P27" s="3790"/>
      <c r="Q27" s="1556" t="str">
        <f t="shared" si="8"/>
        <v>自然及人文环境状况</v>
      </c>
      <c r="R27" s="1557" t="s">
        <v>8</v>
      </c>
      <c r="S27" s="1558">
        <f>F27</f>
        <v>100</v>
      </c>
      <c r="T27" s="1557" t="s">
        <v>8</v>
      </c>
      <c r="U27" s="1558">
        <f>H27</f>
        <v>100</v>
      </c>
      <c r="V27" s="1557" t="s">
        <v>8</v>
      </c>
      <c r="W27" s="1558">
        <f>J27</f>
        <v>100</v>
      </c>
      <c r="X27" s="1551"/>
      <c r="Y27" s="3790"/>
      <c r="Z27" s="1559" t="str">
        <f>Q27</f>
        <v>自然及人文环境状况</v>
      </c>
      <c r="AA27" s="1560">
        <f t="shared" si="3"/>
        <v>1</v>
      </c>
      <c r="AB27" s="1560">
        <f t="shared" si="4"/>
        <v>1</v>
      </c>
      <c r="AC27" s="1560">
        <f t="shared" si="5"/>
        <v>1</v>
      </c>
    </row>
    <row r="28" spans="1:29" ht="20.25">
      <c r="A28" s="514"/>
      <c r="B28" s="565"/>
      <c r="C28" s="553" t="s">
        <v>3294</v>
      </c>
      <c r="D28" s="556"/>
      <c r="E28" s="553" t="s">
        <v>3294</v>
      </c>
      <c r="F28" s="554"/>
      <c r="G28" s="553" t="s">
        <v>3294</v>
      </c>
      <c r="H28" s="554"/>
      <c r="I28" s="553" t="s">
        <v>3294</v>
      </c>
      <c r="J28" s="554"/>
      <c r="K28" s="530"/>
      <c r="L28" s="2125"/>
      <c r="M28" s="2115"/>
      <c r="N28" s="2115"/>
      <c r="O28" s="2124"/>
      <c r="P28" s="3790"/>
      <c r="Q28" s="1556"/>
      <c r="R28" s="1557"/>
      <c r="S28" s="1558"/>
      <c r="T28" s="1557"/>
      <c r="U28" s="1558"/>
      <c r="V28" s="1557"/>
      <c r="W28" s="1558"/>
      <c r="X28" s="1551"/>
      <c r="Y28" s="3790"/>
      <c r="Z28" s="1559"/>
      <c r="AA28" s="1560">
        <v>1</v>
      </c>
      <c r="AB28" s="1560">
        <v>1</v>
      </c>
      <c r="AC28" s="1560">
        <v>1</v>
      </c>
    </row>
    <row r="29" spans="1:29" s="1213" customFormat="1" ht="42.75">
      <c r="A29" s="576"/>
      <c r="B29" s="2551" t="s">
        <v>2545</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18"/>
      <c r="M29" s="2115"/>
      <c r="N29" s="2115"/>
      <c r="O29" s="2120"/>
      <c r="P29" s="3790"/>
      <c r="Q29" s="1144" t="str">
        <f t="shared" si="8"/>
        <v>公共配套设施</v>
      </c>
      <c r="R29" s="1552" t="s">
        <v>8</v>
      </c>
      <c r="S29" s="1553">
        <f>F29</f>
        <v>103</v>
      </c>
      <c r="T29" s="1552" t="s">
        <v>8</v>
      </c>
      <c r="U29" s="1553">
        <f>H29</f>
        <v>103</v>
      </c>
      <c r="V29" s="1552" t="s">
        <v>8</v>
      </c>
      <c r="W29" s="1553">
        <f>J29</f>
        <v>103</v>
      </c>
      <c r="X29" s="1554"/>
      <c r="Y29" s="3790"/>
      <c r="Z29" s="1143" t="str">
        <f>Q29</f>
        <v>公共配套设施</v>
      </c>
      <c r="AA29" s="1560">
        <f>D29/F29</f>
        <v>0.970873786407767</v>
      </c>
      <c r="AB29" s="1560">
        <f>D29/H29</f>
        <v>0.970873786407767</v>
      </c>
      <c r="AC29" s="1560">
        <f>D29/J29</f>
        <v>0.970873786407767</v>
      </c>
    </row>
    <row r="30" spans="1:29" s="1213" customFormat="1" ht="20.25">
      <c r="A30" s="576"/>
      <c r="B30" s="565"/>
      <c r="C30" s="578" t="s">
        <v>3294</v>
      </c>
      <c r="D30" s="556"/>
      <c r="E30" s="553" t="s">
        <v>3295</v>
      </c>
      <c r="F30" s="554"/>
      <c r="G30" s="553" t="s">
        <v>3295</v>
      </c>
      <c r="H30" s="554"/>
      <c r="I30" s="553" t="s">
        <v>3295</v>
      </c>
      <c r="J30" s="554"/>
      <c r="K30" s="530"/>
      <c r="L30" s="2118"/>
      <c r="M30" s="2115"/>
      <c r="N30" s="2115"/>
      <c r="O30" s="2120"/>
      <c r="P30" s="3790"/>
      <c r="Q30" s="1144"/>
      <c r="R30" s="1552"/>
      <c r="S30" s="1553"/>
      <c r="T30" s="1552"/>
      <c r="U30" s="1553"/>
      <c r="V30" s="1552"/>
      <c r="W30" s="1553"/>
      <c r="X30" s="1554"/>
      <c r="Y30" s="3790"/>
      <c r="Z30" s="1143"/>
      <c r="AA30" s="1560">
        <v>1</v>
      </c>
      <c r="AB30" s="1560">
        <v>1</v>
      </c>
      <c r="AC30" s="1560">
        <v>1</v>
      </c>
    </row>
    <row r="31" spans="1:29" s="1213" customFormat="1" ht="28.5">
      <c r="A31" s="576"/>
      <c r="B31" s="2551"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8"/>
      <c r="M31" s="2115"/>
      <c r="N31" s="2115"/>
      <c r="O31" s="2120"/>
      <c r="P31" s="3790"/>
      <c r="Q31" s="2538" t="str">
        <f>B31</f>
        <v>基础设施水平</v>
      </c>
      <c r="R31" s="1552" t="s">
        <v>8</v>
      </c>
      <c r="S31" s="1553">
        <f>F31</f>
        <v>100</v>
      </c>
      <c r="T31" s="1552" t="s">
        <v>8</v>
      </c>
      <c r="U31" s="1553">
        <f>H31</f>
        <v>100</v>
      </c>
      <c r="V31" s="1552" t="s">
        <v>8</v>
      </c>
      <c r="W31" s="1553">
        <f>J31</f>
        <v>100</v>
      </c>
      <c r="X31" s="1554"/>
      <c r="Y31" s="3790"/>
      <c r="Z31" s="2535" t="str">
        <f>Q31</f>
        <v>基础设施水平</v>
      </c>
      <c r="AA31" s="1560">
        <f>D31/F31</f>
        <v>1</v>
      </c>
      <c r="AB31" s="1560">
        <f>D31/H31</f>
        <v>1</v>
      </c>
      <c r="AC31" s="1560">
        <f>D31/J31</f>
        <v>1</v>
      </c>
    </row>
    <row r="32" spans="1:29" s="1213" customFormat="1" ht="20.25">
      <c r="A32" s="576"/>
      <c r="B32" s="565"/>
      <c r="C32" s="578" t="s">
        <v>3296</v>
      </c>
      <c r="D32" s="556"/>
      <c r="E32" s="578" t="s">
        <v>3296</v>
      </c>
      <c r="F32" s="554"/>
      <c r="G32" s="578" t="s">
        <v>3296</v>
      </c>
      <c r="H32" s="554"/>
      <c r="I32" s="578" t="s">
        <v>3296</v>
      </c>
      <c r="J32" s="554"/>
      <c r="K32" s="530"/>
      <c r="L32" s="2118"/>
      <c r="M32" s="2115"/>
      <c r="N32" s="2115"/>
      <c r="O32" s="2120"/>
      <c r="P32" s="3790"/>
      <c r="Q32" s="2538"/>
      <c r="R32" s="1552"/>
      <c r="S32" s="1553"/>
      <c r="T32" s="1552"/>
      <c r="U32" s="1553"/>
      <c r="V32" s="1552"/>
      <c r="W32" s="1553"/>
      <c r="X32" s="1554"/>
      <c r="Y32" s="3790"/>
      <c r="Z32" s="2535"/>
      <c r="AA32" s="1560">
        <v>1</v>
      </c>
      <c r="AB32" s="1560">
        <v>1</v>
      </c>
      <c r="AC32" s="1560">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790"/>
      <c r="Q33" s="1556" t="str">
        <f t="shared" si="8"/>
        <v>临街状况</v>
      </c>
      <c r="R33" s="1557" t="s">
        <v>8</v>
      </c>
      <c r="S33" s="1558">
        <f t="shared" ref="S33:S47" si="9">F33</f>
        <v>100</v>
      </c>
      <c r="T33" s="1557" t="s">
        <v>8</v>
      </c>
      <c r="U33" s="1558">
        <f t="shared" ref="U33:U47" si="10">H33</f>
        <v>100</v>
      </c>
      <c r="V33" s="1557" t="s">
        <v>8</v>
      </c>
      <c r="W33" s="1558">
        <f t="shared" ref="W33:W47" si="11">J33</f>
        <v>100</v>
      </c>
      <c r="X33" s="1551"/>
      <c r="Y33" s="3790"/>
      <c r="Z33" s="1559" t="str">
        <f t="shared" ref="Z33:Z47" si="12">Q33</f>
        <v>临街状况</v>
      </c>
      <c r="AA33" s="1560">
        <f t="shared" si="3"/>
        <v>1</v>
      </c>
      <c r="AB33" s="1560">
        <f t="shared" si="4"/>
        <v>1</v>
      </c>
      <c r="AC33" s="1560">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790"/>
      <c r="Q34" s="1556" t="str">
        <f t="shared" si="8"/>
        <v>毗邻道路的类型与等级</v>
      </c>
      <c r="R34" s="1557" t="s">
        <v>8</v>
      </c>
      <c r="S34" s="1558">
        <f t="shared" si="9"/>
        <v>100</v>
      </c>
      <c r="T34" s="1557" t="s">
        <v>8</v>
      </c>
      <c r="U34" s="1558">
        <f t="shared" si="10"/>
        <v>100</v>
      </c>
      <c r="V34" s="1557" t="s">
        <v>8</v>
      </c>
      <c r="W34" s="1558">
        <f t="shared" si="11"/>
        <v>100</v>
      </c>
      <c r="X34" s="1551"/>
      <c r="Y34" s="3790"/>
      <c r="Z34" s="1559" t="str">
        <f t="shared" si="12"/>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790"/>
      <c r="Q35" s="1556"/>
      <c r="R35" s="1557"/>
      <c r="S35" s="1558"/>
      <c r="T35" s="1557"/>
      <c r="U35" s="1558"/>
      <c r="V35" s="1557"/>
      <c r="W35" s="1558"/>
      <c r="X35" s="1551"/>
      <c r="Y35" s="3790"/>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790"/>
      <c r="Q36" s="1556" t="str">
        <f t="shared" si="8"/>
        <v>土地级别</v>
      </c>
      <c r="R36" s="1557" t="s">
        <v>8</v>
      </c>
      <c r="S36" s="1558">
        <f t="shared" si="9"/>
        <v>100</v>
      </c>
      <c r="T36" s="1557" t="s">
        <v>8</v>
      </c>
      <c r="U36" s="1558">
        <f t="shared" si="10"/>
        <v>100</v>
      </c>
      <c r="V36" s="1557" t="s">
        <v>8</v>
      </c>
      <c r="W36" s="1558">
        <f t="shared" si="11"/>
        <v>100</v>
      </c>
      <c r="X36" s="1551"/>
      <c r="Y36" s="3790"/>
      <c r="Z36" s="1559" t="str">
        <f t="shared" si="12"/>
        <v>土地级别</v>
      </c>
      <c r="AA36" s="1560">
        <f t="shared" si="3"/>
        <v>1</v>
      </c>
      <c r="AB36" s="1560">
        <f t="shared" si="4"/>
        <v>1</v>
      </c>
      <c r="AC36" s="1560">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790"/>
      <c r="Q37" s="1556">
        <f t="shared" si="8"/>
        <v>111</v>
      </c>
      <c r="R37" s="1557" t="s">
        <v>8</v>
      </c>
      <c r="S37" s="1558">
        <f t="shared" si="9"/>
        <v>100</v>
      </c>
      <c r="T37" s="1557" t="s">
        <v>8</v>
      </c>
      <c r="U37" s="1558">
        <f t="shared" si="10"/>
        <v>100</v>
      </c>
      <c r="V37" s="1557" t="s">
        <v>8</v>
      </c>
      <c r="W37" s="1558">
        <f t="shared" si="11"/>
        <v>100</v>
      </c>
      <c r="X37" s="1551"/>
      <c r="Y37" s="3790"/>
      <c r="Z37" s="1559">
        <f t="shared" si="12"/>
        <v>111</v>
      </c>
      <c r="AA37" s="1560">
        <f t="shared" si="3"/>
        <v>1</v>
      </c>
      <c r="AB37" s="1560">
        <f t="shared" si="4"/>
        <v>1</v>
      </c>
      <c r="AC37" s="1560">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791" t="s">
        <v>550</v>
      </c>
      <c r="Q38" s="1556">
        <f t="shared" si="8"/>
        <v>111</v>
      </c>
      <c r="R38" s="1557" t="s">
        <v>8</v>
      </c>
      <c r="S38" s="1558">
        <f t="shared" si="9"/>
        <v>100</v>
      </c>
      <c r="T38" s="1557" t="s">
        <v>8</v>
      </c>
      <c r="U38" s="1558">
        <f t="shared" si="10"/>
        <v>100</v>
      </c>
      <c r="V38" s="1557" t="s">
        <v>8</v>
      </c>
      <c r="W38" s="1558">
        <f t="shared" si="11"/>
        <v>100</v>
      </c>
      <c r="X38" s="1551"/>
      <c r="Y38" s="3792" t="s">
        <v>550</v>
      </c>
      <c r="Z38" s="1559">
        <f t="shared" si="12"/>
        <v>111</v>
      </c>
      <c r="AA38" s="1560">
        <f t="shared" si="3"/>
        <v>1</v>
      </c>
      <c r="AB38" s="1560">
        <f t="shared" si="4"/>
        <v>1</v>
      </c>
      <c r="AC38" s="1560">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792"/>
      <c r="Q39" s="1556">
        <f t="shared" si="8"/>
        <v>111</v>
      </c>
      <c r="R39" s="1561" t="s">
        <v>8</v>
      </c>
      <c r="S39" s="1562">
        <f t="shared" si="9"/>
        <v>100</v>
      </c>
      <c r="T39" s="1561" t="s">
        <v>8</v>
      </c>
      <c r="U39" s="1562">
        <f t="shared" si="10"/>
        <v>100</v>
      </c>
      <c r="V39" s="1561" t="s">
        <v>8</v>
      </c>
      <c r="W39" s="1562">
        <f t="shared" si="11"/>
        <v>100</v>
      </c>
      <c r="X39" s="1563"/>
      <c r="Y39" s="3792"/>
      <c r="Z39" s="1564">
        <f t="shared" si="12"/>
        <v>111</v>
      </c>
      <c r="AA39" s="1560">
        <f t="shared" si="3"/>
        <v>1</v>
      </c>
      <c r="AB39" s="1560">
        <f t="shared" si="4"/>
        <v>1</v>
      </c>
      <c r="AC39" s="1560">
        <f t="shared" si="5"/>
        <v>1</v>
      </c>
    </row>
    <row r="40" spans="1:29" ht="20.25">
      <c r="A40" s="2858" t="s">
        <v>2751</v>
      </c>
      <c r="B40" s="594" t="s">
        <v>552</v>
      </c>
      <c r="C40" s="595">
        <f>'数据-汇总表'!D3</f>
        <v>61677.15</v>
      </c>
      <c r="D40" s="596">
        <v>100</v>
      </c>
      <c r="E40" s="595">
        <f>Sheet1!I21</f>
        <v>20627.91</v>
      </c>
      <c r="F40" s="596">
        <f>LOOKUP(E40,119:119,120:120)-LOOKUP(C40,119:119,120:120)+100</f>
        <v>96</v>
      </c>
      <c r="G40" s="595">
        <f>Sheet1!I22</f>
        <v>29242.1</v>
      </c>
      <c r="H40" s="596">
        <f>LOOKUP(G40,119:119,120:120)-LOOKUP(C40,119:119,120:120)+100</f>
        <v>96</v>
      </c>
      <c r="I40" s="597">
        <f>Sheet1!I44</f>
        <v>14315.52</v>
      </c>
      <c r="J40" s="596">
        <f>LOOKUP(I40,119:119,120:120)-LOOKUP(C40,119:119,120:120)+100</f>
        <v>96</v>
      </c>
      <c r="K40" s="580"/>
      <c r="L40" s="2125"/>
      <c r="M40" s="2115"/>
      <c r="N40" s="2115"/>
      <c r="O40" s="2124"/>
      <c r="P40" s="3792"/>
      <c r="Q40" s="1556" t="str">
        <f>B40</f>
        <v>宗地面积</v>
      </c>
      <c r="R40" s="1557" t="s">
        <v>8</v>
      </c>
      <c r="S40" s="1558">
        <f t="shared" si="9"/>
        <v>96</v>
      </c>
      <c r="T40" s="1557" t="s">
        <v>8</v>
      </c>
      <c r="U40" s="1558">
        <f t="shared" si="10"/>
        <v>96</v>
      </c>
      <c r="V40" s="1557" t="s">
        <v>8</v>
      </c>
      <c r="W40" s="1558">
        <f t="shared" si="11"/>
        <v>96</v>
      </c>
      <c r="X40" s="1551"/>
      <c r="Y40" s="3792"/>
      <c r="Z40" s="1559" t="str">
        <f t="shared" si="12"/>
        <v>宗地面积</v>
      </c>
      <c r="AA40" s="1560">
        <f t="shared" si="3"/>
        <v>1.0416666666666667</v>
      </c>
      <c r="AB40" s="1560">
        <f t="shared" si="4"/>
        <v>1.0416666666666667</v>
      </c>
      <c r="AC40" s="1560">
        <f t="shared" si="5"/>
        <v>1.0416666666666667</v>
      </c>
    </row>
    <row r="41" spans="1:29" ht="20.25">
      <c r="A41" s="593"/>
      <c r="B41" s="526" t="s">
        <v>553</v>
      </c>
      <c r="C41" s="598" t="s">
        <v>3298</v>
      </c>
      <c r="D41" s="539">
        <v>100</v>
      </c>
      <c r="E41" s="598" t="s">
        <v>3298</v>
      </c>
      <c r="F41" s="539">
        <f>SUMIF(121:121,E41,122:122)-SUMIF(121:121,C41,122:122)+100</f>
        <v>100</v>
      </c>
      <c r="G41" s="598" t="s">
        <v>3298</v>
      </c>
      <c r="H41" s="539">
        <f>SUMIF(121:121,G41,122:122)-SUMIF(121:121,C41,122:122)+100</f>
        <v>100</v>
      </c>
      <c r="I41" s="598" t="s">
        <v>3298</v>
      </c>
      <c r="J41" s="539">
        <f>SUMIF(121:121,I41,122:122)-SUMIF(121:121,C41,122:122)+100</f>
        <v>100</v>
      </c>
      <c r="K41" s="583"/>
      <c r="L41" s="2125"/>
      <c r="M41" s="2115"/>
      <c r="N41" s="2115"/>
      <c r="O41" s="2124"/>
      <c r="P41" s="3792"/>
      <c r="Q41" s="1556" t="str">
        <f t="shared" ref="Q41:Q47" si="13">B41</f>
        <v>宗地形状</v>
      </c>
      <c r="R41" s="1557" t="s">
        <v>8</v>
      </c>
      <c r="S41" s="1558">
        <f t="shared" si="9"/>
        <v>100</v>
      </c>
      <c r="T41" s="1557" t="s">
        <v>8</v>
      </c>
      <c r="U41" s="1558">
        <f t="shared" si="10"/>
        <v>100</v>
      </c>
      <c r="V41" s="1557" t="s">
        <v>8</v>
      </c>
      <c r="W41" s="1558">
        <f t="shared" si="11"/>
        <v>100</v>
      </c>
      <c r="X41" s="1551"/>
      <c r="Y41" s="3792"/>
      <c r="Z41" s="1559" t="str">
        <f t="shared" si="12"/>
        <v>宗地形状</v>
      </c>
      <c r="AA41" s="1560">
        <f t="shared" si="3"/>
        <v>1</v>
      </c>
      <c r="AB41" s="1560">
        <f t="shared" si="4"/>
        <v>1</v>
      </c>
      <c r="AC41" s="1560">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792"/>
      <c r="Q42" s="1556" t="str">
        <f t="shared" si="13"/>
        <v>临街宽度及深度</v>
      </c>
      <c r="R42" s="1557" t="s">
        <v>8</v>
      </c>
      <c r="S42" s="1558">
        <f t="shared" si="9"/>
        <v>100</v>
      </c>
      <c r="T42" s="1557" t="s">
        <v>8</v>
      </c>
      <c r="U42" s="1558">
        <f t="shared" si="10"/>
        <v>100</v>
      </c>
      <c r="V42" s="1557" t="s">
        <v>8</v>
      </c>
      <c r="W42" s="1558">
        <f t="shared" si="11"/>
        <v>100</v>
      </c>
      <c r="X42" s="1551"/>
      <c r="Y42" s="3792"/>
      <c r="Z42" s="1559" t="str">
        <f t="shared" si="12"/>
        <v>临街宽度及深度</v>
      </c>
      <c r="AA42" s="1560">
        <f t="shared" si="3"/>
        <v>1</v>
      </c>
      <c r="AB42" s="1560">
        <f t="shared" si="4"/>
        <v>1</v>
      </c>
      <c r="AC42" s="1560">
        <f t="shared" si="5"/>
        <v>1</v>
      </c>
    </row>
    <row r="43" spans="1:29" s="1213" customFormat="1" ht="20.25">
      <c r="A43" s="599"/>
      <c r="B43" s="1878" t="s">
        <v>2421</v>
      </c>
      <c r="C43" s="600" t="s">
        <v>3303</v>
      </c>
      <c r="D43" s="254">
        <v>100</v>
      </c>
      <c r="E43" s="600" t="s">
        <v>3303</v>
      </c>
      <c r="F43" s="539">
        <f>SUMIF(125:125,E43,126:126)-SUMIF(125:125,C43,126:126)+100</f>
        <v>100</v>
      </c>
      <c r="G43" s="600" t="s">
        <v>3303</v>
      </c>
      <c r="H43" s="539">
        <f>SUMIF(125:125,G43,126:126)-SUMIF(125:125,C43,126:126)+100</f>
        <v>100</v>
      </c>
      <c r="I43" s="600" t="s">
        <v>3303</v>
      </c>
      <c r="J43" s="539">
        <f>SUMIF(125:125,I43,126:126)-SUMIF(125:125,C43,126:126)+100</f>
        <v>100</v>
      </c>
      <c r="K43" s="583"/>
      <c r="L43" s="2118"/>
      <c r="M43" s="2115"/>
      <c r="N43" s="2115"/>
      <c r="O43" s="2120"/>
      <c r="P43" s="3792"/>
      <c r="Q43" s="1556" t="str">
        <f t="shared" si="13"/>
        <v>宗地开发程度</v>
      </c>
      <c r="R43" s="1552" t="s">
        <v>8</v>
      </c>
      <c r="S43" s="1553">
        <f t="shared" si="9"/>
        <v>100</v>
      </c>
      <c r="T43" s="1552" t="s">
        <v>8</v>
      </c>
      <c r="U43" s="1553">
        <f t="shared" si="10"/>
        <v>100</v>
      </c>
      <c r="V43" s="1552" t="s">
        <v>8</v>
      </c>
      <c r="W43" s="1553">
        <f t="shared" si="11"/>
        <v>100</v>
      </c>
      <c r="X43" s="1554"/>
      <c r="Y43" s="3792"/>
      <c r="Z43" s="1143" t="str">
        <f t="shared" si="12"/>
        <v>宗地开发程度</v>
      </c>
      <c r="AA43" s="1555">
        <f t="shared" si="3"/>
        <v>1</v>
      </c>
      <c r="AB43" s="1555">
        <f t="shared" si="4"/>
        <v>1</v>
      </c>
      <c r="AC43" s="1555">
        <f t="shared" si="5"/>
        <v>1</v>
      </c>
    </row>
    <row r="44" spans="1:29" ht="20.25">
      <c r="A44" s="593"/>
      <c r="B44" s="526" t="s">
        <v>555</v>
      </c>
      <c r="C44" s="598" t="s">
        <v>3295</v>
      </c>
      <c r="D44" s="539">
        <v>100</v>
      </c>
      <c r="E44" s="598" t="s">
        <v>3295</v>
      </c>
      <c r="F44" s="539">
        <f>SUMIF(127:127,E44,128:128)-SUMIF(127:127,C44,128:128)+100</f>
        <v>100</v>
      </c>
      <c r="G44" s="598" t="s">
        <v>3295</v>
      </c>
      <c r="H44" s="539">
        <f>SUMIF(127:127,G44,128:128)-SUMIF(127:127,C44,128:128)+100</f>
        <v>100</v>
      </c>
      <c r="I44" s="598" t="s">
        <v>3295</v>
      </c>
      <c r="J44" s="539">
        <f>SUMIF(127:127,I44,128:128)-SUMIF(127:127,C44,128:128)+100</f>
        <v>100</v>
      </c>
      <c r="K44" s="583"/>
      <c r="L44" s="2125"/>
      <c r="M44" s="2115"/>
      <c r="N44" s="2115"/>
      <c r="O44" s="2124"/>
      <c r="P44" s="3792" t="s">
        <v>550</v>
      </c>
      <c r="Q44" s="1556" t="str">
        <f t="shared" si="13"/>
        <v>工程地质条件</v>
      </c>
      <c r="R44" s="1557" t="s">
        <v>8</v>
      </c>
      <c r="S44" s="1558">
        <f t="shared" si="9"/>
        <v>100</v>
      </c>
      <c r="T44" s="1557" t="s">
        <v>8</v>
      </c>
      <c r="U44" s="1558">
        <f t="shared" si="10"/>
        <v>100</v>
      </c>
      <c r="V44" s="1557" t="s">
        <v>8</v>
      </c>
      <c r="W44" s="1558">
        <f t="shared" si="11"/>
        <v>100</v>
      </c>
      <c r="X44" s="1551"/>
      <c r="Y44" s="3792" t="s">
        <v>550</v>
      </c>
      <c r="Z44" s="1559" t="str">
        <f t="shared" si="12"/>
        <v>工程地质条件</v>
      </c>
      <c r="AA44" s="1560">
        <f t="shared" si="3"/>
        <v>1</v>
      </c>
      <c r="AB44" s="1560">
        <f t="shared" si="4"/>
        <v>1</v>
      </c>
      <c r="AC44" s="1560">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792"/>
      <c r="Q45" s="1556">
        <f t="shared" si="13"/>
        <v>111</v>
      </c>
      <c r="R45" s="1557" t="s">
        <v>8</v>
      </c>
      <c r="S45" s="1558">
        <f t="shared" si="9"/>
        <v>100</v>
      </c>
      <c r="T45" s="1557" t="s">
        <v>8</v>
      </c>
      <c r="U45" s="1558">
        <f t="shared" si="10"/>
        <v>100</v>
      </c>
      <c r="V45" s="1557" t="s">
        <v>8</v>
      </c>
      <c r="W45" s="1558">
        <f t="shared" si="11"/>
        <v>100</v>
      </c>
      <c r="X45" s="1551"/>
      <c r="Y45" s="3792"/>
      <c r="Z45" s="1559">
        <f t="shared" si="12"/>
        <v>111</v>
      </c>
      <c r="AA45" s="1560">
        <f t="shared" si="3"/>
        <v>1</v>
      </c>
      <c r="AB45" s="1560">
        <f t="shared" si="4"/>
        <v>1</v>
      </c>
      <c r="AC45" s="1560">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792"/>
      <c r="Q46" s="1556">
        <f t="shared" si="13"/>
        <v>111</v>
      </c>
      <c r="R46" s="1557" t="s">
        <v>8</v>
      </c>
      <c r="S46" s="1558">
        <f t="shared" si="9"/>
        <v>100</v>
      </c>
      <c r="T46" s="1557" t="s">
        <v>8</v>
      </c>
      <c r="U46" s="1558">
        <f t="shared" si="10"/>
        <v>100</v>
      </c>
      <c r="V46" s="1557" t="s">
        <v>8</v>
      </c>
      <c r="W46" s="1558">
        <f t="shared" si="11"/>
        <v>100</v>
      </c>
      <c r="X46" s="1551"/>
      <c r="Y46" s="3792"/>
      <c r="Z46" s="1559">
        <f t="shared" si="12"/>
        <v>111</v>
      </c>
      <c r="AA46" s="1560">
        <f t="shared" si="3"/>
        <v>1</v>
      </c>
      <c r="AB46" s="1560">
        <f t="shared" si="4"/>
        <v>1</v>
      </c>
      <c r="AC46" s="1560">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792"/>
      <c r="Q47" s="1556">
        <f t="shared" si="13"/>
        <v>111</v>
      </c>
      <c r="R47" s="1561" t="s">
        <v>8</v>
      </c>
      <c r="S47" s="1562">
        <f t="shared" si="9"/>
        <v>100</v>
      </c>
      <c r="T47" s="1561" t="s">
        <v>8</v>
      </c>
      <c r="U47" s="1562">
        <f t="shared" si="10"/>
        <v>100</v>
      </c>
      <c r="V47" s="1561" t="s">
        <v>8</v>
      </c>
      <c r="W47" s="1562">
        <f t="shared" si="11"/>
        <v>100</v>
      </c>
      <c r="X47" s="1563"/>
      <c r="Y47" s="3792"/>
      <c r="Z47" s="1564">
        <f t="shared" si="12"/>
        <v>111</v>
      </c>
      <c r="AA47" s="1560">
        <f t="shared" si="3"/>
        <v>1</v>
      </c>
      <c r="AB47" s="1560">
        <f t="shared" si="4"/>
        <v>1</v>
      </c>
      <c r="AC47" s="1560">
        <f t="shared" si="5"/>
        <v>1</v>
      </c>
    </row>
    <row r="48" spans="1:29" ht="20.25">
      <c r="A48" s="606" t="s">
        <v>556</v>
      </c>
      <c r="B48" s="607" t="s">
        <v>3293</v>
      </c>
      <c r="C48" s="608" t="s">
        <v>1</v>
      </c>
      <c r="D48" s="609"/>
      <c r="E48" s="610">
        <f>ROUND(Sheet1!P21,0)</f>
        <v>4800</v>
      </c>
      <c r="F48" s="611"/>
      <c r="G48" s="612">
        <f>ROUND(Sheet1!P22,0)</f>
        <v>4800</v>
      </c>
      <c r="H48" s="613"/>
      <c r="I48" s="610">
        <f>ROUND(Sheet1!P44,0)</f>
        <v>4507</v>
      </c>
      <c r="J48" s="613"/>
      <c r="K48" s="1333"/>
      <c r="L48" s="2127"/>
      <c r="M48" s="2115"/>
      <c r="N48" s="2115"/>
      <c r="O48" s="2128"/>
      <c r="P48" s="3787" t="str">
        <f>A48</f>
        <v>成交单价</v>
      </c>
      <c r="Q48" s="3787"/>
      <c r="R48" s="3801">
        <f>E48</f>
        <v>4800</v>
      </c>
      <c r="S48" s="3801"/>
      <c r="T48" s="3801">
        <f>G48</f>
        <v>4800</v>
      </c>
      <c r="U48" s="3801"/>
      <c r="V48" s="3801">
        <f>I48</f>
        <v>4507</v>
      </c>
      <c r="W48" s="3801"/>
      <c r="X48" s="1543"/>
      <c r="Y48" s="1565"/>
      <c r="Z48" s="1543"/>
      <c r="AA48" s="1543"/>
      <c r="AB48" s="1543"/>
      <c r="AC48" s="1543"/>
    </row>
    <row r="49" spans="1:29" ht="21" thickBot="1">
      <c r="A49" s="614" t="s">
        <v>2689</v>
      </c>
      <c r="B49" s="615"/>
      <c r="C49" s="616">
        <f>R50</f>
        <v>4601</v>
      </c>
      <c r="D49" s="617"/>
      <c r="E49" s="616">
        <f>R49</f>
        <v>4553</v>
      </c>
      <c r="F49" s="618"/>
      <c r="G49" s="619">
        <f>T49</f>
        <v>4553</v>
      </c>
      <c r="H49" s="617"/>
      <c r="I49" s="616">
        <f>V49</f>
        <v>4698</v>
      </c>
      <c r="J49" s="617"/>
      <c r="K49" s="1334"/>
      <c r="L49" s="2127"/>
      <c r="M49" s="2115"/>
      <c r="N49" s="2115"/>
      <c r="O49" s="2128"/>
      <c r="P49" s="3787" t="str">
        <f>A49</f>
        <v>比较价格（元/平方米）</v>
      </c>
      <c r="Q49" s="3787"/>
      <c r="R49" s="3811">
        <f>ROUND(PRODUCT(R48,AA9:AA47),0)</f>
        <v>4553</v>
      </c>
      <c r="S49" s="3811"/>
      <c r="T49" s="3811">
        <f>ROUND(PRODUCT(T48,AB9:AB47),0)</f>
        <v>4553</v>
      </c>
      <c r="U49" s="3811"/>
      <c r="V49" s="3811">
        <f>ROUND(PRODUCT(V48,AC9:AC47),0)</f>
        <v>4698</v>
      </c>
      <c r="W49" s="3811"/>
      <c r="X49" s="1543"/>
      <c r="Y49" s="1543"/>
      <c r="Z49" s="1543"/>
      <c r="AA49" s="1543"/>
      <c r="AB49" s="1543"/>
      <c r="AC49" s="1543"/>
    </row>
    <row r="50" spans="1:29" ht="21" thickBot="1">
      <c r="A50" s="620" t="s">
        <v>2930</v>
      </c>
      <c r="B50" s="621"/>
      <c r="C50" s="622">
        <f>R50</f>
        <v>4601</v>
      </c>
      <c r="D50" s="622"/>
      <c r="E50" s="622"/>
      <c r="F50" s="622"/>
      <c r="G50" s="622"/>
      <c r="H50" s="622"/>
      <c r="I50" s="622"/>
      <c r="J50" s="622"/>
      <c r="K50" s="1335"/>
      <c r="L50" s="2127"/>
      <c r="M50" s="2115"/>
      <c r="N50" s="2115"/>
      <c r="O50" s="2128"/>
      <c r="P50" s="3808" t="str">
        <f>A50</f>
        <v>估价对象XX用房的比较价格（楼面单价，元/平方米）</v>
      </c>
      <c r="Q50" s="3809"/>
      <c r="R50" s="3810">
        <f>ROUND(AVERAGE(R49:V49),0)</f>
        <v>4601</v>
      </c>
      <c r="S50" s="3810"/>
      <c r="T50" s="3810"/>
      <c r="U50" s="3810"/>
      <c r="V50" s="3810"/>
      <c r="W50" s="3810"/>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5.4249945091148666E-2</v>
      </c>
      <c r="F53" s="626" t="str">
        <f>IF(OR(E53&gt;=0.3,E53&lt;=-0.3),"超过30%","")</f>
        <v/>
      </c>
      <c r="G53" s="625">
        <f>IF(G48&lt;G49,G49/G48-1,G48/G49-1)</f>
        <v>5.4249945091148666E-2</v>
      </c>
      <c r="H53" s="626" t="str">
        <f>IF(OR(G53&gt;=0.3,G53&lt;=-0.3),"超过30%","")</f>
        <v/>
      </c>
      <c r="I53" s="625">
        <f>IF(I48&lt;I49,I49/I48-1,I48/I49-1)</f>
        <v>4.2378522298646581E-2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0</v>
      </c>
      <c r="F54" s="626" t="str">
        <f>IF(OR(E54&gt;=0.2,E54&lt;=-0.2),"超过20%","")</f>
        <v/>
      </c>
      <c r="G54" s="625">
        <f>IF(G49&lt;I49,I49/G49-1,G49/I49-1)</f>
        <v>3.1847133757961776E-2</v>
      </c>
      <c r="H54" s="626" t="str">
        <f>IF(OR(G54&gt;=0.2,G54&lt;=-0.2),"超过20%","")</f>
        <v/>
      </c>
      <c r="I54" s="625">
        <f>IF(I49&lt;E49,E49/I49-1,I49/E49-1)</f>
        <v>3.1847133757961776E-2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f>IF(E48&lt;G48,G48/E48-1,E48/G48-1)</f>
        <v>0</v>
      </c>
      <c r="F55" s="626" t="str">
        <f>IF(OR(E55&gt;=0.3,E55&lt;=-0.3),"超过30%","")</f>
        <v/>
      </c>
      <c r="G55" s="625">
        <f>IF(G48&lt;I48,I48/G48-1,G48/I48-1)</f>
        <v>6.5009984468604287E-2</v>
      </c>
      <c r="H55" s="626" t="str">
        <f>IF(OR(G55&gt;=0.3,G55&lt;=-0.3),"超过30%","")</f>
        <v/>
      </c>
      <c r="I55" s="625">
        <f>IF(I48&lt;E48,E48/I48-1,I48/E48-1)</f>
        <v>6.5009984468604287E-2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3344</v>
      </c>
      <c r="D57" s="2210" t="s">
        <v>2290</v>
      </c>
      <c r="E57" s="630" t="s">
        <v>562</v>
      </c>
      <c r="F57" s="631" t="s">
        <v>563</v>
      </c>
      <c r="G57" s="3771" t="s">
        <v>2278</v>
      </c>
      <c r="H57" s="3772"/>
      <c r="I57" s="1539" t="s">
        <v>1722</v>
      </c>
      <c r="J57" s="1539" t="str">
        <f>项目基本情况!F41</f>
        <v>云南省</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2" t="s">
        <v>564</v>
      </c>
      <c r="B58" s="633">
        <f>C50</f>
        <v>4601</v>
      </c>
      <c r="C58" s="634">
        <v>1</v>
      </c>
      <c r="D58" s="2211">
        <v>1</v>
      </c>
      <c r="E58" s="634">
        <f>'数据-汇总表'!E8+'数据-汇总表'!E9</f>
        <v>188679.99</v>
      </c>
      <c r="F58" s="635">
        <f t="shared" ref="F58:F67" si="14">ROUND(B58*E58/10000,0)</f>
        <v>86812</v>
      </c>
      <c r="G58" s="3773"/>
      <c r="H58" s="3774"/>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565</v>
      </c>
      <c r="B59" s="637">
        <f>ROUND($C$50*C59*D59,0)</f>
        <v>0</v>
      </c>
      <c r="C59" s="377">
        <f t="shared" ref="C59:C67" si="15">IF($C$57="北京市系数",I59,J59)</f>
        <v>0</v>
      </c>
      <c r="D59" s="2212">
        <v>0.25</v>
      </c>
      <c r="E59" s="638">
        <v>0</v>
      </c>
      <c r="F59" s="635">
        <f t="shared" si="14"/>
        <v>0</v>
      </c>
      <c r="G59" s="3775" t="s">
        <v>2279</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566</v>
      </c>
      <c r="B60" s="637">
        <f t="shared" ref="B60:B67" si="16">ROUND($C$50*C60*D60,0)</f>
        <v>0</v>
      </c>
      <c r="C60" s="377">
        <f t="shared" si="15"/>
        <v>0</v>
      </c>
      <c r="D60" s="2212">
        <v>0.25</v>
      </c>
      <c r="E60" s="638">
        <v>0</v>
      </c>
      <c r="F60" s="635">
        <f t="shared" si="14"/>
        <v>0</v>
      </c>
      <c r="G60" s="3775"/>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567</v>
      </c>
      <c r="B61" s="637">
        <f t="shared" si="16"/>
        <v>0</v>
      </c>
      <c r="C61" s="377">
        <f t="shared" si="15"/>
        <v>0</v>
      </c>
      <c r="D61" s="2212">
        <v>0.25</v>
      </c>
      <c r="E61" s="638">
        <v>0</v>
      </c>
      <c r="F61" s="635">
        <f t="shared" si="14"/>
        <v>0</v>
      </c>
      <c r="G61" s="3775"/>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6" t="s">
        <v>568</v>
      </c>
      <c r="B62" s="637">
        <f t="shared" si="16"/>
        <v>0</v>
      </c>
      <c r="C62" s="377">
        <f t="shared" si="15"/>
        <v>0</v>
      </c>
      <c r="D62" s="2212">
        <v>0.25</v>
      </c>
      <c r="E62" s="638">
        <v>0</v>
      </c>
      <c r="F62" s="635">
        <f t="shared" si="14"/>
        <v>0</v>
      </c>
      <c r="G62" s="3775"/>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2" t="s">
        <v>2325</v>
      </c>
      <c r="B63" s="637">
        <f t="shared" si="16"/>
        <v>0</v>
      </c>
      <c r="C63" s="377">
        <f t="shared" si="15"/>
        <v>0</v>
      </c>
      <c r="D63" s="2212">
        <v>0.25</v>
      </c>
      <c r="E63" s="640">
        <f>'数据-汇总表'!E11</f>
        <v>0</v>
      </c>
      <c r="F63" s="635">
        <f t="shared" si="14"/>
        <v>0</v>
      </c>
      <c r="G63" s="1928" t="s">
        <v>2280</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6" t="s">
        <v>569</v>
      </c>
      <c r="B64" s="637">
        <f t="shared" si="16"/>
        <v>0</v>
      </c>
      <c r="C64" s="377">
        <f t="shared" si="15"/>
        <v>0</v>
      </c>
      <c r="D64" s="2212">
        <v>0.25</v>
      </c>
      <c r="E64" s="640">
        <f>'数据-汇总表'!E12</f>
        <v>0</v>
      </c>
      <c r="F64" s="635">
        <f t="shared" si="14"/>
        <v>0</v>
      </c>
      <c r="G64" s="1929" t="s">
        <v>1677</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6" t="s">
        <v>570</v>
      </c>
      <c r="B65" s="637">
        <f t="shared" si="16"/>
        <v>0</v>
      </c>
      <c r="C65" s="377">
        <f t="shared" si="15"/>
        <v>0</v>
      </c>
      <c r="D65" s="2212">
        <v>0.25</v>
      </c>
      <c r="E65" s="640">
        <f>'数据-汇总表'!E13</f>
        <v>49442.47</v>
      </c>
      <c r="F65" s="635">
        <f t="shared" si="14"/>
        <v>0</v>
      </c>
      <c r="G65" s="1929" t="s">
        <v>923</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6" t="s">
        <v>571</v>
      </c>
      <c r="B66" s="637">
        <f t="shared" si="16"/>
        <v>0</v>
      </c>
      <c r="C66" s="377">
        <f t="shared" si="15"/>
        <v>0</v>
      </c>
      <c r="D66" s="2212">
        <v>0.25</v>
      </c>
      <c r="E66" s="640">
        <f>'数据-汇总表'!E14</f>
        <v>0</v>
      </c>
      <c r="F66" s="635">
        <f t="shared" si="14"/>
        <v>0</v>
      </c>
      <c r="G66" s="1928" t="s">
        <v>2279</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6" t="s">
        <v>572</v>
      </c>
      <c r="B67" s="637">
        <f t="shared" si="16"/>
        <v>0</v>
      </c>
      <c r="C67" s="377">
        <f t="shared" si="15"/>
        <v>0</v>
      </c>
      <c r="D67" s="2212">
        <v>0.25</v>
      </c>
      <c r="E67" s="640">
        <f>'数据-汇总表'!E15</f>
        <v>0</v>
      </c>
      <c r="F67" s="635">
        <f t="shared" si="14"/>
        <v>0</v>
      </c>
      <c r="G67" s="1930" t="s">
        <v>2280</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1" t="s">
        <v>573</v>
      </c>
      <c r="B68" s="642" t="s">
        <v>17</v>
      </c>
      <c r="C68" s="642" t="s">
        <v>18</v>
      </c>
      <c r="D68" s="642" t="s">
        <v>2291</v>
      </c>
      <c r="E68" s="642">
        <f>IF(B48="楼面地价",SUM(E58:E67),'数据-汇总表'!D3)</f>
        <v>238122.46</v>
      </c>
      <c r="F68" s="643">
        <f>IF(B48="楼面地价",SUM(F58:F67),ROUND(C50*E68/10000,0))</f>
        <v>86812</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0" t="str">
        <f>YEAR(C9)&amp;"-"&amp;MONTH(C9)&amp;"-1"</f>
        <v>2020-5-1</v>
      </c>
      <c r="D70" s="2750">
        <f>EDATE(C70,-3)</f>
        <v>43862</v>
      </c>
      <c r="E70" s="2750">
        <f t="shared" ref="E70:N70" si="17">EDATE(D70,-3)</f>
        <v>43770</v>
      </c>
      <c r="F70" s="2750">
        <f t="shared" si="17"/>
        <v>43678</v>
      </c>
      <c r="G70" s="2750">
        <f t="shared" si="17"/>
        <v>43586</v>
      </c>
      <c r="H70" s="2750">
        <f t="shared" si="17"/>
        <v>43497</v>
      </c>
      <c r="I70" s="2750">
        <f t="shared" si="17"/>
        <v>43405</v>
      </c>
      <c r="J70" s="2750">
        <f t="shared" si="17"/>
        <v>43313</v>
      </c>
      <c r="K70" s="2750">
        <f t="shared" si="17"/>
        <v>43221</v>
      </c>
      <c r="L70" s="2750">
        <f t="shared" si="17"/>
        <v>43132</v>
      </c>
      <c r="M70" s="2750">
        <f t="shared" si="17"/>
        <v>43040</v>
      </c>
      <c r="N70" s="2750">
        <f t="shared" si="17"/>
        <v>42948</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28" t="s">
        <v>2529</v>
      </c>
      <c r="B72" s="2529"/>
      <c r="C72" s="2746" t="str">
        <f>YEAR(C70)&amp;"-"&amp;ROUNDUP(MONTH(C70)/3,0)</f>
        <v>2020-2</v>
      </c>
      <c r="D72" s="2752" t="str">
        <f>YEAR(D70)&amp;"-"&amp;ROUNDUP(MONTH(D70)/3,0)</f>
        <v>2020-1</v>
      </c>
      <c r="E72" s="2752" t="str">
        <f t="shared" ref="E72:N72" si="18">YEAR(E70)&amp;"-"&amp;ROUNDUP(MONTH(E70)/3,0)</f>
        <v>2019-4</v>
      </c>
      <c r="F72" s="2752" t="str">
        <f t="shared" si="18"/>
        <v>2019-3</v>
      </c>
      <c r="G72" s="2752" t="str">
        <f t="shared" si="18"/>
        <v>2019-2</v>
      </c>
      <c r="H72" s="2752" t="str">
        <f t="shared" si="18"/>
        <v>2019-1</v>
      </c>
      <c r="I72" s="2752" t="str">
        <f t="shared" si="18"/>
        <v>2018-4</v>
      </c>
      <c r="J72" s="2752" t="str">
        <f t="shared" si="18"/>
        <v>2018-3</v>
      </c>
      <c r="K72" s="2752" t="str">
        <f t="shared" si="18"/>
        <v>2018-2</v>
      </c>
      <c r="L72" s="2752" t="str">
        <f t="shared" si="18"/>
        <v>2018-1</v>
      </c>
      <c r="M72" s="2752" t="str">
        <f t="shared" si="18"/>
        <v>2017-4</v>
      </c>
      <c r="N72" s="2752" t="str">
        <f t="shared" si="18"/>
        <v>2017-3</v>
      </c>
      <c r="O72" s="2142"/>
      <c r="P72" s="2143"/>
      <c r="Q72" s="2144"/>
      <c r="R72" s="2144"/>
      <c r="S72" s="2144"/>
      <c r="T72" s="2144"/>
      <c r="U72" s="2144"/>
      <c r="V72" s="2144"/>
      <c r="W72" s="2144"/>
      <c r="X72" s="2144"/>
      <c r="Y72" s="2144"/>
      <c r="Z72" s="2144"/>
      <c r="AA72" s="2144"/>
      <c r="AB72" s="2144"/>
      <c r="AC72" s="2144"/>
    </row>
    <row r="73" spans="1:29" s="1213" customFormat="1" ht="27" customHeight="1">
      <c r="A73" s="2757" t="s">
        <v>2643</v>
      </c>
      <c r="B73" s="478" t="str">
        <f>"北京市平均增长率"&amp;TEXT(SUMIF(基准地价!N21:N25,A73,基准地价!P21:P25),"0.00%")</f>
        <v>北京市平均增长率1.85%</v>
      </c>
      <c r="C73" s="892">
        <v>100</v>
      </c>
      <c r="D73" s="729">
        <v>100</v>
      </c>
      <c r="E73" s="729">
        <v>100</v>
      </c>
      <c r="F73" s="729">
        <v>99.5</v>
      </c>
      <c r="G73" s="729">
        <v>99.5</v>
      </c>
      <c r="H73" s="729">
        <v>99.5</v>
      </c>
      <c r="I73" s="729">
        <v>99</v>
      </c>
      <c r="J73" s="729">
        <v>99</v>
      </c>
      <c r="K73" s="729">
        <v>99</v>
      </c>
      <c r="L73" s="729"/>
      <c r="M73" s="2744"/>
      <c r="N73" s="2745"/>
      <c r="O73" s="2145"/>
      <c r="P73" s="2141"/>
      <c r="Q73" s="1976"/>
      <c r="R73" s="1976"/>
      <c r="S73" s="1976"/>
      <c r="T73" s="1976"/>
      <c r="U73" s="1976"/>
      <c r="V73" s="1976"/>
      <c r="W73" s="1976"/>
      <c r="X73" s="1976"/>
      <c r="Y73" s="1976"/>
      <c r="Z73" s="1976"/>
      <c r="AA73" s="1976"/>
      <c r="AB73" s="1976"/>
      <c r="AC73" s="1976"/>
    </row>
    <row r="74" spans="1:29" s="1213" customFormat="1" ht="15" customHeight="1" thickBot="1">
      <c r="A74" s="2748" t="s">
        <v>2642</v>
      </c>
      <c r="B74" s="2756"/>
      <c r="C74" s="2742"/>
      <c r="D74" s="2743"/>
      <c r="E74" s="2743"/>
      <c r="F74" s="2743"/>
      <c r="G74" s="2743"/>
      <c r="H74" s="2743"/>
      <c r="I74" s="2743"/>
      <c r="J74" s="2743"/>
      <c r="K74" s="2743"/>
      <c r="L74" s="2743"/>
      <c r="M74" s="2743"/>
      <c r="N74" s="2743"/>
      <c r="O74" s="2145"/>
      <c r="P74" s="2141"/>
      <c r="Q74" s="2141"/>
      <c r="R74" s="1976"/>
      <c r="S74" s="1976"/>
      <c r="T74" s="1976"/>
      <c r="U74" s="1976"/>
      <c r="V74" s="1976"/>
      <c r="W74" s="1976"/>
      <c r="X74" s="1976"/>
      <c r="Y74" s="1976"/>
      <c r="Z74" s="1976"/>
      <c r="AA74" s="1976"/>
      <c r="AB74" s="1976"/>
      <c r="AC74" s="1976"/>
    </row>
    <row r="75" spans="1:29" s="1213"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597"/>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19">D82&amp;"（含）"&amp;"-"&amp;E82</f>
        <v>1（含）-2</v>
      </c>
      <c r="E81" s="681" t="str">
        <f t="shared" si="19"/>
        <v>2（含）-3</v>
      </c>
      <c r="F81" s="681" t="str">
        <f t="shared" si="19"/>
        <v>3（含）-4</v>
      </c>
      <c r="G81" s="681" t="str">
        <f t="shared" si="19"/>
        <v>4（含）-5</v>
      </c>
      <c r="H81" s="681" t="str">
        <f t="shared" si="19"/>
        <v>5（含）-6</v>
      </c>
      <c r="I81" s="681" t="str">
        <f t="shared" si="19"/>
        <v>6（含）-</v>
      </c>
      <c r="J81" s="681" t="str">
        <f t="shared" si="19"/>
        <v>（含）-</v>
      </c>
      <c r="K81" s="681" t="str">
        <f t="shared" si="19"/>
        <v>（含）-</v>
      </c>
      <c r="L81" s="681" t="str">
        <f t="shared" si="19"/>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v>5</v>
      </c>
      <c r="I82" s="540">
        <v>6</v>
      </c>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97</v>
      </c>
      <c r="E83" s="678">
        <f t="shared" ref="E83:M83" si="20">IF($B$48="单位面积地价",D83+$K13,D83-$K13)</f>
        <v>94</v>
      </c>
      <c r="F83" s="678">
        <f t="shared" si="20"/>
        <v>91</v>
      </c>
      <c r="G83" s="678">
        <f t="shared" si="20"/>
        <v>88</v>
      </c>
      <c r="H83" s="678">
        <f t="shared" si="20"/>
        <v>85</v>
      </c>
      <c r="I83" s="678">
        <f t="shared" si="20"/>
        <v>82</v>
      </c>
      <c r="J83" s="678">
        <f t="shared" si="20"/>
        <v>79</v>
      </c>
      <c r="K83" s="678">
        <f t="shared" si="20"/>
        <v>76</v>
      </c>
      <c r="L83" s="678">
        <f t="shared" si="20"/>
        <v>73</v>
      </c>
      <c r="M83" s="678">
        <f t="shared" si="20"/>
        <v>70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6"/>
      <c r="B102" s="1879" t="s">
        <v>2545</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6"/>
      <c r="B104" s="2557" t="s">
        <v>2547</v>
      </c>
      <c r="C104" s="2558" t="s">
        <v>2548</v>
      </c>
      <c r="D104" s="2558" t="s">
        <v>2549</v>
      </c>
      <c r="E104" s="2558" t="s">
        <v>2550</v>
      </c>
      <c r="F104" s="2558" t="s">
        <v>2551</v>
      </c>
      <c r="G104" s="2558" t="s">
        <v>2552</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1">D107-$K33</f>
        <v>100</v>
      </c>
      <c r="F107" s="678">
        <f t="shared" si="21"/>
        <v>100</v>
      </c>
      <c r="G107" s="678">
        <f t="shared" si="21"/>
        <v>100</v>
      </c>
      <c r="H107" s="678">
        <f t="shared" si="21"/>
        <v>100</v>
      </c>
      <c r="I107" s="678">
        <f t="shared" si="21"/>
        <v>100</v>
      </c>
      <c r="J107" s="678">
        <f t="shared" si="21"/>
        <v>100</v>
      </c>
      <c r="K107" s="678">
        <f t="shared" si="21"/>
        <v>100</v>
      </c>
      <c r="L107" s="678">
        <f t="shared" si="21"/>
        <v>100</v>
      </c>
      <c r="M107" s="678">
        <f t="shared" si="21"/>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2">D109-$K34</f>
        <v>100</v>
      </c>
      <c r="F109" s="678">
        <f t="shared" si="22"/>
        <v>100</v>
      </c>
      <c r="G109" s="678">
        <f t="shared" si="22"/>
        <v>100</v>
      </c>
      <c r="H109" s="678">
        <f t="shared" si="22"/>
        <v>100</v>
      </c>
      <c r="I109" s="678">
        <f t="shared" si="22"/>
        <v>100</v>
      </c>
      <c r="J109" s="678">
        <f t="shared" si="22"/>
        <v>100</v>
      </c>
      <c r="K109" s="678">
        <f t="shared" si="22"/>
        <v>100</v>
      </c>
      <c r="L109" s="678">
        <f t="shared" si="22"/>
        <v>100</v>
      </c>
      <c r="M109" s="678">
        <f t="shared" si="22"/>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3">D111-$K36</f>
        <v>100</v>
      </c>
      <c r="F111" s="678">
        <f t="shared" si="23"/>
        <v>100</v>
      </c>
      <c r="G111" s="678">
        <f t="shared" si="23"/>
        <v>100</v>
      </c>
      <c r="H111" s="678">
        <f t="shared" si="23"/>
        <v>100</v>
      </c>
      <c r="I111" s="678">
        <f t="shared" si="23"/>
        <v>100</v>
      </c>
      <c r="J111" s="678">
        <f t="shared" si="23"/>
        <v>100</v>
      </c>
      <c r="K111" s="678">
        <f t="shared" si="23"/>
        <v>100</v>
      </c>
      <c r="L111" s="678">
        <f t="shared" si="23"/>
        <v>100</v>
      </c>
      <c r="M111" s="678">
        <f t="shared" si="23"/>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4">C119&amp;"(含)"&amp;"-"&amp;D119</f>
        <v>0(含)-30000</v>
      </c>
      <c r="D118" s="703" t="str">
        <f t="shared" si="24"/>
        <v>30000(含)-50000</v>
      </c>
      <c r="E118" s="703" t="str">
        <f t="shared" si="24"/>
        <v>50000(含)-70000</v>
      </c>
      <c r="F118" s="703" t="str">
        <f t="shared" si="24"/>
        <v>70000(含)-</v>
      </c>
      <c r="G118" s="703" t="str">
        <f t="shared" si="24"/>
        <v>(含)-</v>
      </c>
      <c r="H118" s="703" t="str">
        <f t="shared" si="24"/>
        <v>(含)-</v>
      </c>
      <c r="I118" s="703" t="str">
        <f t="shared" si="24"/>
        <v>(含)-</v>
      </c>
      <c r="J118" s="3040" t="str">
        <f t="shared" si="24"/>
        <v>(含)-</v>
      </c>
      <c r="K118" s="3040" t="str">
        <f t="shared" si="24"/>
        <v>(含)-</v>
      </c>
      <c r="L118" s="3041" t="str">
        <f t="shared" si="24"/>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50000</v>
      </c>
      <c r="F119" s="729">
        <v>70000</v>
      </c>
      <c r="G119" s="729"/>
      <c r="H119" s="729"/>
      <c r="I119" s="729"/>
      <c r="J119" s="2327"/>
      <c r="K119" s="2327"/>
      <c r="L119" s="2328"/>
      <c r="M119" s="2329"/>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102</v>
      </c>
      <c r="E120" s="725">
        <v>104</v>
      </c>
      <c r="F120" s="725">
        <v>106</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449" t="s">
        <v>3297</v>
      </c>
      <c r="D121" s="3449" t="s">
        <v>3299</v>
      </c>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5">C122-$K41</f>
        <v>100</v>
      </c>
      <c r="E122" s="678">
        <f t="shared" si="25"/>
        <v>100</v>
      </c>
      <c r="F122" s="678">
        <f t="shared" si="25"/>
        <v>100</v>
      </c>
      <c r="G122" s="678">
        <f t="shared" si="25"/>
        <v>100</v>
      </c>
      <c r="H122" s="678">
        <f t="shared" si="25"/>
        <v>100</v>
      </c>
      <c r="I122" s="678">
        <f t="shared" si="25"/>
        <v>100</v>
      </c>
      <c r="J122" s="678">
        <f t="shared" si="25"/>
        <v>100</v>
      </c>
      <c r="K122" s="678">
        <f t="shared" si="25"/>
        <v>100</v>
      </c>
      <c r="L122" s="678">
        <f t="shared" si="25"/>
        <v>100</v>
      </c>
      <c r="M122" s="679">
        <f t="shared" si="25"/>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687"/>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6">C124-$K42</f>
        <v>100</v>
      </c>
      <c r="E124" s="678">
        <f t="shared" si="26"/>
        <v>100</v>
      </c>
      <c r="F124" s="678">
        <f t="shared" si="26"/>
        <v>100</v>
      </c>
      <c r="G124" s="678">
        <f t="shared" si="26"/>
        <v>100</v>
      </c>
      <c r="H124" s="678">
        <f t="shared" si="26"/>
        <v>100</v>
      </c>
      <c r="I124" s="678">
        <f t="shared" si="26"/>
        <v>100</v>
      </c>
      <c r="J124" s="678">
        <f t="shared" si="26"/>
        <v>100</v>
      </c>
      <c r="K124" s="678">
        <f t="shared" si="26"/>
        <v>100</v>
      </c>
      <c r="L124" s="678">
        <f t="shared" si="26"/>
        <v>100</v>
      </c>
      <c r="M124" s="679">
        <f t="shared" si="26"/>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7"/>
      <c r="B125" s="1879" t="s">
        <v>2422</v>
      </c>
      <c r="C125" s="1369" t="s">
        <v>3300</v>
      </c>
      <c r="D125" s="1369" t="s">
        <v>3296</v>
      </c>
      <c r="E125" s="1369" t="s">
        <v>3301</v>
      </c>
      <c r="F125" s="1369" t="s">
        <v>3302</v>
      </c>
      <c r="G125" s="1369" t="s">
        <v>3303</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6"/>
      <c r="B126" s="677"/>
      <c r="C126" s="678">
        <v>100</v>
      </c>
      <c r="D126" s="678">
        <f>C126-$K43</f>
        <v>100</v>
      </c>
      <c r="E126" s="678">
        <f t="shared" ref="E126:M126" si="27">D126-$K43</f>
        <v>100</v>
      </c>
      <c r="F126" s="678">
        <f t="shared" si="27"/>
        <v>100</v>
      </c>
      <c r="G126" s="678">
        <f t="shared" si="27"/>
        <v>100</v>
      </c>
      <c r="H126" s="678">
        <f t="shared" si="27"/>
        <v>100</v>
      </c>
      <c r="I126" s="678">
        <f t="shared" si="27"/>
        <v>100</v>
      </c>
      <c r="J126" s="678">
        <f t="shared" si="27"/>
        <v>100</v>
      </c>
      <c r="K126" s="678">
        <f t="shared" si="27"/>
        <v>100</v>
      </c>
      <c r="L126" s="678">
        <f t="shared" si="27"/>
        <v>100</v>
      </c>
      <c r="M126" s="679">
        <f t="shared" si="27"/>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450" t="s">
        <v>3304</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28">C128-$K44</f>
        <v>100</v>
      </c>
      <c r="E128" s="678">
        <f t="shared" si="28"/>
        <v>100</v>
      </c>
      <c r="F128" s="678">
        <f t="shared" si="28"/>
        <v>100</v>
      </c>
      <c r="G128" s="678">
        <f t="shared" si="28"/>
        <v>100</v>
      </c>
      <c r="H128" s="678">
        <f t="shared" si="28"/>
        <v>100</v>
      </c>
      <c r="I128" s="678">
        <f t="shared" si="28"/>
        <v>100</v>
      </c>
      <c r="J128" s="678">
        <f t="shared" si="28"/>
        <v>100</v>
      </c>
      <c r="K128" s="678">
        <f t="shared" si="28"/>
        <v>100</v>
      </c>
      <c r="L128" s="678">
        <f t="shared" si="28"/>
        <v>100</v>
      </c>
      <c r="M128" s="679">
        <f t="shared" si="28"/>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N34" sqref="N34"/>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0"/>
      <c r="C1" s="2087"/>
      <c r="D1" s="2087"/>
      <c r="E1" s="2087"/>
      <c r="F1" s="2087"/>
      <c r="G1" s="2087"/>
      <c r="H1" s="2087"/>
      <c r="I1" s="2087"/>
      <c r="J1" s="2087"/>
      <c r="K1" s="421">
        <f>MATCH(B1,'数据-取费表'!A6:A16,0)+5</f>
        <v>9</v>
      </c>
    </row>
    <row r="2" spans="1:31" s="2024" customFormat="1" ht="18" customHeight="1">
      <c r="A2" s="2084" t="s">
        <v>467</v>
      </c>
      <c r="B2" s="2088">
        <f ca="1">C36</f>
        <v>68595</v>
      </c>
      <c r="C2" s="2087"/>
      <c r="D2" s="2087"/>
      <c r="E2" s="2087"/>
      <c r="F2" s="2087"/>
      <c r="G2" s="2087"/>
      <c r="H2" s="2087"/>
      <c r="I2" s="2087"/>
      <c r="J2" s="2087"/>
      <c r="K2" s="2087"/>
    </row>
    <row r="3" spans="1:31" s="2024" customFormat="1" ht="18" customHeight="1">
      <c r="A3" s="2089" t="s">
        <v>1684</v>
      </c>
      <c r="B3" s="2090">
        <f ca="1">ROUND(B2*10000/IF(B1="",'数据-汇总表'!E3,INDIRECT("'数据-取费表'!K"&amp;$K$1)),0)</f>
        <v>2797</v>
      </c>
      <c r="C3" s="2087"/>
      <c r="D3" s="2087"/>
      <c r="E3" s="2087"/>
      <c r="F3" s="2087"/>
      <c r="G3" s="2087"/>
      <c r="H3" s="2087"/>
      <c r="I3" s="2087"/>
      <c r="J3" s="2087"/>
      <c r="K3" s="2087"/>
    </row>
    <row r="4" spans="1:31" s="2024" customFormat="1" ht="18" customHeight="1">
      <c r="A4" s="425" t="s">
        <v>468</v>
      </c>
      <c r="B4" s="426">
        <f ca="1">ROUND(B2*10000/IF(B1="",'数据-汇总表'!D3,INDIRECT("'数据-取费表'!R"&amp;$K$1)),0)</f>
        <v>11122</v>
      </c>
      <c r="C4" s="427"/>
      <c r="D4" s="421"/>
      <c r="E4" s="421"/>
      <c r="F4" s="421"/>
      <c r="G4" s="421"/>
      <c r="H4" s="421"/>
      <c r="I4" s="421"/>
      <c r="J4" s="421"/>
      <c r="K4" s="421"/>
    </row>
    <row r="5" spans="1:31" s="2024" customFormat="1" ht="18" customHeight="1" thickBot="1">
      <c r="A5" s="428"/>
      <c r="B5" s="429">
        <f ca="1">ROUND(B2/(IF(B1="",'数据-汇总表'!D3,INDIRECT("'数据-取费表'!R"&amp;$K$1))/666.67),0)</f>
        <v>741</v>
      </c>
      <c r="C5" s="430" t="s">
        <v>469</v>
      </c>
      <c r="D5" s="421"/>
      <c r="E5" s="421"/>
      <c r="F5" s="421"/>
      <c r="G5" s="421"/>
      <c r="H5" s="421"/>
      <c r="I5" s="421"/>
      <c r="J5" s="421"/>
      <c r="K5" s="421"/>
    </row>
    <row r="6" spans="1:31" s="2094" customFormat="1" ht="16.5" customHeight="1">
      <c r="A6" s="2779" t="s">
        <v>1842</v>
      </c>
      <c r="B6" s="2780"/>
      <c r="C6" s="2781">
        <f ca="1">SUM(C10:K10)</f>
        <v>188051</v>
      </c>
      <c r="D6" s="2780"/>
      <c r="E6" s="2780"/>
      <c r="F6" s="2780"/>
      <c r="G6" s="2780"/>
      <c r="H6" s="2780"/>
      <c r="I6" s="2780"/>
      <c r="J6" s="2780"/>
      <c r="K6" s="2782"/>
    </row>
    <row r="7" spans="1:31" s="2096" customFormat="1" ht="15">
      <c r="A7" s="2783" t="s">
        <v>470</v>
      </c>
      <c r="B7" s="2784" t="s">
        <v>471</v>
      </c>
      <c r="C7" s="435" t="s">
        <v>923</v>
      </c>
      <c r="D7" s="435" t="s">
        <v>3122</v>
      </c>
      <c r="E7" s="435" t="s">
        <v>3172</v>
      </c>
      <c r="F7" s="435"/>
      <c r="G7" s="435"/>
      <c r="H7" s="435"/>
      <c r="I7" s="435"/>
      <c r="J7" s="435"/>
      <c r="K7" s="436"/>
      <c r="L7" s="2095"/>
      <c r="M7" s="2095">
        <f ca="1">E10/1510</f>
        <v>4.9185430463576161</v>
      </c>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5">
        <f>'不动产比较法-住宅'!B3</f>
        <v>9423</v>
      </c>
      <c r="D8" s="2785">
        <f ca="1">不动产收益法!B3</f>
        <v>11525</v>
      </c>
      <c r="E8" s="2785">
        <f ca="1">'不动产收益法-车位'!B3</f>
        <v>1502</v>
      </c>
      <c r="F8" s="2785"/>
      <c r="G8" s="2785"/>
      <c r="H8" s="2785"/>
      <c r="I8" s="2785"/>
      <c r="J8" s="2785"/>
      <c r="K8" s="2786"/>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175210</v>
      </c>
      <c r="D9" s="440">
        <f>SUMIF('数据-汇总表'!$C19:$C33,'剩余法-待开发'!D7,'数据-汇总表'!$E19:$E33)</f>
        <v>13469.99</v>
      </c>
      <c r="E9" s="440">
        <f>SUMIF('数据-汇总表'!$C19:$C33,'剩余法-待开发'!E7,'数据-汇总表'!$E19:$E33)</f>
        <v>49442.47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7" t="s">
        <v>1847</v>
      </c>
      <c r="B10" s="2773" t="s">
        <v>474</v>
      </c>
      <c r="C10" s="2977">
        <f>ROUND(C8*C9/10000,0)</f>
        <v>165100</v>
      </c>
      <c r="D10" s="2977">
        <f ca="1">不动产收益法!B2</f>
        <v>15524</v>
      </c>
      <c r="E10" s="2977">
        <f ca="1">'不动产收益法-车位'!B2</f>
        <v>7427</v>
      </c>
      <c r="F10" s="2788"/>
      <c r="G10" s="2788"/>
      <c r="H10" s="2788"/>
      <c r="I10" s="2788"/>
      <c r="J10" s="2788"/>
      <c r="K10" s="2789"/>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0" t="s">
        <v>1843</v>
      </c>
      <c r="B11" s="2780"/>
      <c r="C11" s="2780"/>
      <c r="D11" s="2780"/>
      <c r="E11" s="2780"/>
      <c r="F11" s="2780"/>
      <c r="G11" s="2780"/>
      <c r="H11" s="2780"/>
      <c r="I11" s="2780"/>
      <c r="J11" s="2780"/>
      <c r="K11" s="2782"/>
    </row>
    <row r="12" spans="1:31" s="2068" customFormat="1" ht="13.5" customHeight="1">
      <c r="A12" s="2791" t="s">
        <v>470</v>
      </c>
      <c r="B12" s="2763" t="s">
        <v>471</v>
      </c>
      <c r="C12" s="2792" t="s">
        <v>475</v>
      </c>
      <c r="D12" s="2759" t="s">
        <v>476</v>
      </c>
      <c r="E12" s="2759" t="s">
        <v>477</v>
      </c>
      <c r="F12" s="2759" t="s">
        <v>478</v>
      </c>
      <c r="G12" s="2763"/>
      <c r="H12" s="2764"/>
      <c r="I12" s="2764"/>
      <c r="J12" s="2764"/>
      <c r="K12" s="2765"/>
    </row>
    <row r="13" spans="1:31" s="2099" customFormat="1" ht="13.5" customHeight="1">
      <c r="A13" s="2793" t="s">
        <v>1848</v>
      </c>
      <c r="B13" s="2794" t="s">
        <v>479</v>
      </c>
      <c r="C13" s="449">
        <f ca="1">IF(B1="",'数据-取费表'!P16,INDIRECT("'数据-取费表'!p"&amp;$K$1)+INDIRECT("'数据-取费表'!t"&amp;$K$1))</f>
        <v>62378</v>
      </c>
      <c r="D13" s="2795"/>
      <c r="E13" s="2796"/>
      <c r="F13" s="2797"/>
      <c r="G13" s="2763"/>
      <c r="H13" s="2764"/>
      <c r="I13" s="2764"/>
      <c r="J13" s="2764"/>
      <c r="K13" s="2765"/>
    </row>
    <row r="14" spans="1:31" s="2099" customFormat="1" ht="13.5" customHeight="1">
      <c r="A14" s="2793" t="s">
        <v>1849</v>
      </c>
      <c r="B14" s="2794" t="s">
        <v>480</v>
      </c>
      <c r="C14" s="53">
        <f ca="1">ROUND(C13*F14,0)</f>
        <v>1871</v>
      </c>
      <c r="D14" s="2795"/>
      <c r="E14" s="2796"/>
      <c r="F14" s="2798">
        <f>'数据-取费表'!B33</f>
        <v>0.03</v>
      </c>
      <c r="G14" s="2763" t="s">
        <v>481</v>
      </c>
      <c r="H14" s="2764"/>
      <c r="I14" s="2764"/>
      <c r="J14" s="2764"/>
      <c r="K14" s="2765"/>
    </row>
    <row r="15" spans="1:31" s="2099" customFormat="1" ht="13.5" customHeight="1">
      <c r="A15" s="2793" t="s">
        <v>1850</v>
      </c>
      <c r="B15" s="2794" t="s">
        <v>482</v>
      </c>
      <c r="C15" s="53">
        <f ca="1">ROUND(IF(B1="",SUMIF('数据-取费表'!C:C,"住宅",'数据-取费表'!P:P)*F15,IF(INDIRECT("'数据-取费表'!c"&amp;$K$1)="住宅",INDIRECT("'数据-取费表'!P"&amp;$K$1)*F15,0)),0)</f>
        <v>2453</v>
      </c>
      <c r="D15" s="2795"/>
      <c r="E15" s="2796"/>
      <c r="F15" s="2798">
        <f>'数据-取费表'!B34</f>
        <v>0.05</v>
      </c>
      <c r="G15" s="2763" t="s">
        <v>483</v>
      </c>
      <c r="H15" s="2764"/>
      <c r="I15" s="2764"/>
      <c r="J15" s="2764"/>
      <c r="K15" s="2765"/>
    </row>
    <row r="16" spans="1:31" s="2100" customFormat="1" ht="13.5" customHeight="1">
      <c r="A16" s="2793" t="s">
        <v>1851</v>
      </c>
      <c r="B16" s="2794" t="s">
        <v>484</v>
      </c>
      <c r="C16" s="53">
        <f ca="1">ROUND(D16*E16/10000,0)</f>
        <v>4906</v>
      </c>
      <c r="D16" s="2795">
        <f ca="1">IF(B1="",'数据-汇总表'!E3,INDIRECT("'数据-取费表'!K"&amp;$K$1)+INDIRECT("'数据-取费表'!S"&amp;$K$1))</f>
        <v>245288.5</v>
      </c>
      <c r="E16" s="53">
        <f>'数据-取费表'!B35</f>
        <v>200</v>
      </c>
      <c r="F16" s="2798"/>
      <c r="G16" s="2763"/>
      <c r="H16" s="2764"/>
      <c r="I16" s="2764"/>
      <c r="J16" s="2764"/>
      <c r="K16" s="2765"/>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3" t="s">
        <v>1852</v>
      </c>
      <c r="B17" s="2794" t="s">
        <v>485</v>
      </c>
      <c r="C17" s="2799">
        <f ca="1">ROUND(C13*F17,0)</f>
        <v>936</v>
      </c>
      <c r="D17" s="474"/>
      <c r="E17" s="2799"/>
      <c r="F17" s="2800">
        <f>'数据-取费表'!B36</f>
        <v>1.4999999999999999E-2</v>
      </c>
      <c r="G17" s="260" t="s">
        <v>486</v>
      </c>
      <c r="H17" s="2766"/>
      <c r="I17" s="2766"/>
      <c r="J17" s="2766"/>
      <c r="K17" s="278"/>
    </row>
    <row r="18" spans="1:14" s="2099" customFormat="1" ht="13.5" customHeight="1">
      <c r="A18" s="2801" t="s">
        <v>1853</v>
      </c>
      <c r="B18" s="2802" t="s">
        <v>487</v>
      </c>
      <c r="C18" s="2803">
        <f ca="1">SUM(C13:C17)</f>
        <v>72544</v>
      </c>
      <c r="D18" s="2804"/>
      <c r="E18" s="467"/>
      <c r="F18" s="467"/>
      <c r="G18" s="2767" t="s">
        <v>2427</v>
      </c>
      <c r="H18" s="2768"/>
      <c r="I18" s="2768"/>
      <c r="J18" s="2768"/>
      <c r="K18" s="2769"/>
    </row>
    <row r="19" spans="1:14" s="2099" customFormat="1" ht="13.5" customHeight="1">
      <c r="A19" s="2801" t="s">
        <v>1854</v>
      </c>
      <c r="B19" s="2802" t="s">
        <v>488</v>
      </c>
      <c r="C19" s="2759">
        <f ca="1">ROUND(D19*E19/10000,0)</f>
        <v>2453</v>
      </c>
      <c r="D19" s="2805">
        <f ca="1">D16</f>
        <v>245288.5</v>
      </c>
      <c r="E19" s="2759">
        <f>'数据-取费表'!B32</f>
        <v>100</v>
      </c>
      <c r="F19" s="467"/>
      <c r="G19" s="2763" t="s">
        <v>489</v>
      </c>
      <c r="H19" s="2764"/>
      <c r="I19" s="2768"/>
      <c r="J19" s="2768"/>
      <c r="K19" s="2769"/>
    </row>
    <row r="20" spans="1:14" s="2099" customFormat="1" ht="13.5" customHeight="1">
      <c r="A20" s="2801" t="s">
        <v>1855</v>
      </c>
      <c r="B20" s="2802" t="s">
        <v>490</v>
      </c>
      <c r="C20" s="2759">
        <f ca="1">C21+C22-IF(B1="",'数据-取费表'!B29,IF(G20="已全部缴纳",C21+C22,H20))</f>
        <v>2523</v>
      </c>
      <c r="D20" s="2805"/>
      <c r="E20" s="2759"/>
      <c r="F20" s="2806"/>
      <c r="G20" s="3036" t="s">
        <v>3338</v>
      </c>
      <c r="H20" s="2761"/>
      <c r="I20" s="2762" t="s">
        <v>2647</v>
      </c>
      <c r="J20" s="2768"/>
      <c r="K20" s="2769"/>
    </row>
    <row r="21" spans="1:14" s="2099" customFormat="1" ht="13.5" customHeight="1">
      <c r="A21" s="2793" t="s">
        <v>1856</v>
      </c>
      <c r="B21" s="2794" t="s">
        <v>491</v>
      </c>
      <c r="C21" s="53">
        <f ca="1">ROUND(D21*E21/10000,0)</f>
        <v>1402</v>
      </c>
      <c r="D21" s="2795">
        <f ca="1">IF(B1="",'数据-汇总表'!E5,IF(INDIRECT("'数据-取费表'!c"&amp;$K$1)="住宅",INDIRECT("'数据-取费表'!k"&amp;$K$1),0))</f>
        <v>175210</v>
      </c>
      <c r="E21" s="53">
        <f>'数据-取费表'!B27</f>
        <v>80</v>
      </c>
      <c r="F21" s="2798"/>
      <c r="G21" s="26"/>
      <c r="H21" s="51"/>
      <c r="I21" s="51"/>
      <c r="J21" s="51"/>
      <c r="K21" s="2770"/>
    </row>
    <row r="22" spans="1:14" s="2099" customFormat="1" ht="13.5" customHeight="1">
      <c r="A22" s="2793" t="s">
        <v>1857</v>
      </c>
      <c r="B22" s="2794" t="s">
        <v>492</v>
      </c>
      <c r="C22" s="53">
        <f ca="1">ROUND(D22*E22/10000,0)</f>
        <v>1121</v>
      </c>
      <c r="D22" s="2795">
        <f ca="1">IF(B1="",'数据-汇总表'!E6,IF(INDIRECT("'数据-取费表'!c"&amp;$K$1)="住宅",INDIRECT("'数据-取费表'!s"&amp;$K$1),INDIRECT("'数据-取费表'!k"&amp;$K$1)+INDIRECT("'数据-取费表'!s"&amp;$K$1)))</f>
        <v>70078.5</v>
      </c>
      <c r="E22" s="53">
        <f>'数据-取费表'!B28</f>
        <v>160</v>
      </c>
      <c r="F22" s="2798"/>
      <c r="G22" s="26"/>
      <c r="H22" s="51"/>
      <c r="I22" s="51"/>
      <c r="J22" s="51"/>
      <c r="K22" s="2770"/>
    </row>
    <row r="23" spans="1:14" s="2099" customFormat="1" ht="13.5" customHeight="1">
      <c r="A23" s="2801" t="s">
        <v>1858</v>
      </c>
      <c r="B23" s="2983" t="s">
        <v>2830</v>
      </c>
      <c r="C23" s="2803">
        <f ca="1">ROUND((C18+C19+C20)*F23,0)</f>
        <v>1550</v>
      </c>
      <c r="D23" s="467"/>
      <c r="E23" s="467"/>
      <c r="F23" s="2807">
        <f>'数据-取费表'!B37</f>
        <v>0.02</v>
      </c>
      <c r="G23" s="2763" t="s">
        <v>2428</v>
      </c>
      <c r="H23" s="2764"/>
      <c r="I23" s="2764"/>
      <c r="J23" s="2764"/>
      <c r="K23" s="2765"/>
      <c r="L23" s="2101"/>
      <c r="M23" s="2101"/>
      <c r="N23" s="2101"/>
    </row>
    <row r="24" spans="1:14" s="2099" customFormat="1" ht="13.5" customHeight="1">
      <c r="A24" s="2801" t="s">
        <v>1859</v>
      </c>
      <c r="B24" s="2983" t="s">
        <v>2833</v>
      </c>
      <c r="C24" s="2803">
        <f ca="1">ROUND(C6*F24,0)</f>
        <v>3761</v>
      </c>
      <c r="D24" s="474"/>
      <c r="E24" s="472"/>
      <c r="F24" s="2807">
        <f>'数据-取费表'!B38</f>
        <v>0.02</v>
      </c>
      <c r="G24" s="2772" t="s">
        <v>499</v>
      </c>
      <c r="H24" s="2766"/>
      <c r="I24" s="2766"/>
      <c r="J24" s="2766"/>
      <c r="K24" s="278"/>
      <c r="L24" s="2101"/>
      <c r="M24" s="2101"/>
      <c r="N24" s="2101"/>
    </row>
    <row r="25" spans="1:14" s="2102" customFormat="1" ht="13.5" customHeight="1">
      <c r="A25" s="2801" t="s">
        <v>1860</v>
      </c>
      <c r="B25" s="2983" t="s">
        <v>2831</v>
      </c>
      <c r="C25" s="466">
        <f>ROUND(F25/(1+'数据-取费表'!C42),4)</f>
        <v>2.9000000000000001E-2</v>
      </c>
      <c r="D25" s="461" t="s">
        <v>2825</v>
      </c>
      <c r="E25" s="468"/>
      <c r="F25" s="2807">
        <f>IF(项目基本情况!B8="出让",0,'数据-取费表'!B48+'数据-取费表'!B49)</f>
        <v>3.0499999999999999E-2</v>
      </c>
      <c r="G25" s="2771" t="s">
        <v>2286</v>
      </c>
      <c r="H25" s="2764"/>
      <c r="I25" s="2764"/>
      <c r="J25" s="2764"/>
      <c r="K25" s="2765"/>
    </row>
    <row r="26" spans="1:14" s="2101" customFormat="1" ht="13.5" customHeight="1">
      <c r="A26" s="2801" t="s">
        <v>1861</v>
      </c>
      <c r="B26" s="2984" t="s">
        <v>2832</v>
      </c>
      <c r="C26" s="2808">
        <f ca="1">C28</f>
        <v>3934</v>
      </c>
      <c r="D26" s="466">
        <f ca="1">C27</f>
        <v>0.10009999999999999</v>
      </c>
      <c r="E26" s="468" t="s">
        <v>495</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3" customFormat="1" ht="13.5" customHeight="1">
      <c r="A27" s="802" t="s">
        <v>1856</v>
      </c>
      <c r="B27" s="2809" t="s">
        <v>496</v>
      </c>
      <c r="C27" s="2810">
        <f ca="1">ROUND(IF('数据-取费表'!B22&lt;=1,(1+C25)*F26*'数据-取费表'!B24,(1+C25)*(POWER((1+F26),'数据-取费表'!B24)-1)),4)</f>
        <v>0.10009999999999999</v>
      </c>
      <c r="D27" s="471"/>
      <c r="E27" s="472"/>
      <c r="F27" s="473"/>
      <c r="G27" s="2532" t="str">
        <f>IF('数据-取费表'!B22&lt;=1,"（1+取得税费率/(1+5%)）×年利率×建设期","（1+取得税费率）/(1+5%)×((1+年利率)^建设期-1)")</f>
        <v>（1+取得税费率）/(1+5%)×((1+年利率)^建设期-1)</v>
      </c>
      <c r="H27" s="2766"/>
      <c r="I27" s="2766"/>
      <c r="J27" s="2766"/>
      <c r="K27" s="278"/>
    </row>
    <row r="28" spans="1:14" s="2103" customFormat="1" ht="13.5" customHeight="1">
      <c r="A28" s="802" t="s">
        <v>1857</v>
      </c>
      <c r="B28" s="2809" t="s">
        <v>2834</v>
      </c>
      <c r="C28" s="2811">
        <f ca="1">ROUND(IF('数据-取费表'!B22&lt;=1,(C18+C19+C20+C23+C24)*F26*'数据-取费表'!B24/2,(C18+C19+C20+C23+C24)*(POWER((1+F26),'数据-取费表'!B24/2)-1)),0)</f>
        <v>3934</v>
      </c>
      <c r="D28" s="471"/>
      <c r="E28" s="472"/>
      <c r="F28" s="473"/>
      <c r="G28" s="2532" t="str">
        <f>IF('数据-取费表'!B22&lt;=1,"（1）-（4）项×年利率×建设期÷2","（1）-（4）项×((1+年利率)^(建设期÷2)-1)")</f>
        <v>（1）-（4）项×((1+年利率)^(建设期÷2)-1)</v>
      </c>
      <c r="H28" s="2766"/>
      <c r="I28" s="2766"/>
      <c r="J28" s="2766"/>
      <c r="K28" s="278"/>
    </row>
    <row r="29" spans="1:14" s="2103" customFormat="1" ht="13.5" customHeight="1">
      <c r="A29" s="2812" t="s">
        <v>1862</v>
      </c>
      <c r="B29" s="2802" t="s">
        <v>497</v>
      </c>
      <c r="C29" s="2803">
        <f ca="1">ROUND(C6*F29/(1+'数据-取费表'!C42),0)</f>
        <v>10029</v>
      </c>
      <c r="D29" s="467"/>
      <c r="E29" s="467"/>
      <c r="F29" s="2985">
        <f>'数据-取费表'!B41</f>
        <v>5.6000000000000001E-2</v>
      </c>
      <c r="G29" s="2772" t="s">
        <v>498</v>
      </c>
      <c r="H29" s="2764"/>
      <c r="I29" s="2764"/>
      <c r="J29" s="2764"/>
      <c r="K29" s="2765"/>
    </row>
    <row r="30" spans="1:14" s="2104" customFormat="1" ht="13.5" customHeight="1">
      <c r="A30" s="1618" t="s">
        <v>1863</v>
      </c>
      <c r="B30" s="2813" t="s">
        <v>500</v>
      </c>
      <c r="C30" s="2808">
        <f ca="1">C31</f>
        <v>96794</v>
      </c>
      <c r="D30" s="476">
        <f ca="1">C32</f>
        <v>0.12909999999999999</v>
      </c>
      <c r="E30" s="468" t="s">
        <v>495</v>
      </c>
      <c r="F30" s="470"/>
      <c r="G30" s="2771" t="s">
        <v>2966</v>
      </c>
      <c r="H30" s="2764"/>
      <c r="I30" s="2764"/>
      <c r="J30" s="2764"/>
      <c r="K30" s="2765"/>
    </row>
    <row r="31" spans="1:14" s="2103" customFormat="1" ht="13.5" customHeight="1">
      <c r="A31" s="802" t="s">
        <v>1856</v>
      </c>
      <c r="B31" s="2809"/>
      <c r="C31" s="449">
        <f ca="1">C18+C19+C20+C23+C24+C26+C29</f>
        <v>96794</v>
      </c>
      <c r="D31" s="471"/>
      <c r="E31" s="472"/>
      <c r="F31" s="473"/>
      <c r="G31" s="260"/>
      <c r="H31" s="2766"/>
      <c r="I31" s="2766"/>
      <c r="J31" s="2766"/>
      <c r="K31" s="278"/>
    </row>
    <row r="32" spans="1:14" s="2103" customFormat="1" ht="13.5" customHeight="1">
      <c r="A32" s="802" t="s">
        <v>1857</v>
      </c>
      <c r="B32" s="2809"/>
      <c r="C32" s="53">
        <f ca="1">ROUND(C25+D26,4)</f>
        <v>0.12909999999999999</v>
      </c>
      <c r="D32" s="471"/>
      <c r="E32" s="472"/>
      <c r="F32" s="473"/>
      <c r="G32" s="260"/>
      <c r="H32" s="2766"/>
      <c r="I32" s="2766"/>
      <c r="J32" s="2766"/>
      <c r="K32" s="278"/>
    </row>
    <row r="33" spans="1:11" s="2105" customFormat="1" ht="13.5" customHeight="1">
      <c r="A33" s="2982" t="s">
        <v>2829</v>
      </c>
      <c r="B33" s="2980" t="s">
        <v>2827</v>
      </c>
      <c r="C33" s="477">
        <f ca="1">C35</f>
        <v>7455</v>
      </c>
      <c r="D33" s="466">
        <f ca="1">C34</f>
        <v>9.2600000000000002E-2</v>
      </c>
      <c r="E33" s="468" t="s">
        <v>495</v>
      </c>
      <c r="F33" s="478">
        <f ca="1">IF(B1="",'数据-取费表'!Q16,INDIRECT("'数据-取费表'!q"&amp;$K$1))</f>
        <v>0.09</v>
      </c>
      <c r="G33" s="2767"/>
      <c r="H33" s="2768"/>
      <c r="I33" s="2768"/>
      <c r="J33" s="2768"/>
      <c r="K33" s="2769"/>
    </row>
    <row r="34" spans="1:11" s="2106" customFormat="1" ht="13.5" customHeight="1">
      <c r="A34" s="374" t="s">
        <v>1856</v>
      </c>
      <c r="B34" s="2814" t="s">
        <v>501</v>
      </c>
      <c r="C34" s="471">
        <f ca="1">ROUND((1+C25)*F33,4)</f>
        <v>9.2600000000000002E-2</v>
      </c>
      <c r="D34" s="471"/>
      <c r="E34" s="472"/>
      <c r="F34" s="479"/>
      <c r="G34" s="260" t="s">
        <v>2287</v>
      </c>
      <c r="H34" s="2766"/>
      <c r="I34" s="2766"/>
      <c r="J34" s="2766"/>
      <c r="K34" s="278"/>
    </row>
    <row r="35" spans="1:11" s="2106" customFormat="1" ht="13.5" customHeight="1" thickBot="1">
      <c r="A35" s="1619" t="s">
        <v>1857</v>
      </c>
      <c r="B35" s="2981" t="s">
        <v>2835</v>
      </c>
      <c r="C35" s="1611">
        <f ca="1">ROUND((C18+C19+C20+C23+C24)*F33,0)</f>
        <v>7455</v>
      </c>
      <c r="D35" s="1612"/>
      <c r="E35" s="2815"/>
      <c r="F35" s="1613"/>
      <c r="G35" s="2773"/>
      <c r="H35" s="2774"/>
      <c r="I35" s="2774"/>
      <c r="J35" s="2774"/>
      <c r="K35" s="2775"/>
    </row>
    <row r="36" spans="1:11" s="2068" customFormat="1" ht="13.5" customHeight="1" thickBot="1">
      <c r="A36" s="283" t="s">
        <v>1844</v>
      </c>
      <c r="B36" s="2777"/>
      <c r="C36" s="2816">
        <f ca="1">ROUND((C6-C30-C33)/(1+D30+D33),0)</f>
        <v>68595</v>
      </c>
      <c r="D36" s="2777"/>
      <c r="E36" s="2777"/>
      <c r="F36" s="2777"/>
      <c r="G36" s="2776" t="s">
        <v>2836</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0"/>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2648</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62378</v>
      </c>
      <c r="D13" s="450"/>
      <c r="E13" s="364"/>
      <c r="F13" s="451"/>
      <c r="G13" s="443"/>
      <c r="H13" s="446"/>
      <c r="I13" s="446"/>
      <c r="J13" s="446"/>
      <c r="K13" s="447"/>
    </row>
    <row r="14" spans="1:41" s="2099" customFormat="1" ht="13.5" customHeight="1">
      <c r="A14" s="1616" t="s">
        <v>1849</v>
      </c>
      <c r="B14" s="448" t="s">
        <v>480</v>
      </c>
      <c r="C14" s="53">
        <f ca="1">ROUND(C13*F14,0)</f>
        <v>1871</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2453</v>
      </c>
      <c r="D15" s="450"/>
      <c r="E15" s="364"/>
      <c r="F15" s="452">
        <f>'数据-取费表'!B34</f>
        <v>0.05</v>
      </c>
      <c r="G15" s="443" t="s">
        <v>502</v>
      </c>
      <c r="H15" s="446"/>
      <c r="I15" s="446"/>
      <c r="J15" s="446"/>
      <c r="K15" s="447"/>
    </row>
    <row r="16" spans="1:41" s="2100" customFormat="1" ht="13.5" customHeight="1">
      <c r="A16" s="1616" t="s">
        <v>1851</v>
      </c>
      <c r="B16" s="448" t="s">
        <v>484</v>
      </c>
      <c r="C16" s="53">
        <f ca="1">ROUND(D16*E16/10000,0)</f>
        <v>4906</v>
      </c>
      <c r="D16" s="450">
        <f ca="1">IF(B1="",'数据-汇总表'!E3,INDIRECT("'数据-取费表'!K"&amp;$K$1)+INDIRECT("'数据-取费表'!S"&amp;$K$1))</f>
        <v>245288.5</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936</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72544</v>
      </c>
      <c r="D18" s="460"/>
      <c r="E18" s="461"/>
      <c r="F18" s="461"/>
      <c r="G18" s="1320" t="s">
        <v>2429</v>
      </c>
      <c r="H18" s="446"/>
      <c r="I18" s="446"/>
      <c r="J18" s="446"/>
      <c r="K18" s="447"/>
    </row>
    <row r="19" spans="1:14" s="2102" customFormat="1" ht="13.5" customHeight="1">
      <c r="A19" s="1617" t="s">
        <v>1854</v>
      </c>
      <c r="B19" s="458" t="s">
        <v>493</v>
      </c>
      <c r="C19" s="459">
        <f ca="1">ROUND(C18*F19,0)</f>
        <v>1451</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8">
        <f>F20</f>
        <v>0.02</v>
      </c>
      <c r="D20" s="468" t="s">
        <v>505</v>
      </c>
      <c r="E20" s="468"/>
      <c r="F20" s="485">
        <f>'数据-取费表'!B38</f>
        <v>0.02</v>
      </c>
      <c r="G20" s="1320" t="s">
        <v>506</v>
      </c>
      <c r="H20" s="446"/>
      <c r="I20" s="446"/>
      <c r="J20" s="446"/>
      <c r="K20" s="447"/>
      <c r="L20" s="2104"/>
      <c r="M20" s="2104"/>
      <c r="N20" s="2104"/>
    </row>
    <row r="21" spans="1:14" s="2104" customFormat="1" ht="13.5" customHeight="1">
      <c r="A21" s="1617" t="s">
        <v>1858</v>
      </c>
      <c r="B21" s="460" t="s">
        <v>494</v>
      </c>
      <c r="C21" s="469">
        <f ca="1">C22</f>
        <v>3515</v>
      </c>
      <c r="D21" s="466">
        <f ca="1">C23</f>
        <v>1E-3</v>
      </c>
      <c r="E21" s="468" t="s">
        <v>507</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2451</v>
      </c>
    </row>
    <row r="22" spans="1:14" s="2103" customFormat="1" ht="13.5" customHeight="1">
      <c r="A22" s="1616" t="s">
        <v>1848</v>
      </c>
      <c r="B22" s="1321" t="s">
        <v>2432</v>
      </c>
      <c r="C22" s="486">
        <f ca="1">ROUND(IF('数据-取费表'!B22&lt;=1,(C18+C19)*F21*'数据-取费表'!B20/2,(C18+C19)*(POWER((1+F21),'数据-取费表'!B20/2)-1)),0)</f>
        <v>3515</v>
      </c>
      <c r="D22" s="471"/>
      <c r="E22" s="472"/>
      <c r="F22" s="473"/>
      <c r="G22" s="2527" t="str">
        <f>IF('数据-取费表'!B22&lt;=1,"((1)+(2))×年利率×建设期÷2","((1)+(2))×((1+年利率)^(建设期÷2)-1)")</f>
        <v>((1)+(2))×((1+年利率)^(建设期÷2)-1)</v>
      </c>
      <c r="H22" s="456"/>
      <c r="I22" s="456"/>
      <c r="J22" s="456"/>
      <c r="K22" s="457"/>
    </row>
    <row r="23" spans="1:14" s="2103" customFormat="1" ht="13.5" customHeight="1">
      <c r="A23" s="1616" t="s">
        <v>1849</v>
      </c>
      <c r="B23" s="1321" t="s">
        <v>508</v>
      </c>
      <c r="C23" s="487">
        <f ca="1">ROUND(IF('数据-取费表'!B22&lt;=1,F20*F21*'数据-取费表'!B20/2,F20*(POWER((1+F21),'数据-取费表'!B20/2)-1)),4)</f>
        <v>1E-3</v>
      </c>
      <c r="D23" s="471"/>
      <c r="E23" s="472"/>
      <c r="F23" s="473"/>
      <c r="G23" s="2527"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0" t="s">
        <v>2828</v>
      </c>
      <c r="C24" s="477">
        <f ca="1">C25</f>
        <v>6660</v>
      </c>
      <c r="D24" s="488">
        <f ca="1">C26</f>
        <v>1.8E-3</v>
      </c>
      <c r="E24" s="468" t="s">
        <v>507</v>
      </c>
      <c r="F24" s="478">
        <f ca="1">IF(B1="",'数据-取费表'!Q16,INDIRECT("'数据-取费表'!q"&amp;$K$1))</f>
        <v>0.09</v>
      </c>
      <c r="G24" s="443"/>
      <c r="H24" s="446"/>
      <c r="I24" s="446"/>
      <c r="J24" s="446"/>
      <c r="K24" s="447"/>
    </row>
    <row r="25" spans="1:14" s="2103" customFormat="1" ht="13.5" customHeight="1">
      <c r="A25" s="1616" t="s">
        <v>1848</v>
      </c>
      <c r="B25" s="1321" t="s">
        <v>2433</v>
      </c>
      <c r="C25" s="489">
        <f ca="1">ROUND((C18+C19)*F24,0)</f>
        <v>6660</v>
      </c>
      <c r="D25" s="471"/>
      <c r="E25" s="472"/>
      <c r="F25" s="479"/>
      <c r="G25" s="1319" t="s">
        <v>2430</v>
      </c>
      <c r="H25" s="456"/>
      <c r="I25" s="456"/>
      <c r="J25" s="456"/>
      <c r="K25" s="457"/>
    </row>
    <row r="26" spans="1:14" s="2103" customFormat="1" ht="13.5" customHeight="1">
      <c r="A26" s="1616" t="s">
        <v>1849</v>
      </c>
      <c r="B26" s="1321" t="s">
        <v>509</v>
      </c>
      <c r="C26" s="490">
        <f ca="1">ROUND(F20*F24,4)</f>
        <v>1.8E-3</v>
      </c>
      <c r="D26" s="471"/>
      <c r="E26" s="480"/>
      <c r="F26" s="479"/>
      <c r="G26" s="1319" t="s">
        <v>510</v>
      </c>
      <c r="H26" s="456"/>
      <c r="I26" s="456"/>
      <c r="J26" s="456"/>
      <c r="K26" s="457"/>
    </row>
    <row r="27" spans="1:14" s="2103" customFormat="1" ht="13.5" customHeight="1">
      <c r="A27" s="1620" t="s">
        <v>1867</v>
      </c>
      <c r="B27" s="458" t="s">
        <v>511</v>
      </c>
      <c r="C27" s="2979">
        <f>ROUND(F27/(1+'数据-取费表'!C42),4)</f>
        <v>5.33E-2</v>
      </c>
      <c r="D27" s="461" t="s">
        <v>2826</v>
      </c>
      <c r="E27" s="461"/>
      <c r="F27" s="465">
        <f>'数据-取费表'!B41</f>
        <v>5.6000000000000001E-2</v>
      </c>
      <c r="G27" s="1943" t="s">
        <v>2288</v>
      </c>
      <c r="H27" s="446"/>
      <c r="I27" s="446"/>
      <c r="J27" s="446"/>
      <c r="K27" s="447"/>
    </row>
    <row r="28" spans="1:14" s="2104" customFormat="1" ht="13.5" customHeight="1">
      <c r="A28" s="1620" t="s">
        <v>1868</v>
      </c>
      <c r="B28" s="475" t="s">
        <v>512</v>
      </c>
      <c r="C28" s="469">
        <f ca="1">ROUND((C18+C19+C21+C24)/(1-C20-D21-D24-C27),0)</f>
        <v>91103</v>
      </c>
      <c r="D28" s="476"/>
      <c r="E28" s="468"/>
      <c r="F28" s="470"/>
      <c r="G28" s="1320" t="s">
        <v>2431</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2" t="s">
        <v>515</v>
      </c>
      <c r="H30" s="495"/>
      <c r="I30" s="495"/>
      <c r="J30" s="446"/>
      <c r="K30" s="447"/>
    </row>
    <row r="31" spans="1:14" s="2109" customFormat="1" ht="13.5" customHeight="1">
      <c r="A31" s="2442" t="s">
        <v>1865</v>
      </c>
      <c r="B31" s="1323"/>
      <c r="C31" s="499">
        <f>ROUND(C6*F31/(1+'数据-取费表'!C42),0)</f>
        <v>0</v>
      </c>
      <c r="D31" s="1324"/>
      <c r="E31" s="1324"/>
      <c r="F31" s="500">
        <f>'数据-取费表'!B41</f>
        <v>5.6000000000000001E-2</v>
      </c>
      <c r="G31" s="1325"/>
      <c r="H31" s="1325"/>
      <c r="I31" s="1325"/>
      <c r="J31" s="1326"/>
      <c r="K31" s="1327"/>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3"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793" t="s">
        <v>522</v>
      </c>
      <c r="D6" s="3794"/>
      <c r="E6" s="3817" t="s">
        <v>523</v>
      </c>
      <c r="F6" s="3818"/>
      <c r="G6" s="3793" t="s">
        <v>524</v>
      </c>
      <c r="H6" s="3794"/>
      <c r="I6" s="3793" t="s">
        <v>525</v>
      </c>
      <c r="J6" s="3794"/>
      <c r="K6" s="513" t="s">
        <v>526</v>
      </c>
      <c r="L6" s="2116"/>
      <c r="M6" s="2117"/>
      <c r="N6" s="2117"/>
      <c r="O6" s="2117"/>
      <c r="P6" s="3795" t="s">
        <v>527</v>
      </c>
      <c r="Q6" s="3796"/>
      <c r="R6" s="3781" t="s">
        <v>523</v>
      </c>
      <c r="S6" s="3782"/>
      <c r="T6" s="3781" t="s">
        <v>524</v>
      </c>
      <c r="U6" s="3782"/>
      <c r="V6" s="3801" t="s">
        <v>525</v>
      </c>
      <c r="W6" s="3801"/>
      <c r="X6" s="1551"/>
      <c r="Y6" s="3781" t="s">
        <v>527</v>
      </c>
      <c r="Z6" s="3782"/>
      <c r="AA6" s="3776" t="s">
        <v>523</v>
      </c>
      <c r="AB6" s="3777" t="s">
        <v>524</v>
      </c>
      <c r="AC6" s="3776" t="s">
        <v>525</v>
      </c>
    </row>
    <row r="7" spans="1:29" ht="15">
      <c r="A7" s="514"/>
      <c r="B7" s="515"/>
      <c r="C7" s="3804" t="s">
        <v>2924</v>
      </c>
      <c r="D7" s="3805"/>
      <c r="E7" s="3819" t="s">
        <v>2925</v>
      </c>
      <c r="F7" s="3820"/>
      <c r="G7" s="3804" t="s">
        <v>2926</v>
      </c>
      <c r="H7" s="3805"/>
      <c r="I7" s="3804" t="s">
        <v>2927</v>
      </c>
      <c r="J7" s="3805"/>
      <c r="K7" s="513"/>
      <c r="L7" s="2116"/>
      <c r="M7" s="2117"/>
      <c r="N7" s="2117"/>
      <c r="O7" s="2117"/>
      <c r="P7" s="3797"/>
      <c r="Q7" s="3798"/>
      <c r="R7" s="3783"/>
      <c r="S7" s="3784"/>
      <c r="T7" s="3783"/>
      <c r="U7" s="3784"/>
      <c r="V7" s="3801"/>
      <c r="W7" s="3801"/>
      <c r="X7" s="1551"/>
      <c r="Y7" s="3783"/>
      <c r="Z7" s="3784"/>
      <c r="AA7" s="3777"/>
      <c r="AB7" s="3777"/>
      <c r="AC7" s="3777"/>
    </row>
    <row r="8" spans="1:29" ht="15.75" thickBot="1">
      <c r="A8" s="516"/>
      <c r="B8" s="517"/>
      <c r="C8" s="3802" t="s">
        <v>2928</v>
      </c>
      <c r="D8" s="3803"/>
      <c r="E8" s="3821" t="s">
        <v>2928</v>
      </c>
      <c r="F8" s="3822"/>
      <c r="G8" s="3802" t="s">
        <v>2928</v>
      </c>
      <c r="H8" s="3803"/>
      <c r="I8" s="3802" t="s">
        <v>2928</v>
      </c>
      <c r="J8" s="3803"/>
      <c r="K8" s="513" t="s">
        <v>528</v>
      </c>
      <c r="L8" s="2116"/>
      <c r="M8" s="2117"/>
      <c r="N8" s="2117"/>
      <c r="O8" s="2117"/>
      <c r="P8" s="3799"/>
      <c r="Q8" s="3800"/>
      <c r="R8" s="3783"/>
      <c r="S8" s="3784"/>
      <c r="T8" s="3785"/>
      <c r="U8" s="3786"/>
      <c r="V8" s="3801"/>
      <c r="W8" s="3801"/>
      <c r="X8" s="1551"/>
      <c r="Y8" s="3785"/>
      <c r="Z8" s="3786"/>
      <c r="AA8" s="3778"/>
      <c r="AB8" s="3778"/>
      <c r="AC8" s="3778"/>
    </row>
    <row r="9" spans="1:29" s="1213" customFormat="1" ht="15.75" thickBot="1">
      <c r="A9" s="2863"/>
      <c r="B9" s="2870" t="s">
        <v>529</v>
      </c>
      <c r="C9" s="518">
        <f>'数据-取费表'!B2</f>
        <v>43965</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779" t="s">
        <v>530</v>
      </c>
      <c r="Q9" s="3788"/>
      <c r="R9" s="1552" t="s">
        <v>8</v>
      </c>
      <c r="S9" s="1553">
        <f t="shared" ref="S9:S17" si="0">F9</f>
        <v>0</v>
      </c>
      <c r="T9" s="1552" t="s">
        <v>8</v>
      </c>
      <c r="U9" s="1553">
        <f t="shared" ref="U9:U17" si="1">H9</f>
        <v>0</v>
      </c>
      <c r="V9" s="1552" t="s">
        <v>8</v>
      </c>
      <c r="W9" s="1553">
        <f t="shared" ref="W9:W17" si="2">J9</f>
        <v>0</v>
      </c>
      <c r="X9" s="1554"/>
      <c r="Y9" s="3779" t="s">
        <v>530</v>
      </c>
      <c r="Z9" s="3780"/>
      <c r="AA9" s="1555" t="e">
        <f>D9/F9</f>
        <v>#DIV/0!</v>
      </c>
      <c r="AB9" s="1555" t="e">
        <f>D9/H9</f>
        <v>#DIV/0!</v>
      </c>
      <c r="AC9" s="1555" t="e">
        <f>D9/J9</f>
        <v>#DIV/0!</v>
      </c>
    </row>
    <row r="10" spans="1:29" s="1213" customFormat="1" ht="15.75" thickBot="1">
      <c r="A10" s="2864"/>
      <c r="B10" s="2871"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779" t="s">
        <v>533</v>
      </c>
      <c r="Q10" s="3780"/>
      <c r="R10" s="1552" t="s">
        <v>8</v>
      </c>
      <c r="S10" s="1553">
        <f t="shared" si="0"/>
        <v>0</v>
      </c>
      <c r="T10" s="1552" t="s">
        <v>8</v>
      </c>
      <c r="U10" s="1553">
        <f t="shared" si="1"/>
        <v>0</v>
      </c>
      <c r="V10" s="1552" t="s">
        <v>8</v>
      </c>
      <c r="W10" s="1553">
        <f t="shared" si="2"/>
        <v>0</v>
      </c>
      <c r="X10" s="1554"/>
      <c r="Y10" s="3779" t="s">
        <v>533</v>
      </c>
      <c r="Z10" s="3780"/>
      <c r="AA10" s="1555" t="e">
        <f t="shared" ref="AA10:AA42" si="3">D10/F10</f>
        <v>#DIV/0!</v>
      </c>
      <c r="AB10" s="1555" t="e">
        <f t="shared" ref="AB10:AB42" si="4">D10/H10</f>
        <v>#DIV/0!</v>
      </c>
      <c r="AC10" s="1555" t="e">
        <f t="shared" ref="AC10:AC42" si="5">D10/J10</f>
        <v>#DIV/0!</v>
      </c>
    </row>
    <row r="11" spans="1:29" s="1213" customFormat="1" ht="15">
      <c r="A11" s="2865"/>
      <c r="B11" s="2872" t="s">
        <v>2752</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787" t="s">
        <v>535</v>
      </c>
      <c r="Q11" s="1144" t="str">
        <f t="shared" ref="Q11:Q17" si="6">B11</f>
        <v>用途</v>
      </c>
      <c r="R11" s="1552" t="s">
        <v>8</v>
      </c>
      <c r="S11" s="1553">
        <f t="shared" si="0"/>
        <v>100</v>
      </c>
      <c r="T11" s="1552" t="s">
        <v>8</v>
      </c>
      <c r="U11" s="1553">
        <f t="shared" si="1"/>
        <v>100</v>
      </c>
      <c r="V11" s="1552" t="s">
        <v>8</v>
      </c>
      <c r="W11" s="1553">
        <f t="shared" si="2"/>
        <v>100</v>
      </c>
      <c r="X11" s="1554"/>
      <c r="Y11" s="3744" t="s">
        <v>536</v>
      </c>
      <c r="Z11" s="1143" t="str">
        <f t="shared" ref="Z11:Z17" si="7">Q11</f>
        <v>用途</v>
      </c>
      <c r="AA11" s="1555">
        <f t="shared" si="3"/>
        <v>1</v>
      </c>
      <c r="AB11" s="1555">
        <f t="shared" si="4"/>
        <v>1</v>
      </c>
      <c r="AC11" s="1555">
        <f t="shared" si="5"/>
        <v>1</v>
      </c>
    </row>
    <row r="12" spans="1:29" s="1331" customFormat="1" ht="27">
      <c r="A12" s="2866"/>
      <c r="B12" s="2871" t="s">
        <v>2753</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787"/>
      <c r="Q12" s="1144" t="str">
        <f t="shared" si="6"/>
        <v>土地使用年限（年）</v>
      </c>
      <c r="R12" s="1552" t="s">
        <v>8</v>
      </c>
      <c r="S12" s="1553">
        <f t="shared" si="0"/>
        <v>100</v>
      </c>
      <c r="T12" s="1552" t="s">
        <v>8</v>
      </c>
      <c r="U12" s="1553">
        <f t="shared" si="1"/>
        <v>100</v>
      </c>
      <c r="V12" s="1552" t="s">
        <v>8</v>
      </c>
      <c r="W12" s="1553">
        <f t="shared" si="2"/>
        <v>100</v>
      </c>
      <c r="X12" s="1554"/>
      <c r="Y12" s="3744"/>
      <c r="Z12" s="1143" t="str">
        <f t="shared" si="7"/>
        <v>土地使用年限（年）</v>
      </c>
      <c r="AA12" s="1555">
        <f t="shared" si="3"/>
        <v>1</v>
      </c>
      <c r="AB12" s="1555">
        <f t="shared" si="4"/>
        <v>1</v>
      </c>
      <c r="AC12" s="1555">
        <f t="shared" si="5"/>
        <v>1</v>
      </c>
    </row>
    <row r="13" spans="1:29" ht="15">
      <c r="A13" s="2867"/>
      <c r="B13" s="2871"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787"/>
      <c r="Q13" s="1144" t="str">
        <f t="shared" si="6"/>
        <v>容积率</v>
      </c>
      <c r="R13" s="1552" t="s">
        <v>8</v>
      </c>
      <c r="S13" s="1553" t="e">
        <f t="shared" si="0"/>
        <v>#N/A</v>
      </c>
      <c r="T13" s="1552" t="s">
        <v>8</v>
      </c>
      <c r="U13" s="1553" t="e">
        <f t="shared" si="1"/>
        <v>#N/A</v>
      </c>
      <c r="V13" s="1552" t="s">
        <v>8</v>
      </c>
      <c r="W13" s="1553" t="e">
        <f t="shared" si="2"/>
        <v>#N/A</v>
      </c>
      <c r="X13" s="1554"/>
      <c r="Y13" s="3744"/>
      <c r="Z13" s="1143" t="str">
        <f t="shared" si="7"/>
        <v>容积率</v>
      </c>
      <c r="AA13" s="1555" t="e">
        <f t="shared" si="3"/>
        <v>#N/A</v>
      </c>
      <c r="AB13" s="1555" t="e">
        <f t="shared" si="4"/>
        <v>#N/A</v>
      </c>
      <c r="AC13" s="1555" t="e">
        <f t="shared" si="5"/>
        <v>#N/A</v>
      </c>
    </row>
    <row r="14" spans="1:29" s="1213"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787"/>
      <c r="Q14" s="1144">
        <f t="shared" si="6"/>
        <v>111</v>
      </c>
      <c r="R14" s="1552" t="s">
        <v>8</v>
      </c>
      <c r="S14" s="1553">
        <f t="shared" si="0"/>
        <v>100</v>
      </c>
      <c r="T14" s="1552" t="s">
        <v>8</v>
      </c>
      <c r="U14" s="1553">
        <f t="shared" si="1"/>
        <v>100</v>
      </c>
      <c r="V14" s="1552" t="s">
        <v>8</v>
      </c>
      <c r="W14" s="1553">
        <f t="shared" si="2"/>
        <v>100</v>
      </c>
      <c r="X14" s="1554"/>
      <c r="Y14" s="3744"/>
      <c r="Z14" s="1143">
        <f t="shared" si="7"/>
        <v>111</v>
      </c>
      <c r="AA14" s="1555">
        <f>D14/F14</f>
        <v>1</v>
      </c>
      <c r="AB14" s="1555">
        <f>D14/H14</f>
        <v>1</v>
      </c>
      <c r="AC14" s="1555">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787"/>
      <c r="Q15" s="1144">
        <f t="shared" si="6"/>
        <v>111</v>
      </c>
      <c r="R15" s="1552" t="s">
        <v>8</v>
      </c>
      <c r="S15" s="1553">
        <f t="shared" si="0"/>
        <v>100</v>
      </c>
      <c r="T15" s="1552" t="s">
        <v>8</v>
      </c>
      <c r="U15" s="1553">
        <f t="shared" si="1"/>
        <v>100</v>
      </c>
      <c r="V15" s="1552" t="s">
        <v>8</v>
      </c>
      <c r="W15" s="1553">
        <f t="shared" si="2"/>
        <v>100</v>
      </c>
      <c r="X15" s="1554"/>
      <c r="Y15" s="3744"/>
      <c r="Z15" s="1143">
        <f t="shared" si="7"/>
        <v>111</v>
      </c>
      <c r="AA15" s="1555">
        <f t="shared" si="3"/>
        <v>1</v>
      </c>
      <c r="AB15" s="1555">
        <f t="shared" si="4"/>
        <v>1</v>
      </c>
      <c r="AC15" s="1555">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787"/>
      <c r="Q16" s="1144">
        <f t="shared" si="6"/>
        <v>111</v>
      </c>
      <c r="R16" s="1552" t="s">
        <v>8</v>
      </c>
      <c r="S16" s="1553">
        <f t="shared" si="0"/>
        <v>100</v>
      </c>
      <c r="T16" s="1552" t="s">
        <v>8</v>
      </c>
      <c r="U16" s="1553">
        <f t="shared" si="1"/>
        <v>100</v>
      </c>
      <c r="V16" s="1552" t="s">
        <v>8</v>
      </c>
      <c r="W16" s="1553">
        <f t="shared" si="2"/>
        <v>100</v>
      </c>
      <c r="X16" s="1554"/>
      <c r="Y16" s="3744"/>
      <c r="Z16" s="1143">
        <f t="shared" si="7"/>
        <v>111</v>
      </c>
      <c r="AA16" s="1555">
        <f t="shared" si="3"/>
        <v>1</v>
      </c>
      <c r="AB16" s="1555">
        <f t="shared" si="4"/>
        <v>1</v>
      </c>
      <c r="AC16" s="1555">
        <f t="shared" si="5"/>
        <v>1</v>
      </c>
    </row>
    <row r="17" spans="1:29" ht="57">
      <c r="A17" s="2861" t="s">
        <v>2750</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789" t="s">
        <v>540</v>
      </c>
      <c r="Q17" s="1556" t="str">
        <f t="shared" si="6"/>
        <v>产业集聚程度</v>
      </c>
      <c r="R17" s="1557" t="s">
        <v>8</v>
      </c>
      <c r="S17" s="1558">
        <f t="shared" si="0"/>
        <v>100</v>
      </c>
      <c r="T17" s="1557" t="s">
        <v>8</v>
      </c>
      <c r="U17" s="1558">
        <f t="shared" si="1"/>
        <v>100</v>
      </c>
      <c r="V17" s="1557" t="s">
        <v>8</v>
      </c>
      <c r="W17" s="1558">
        <f t="shared" si="2"/>
        <v>100</v>
      </c>
      <c r="X17" s="1551"/>
      <c r="Y17" s="3789"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790"/>
      <c r="Q18" s="1556"/>
      <c r="R18" s="1557"/>
      <c r="S18" s="1558"/>
      <c r="T18" s="1557"/>
      <c r="U18" s="1558"/>
      <c r="V18" s="1557"/>
      <c r="W18" s="1558"/>
      <c r="X18" s="1551"/>
      <c r="Y18" s="3790"/>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790"/>
      <c r="Q19" s="1556" t="str">
        <f>B19</f>
        <v>交通便捷度</v>
      </c>
      <c r="R19" s="1557" t="s">
        <v>8</v>
      </c>
      <c r="S19" s="1558">
        <f>F19</f>
        <v>100</v>
      </c>
      <c r="T19" s="1557" t="s">
        <v>8</v>
      </c>
      <c r="U19" s="1558">
        <f>H19</f>
        <v>100</v>
      </c>
      <c r="V19" s="1557" t="s">
        <v>8</v>
      </c>
      <c r="W19" s="1558">
        <f>J19</f>
        <v>100</v>
      </c>
      <c r="X19" s="1551"/>
      <c r="Y19" s="3790"/>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790"/>
      <c r="Q20" s="1556"/>
      <c r="R20" s="1557"/>
      <c r="S20" s="1558"/>
      <c r="T20" s="1557"/>
      <c r="U20" s="1558"/>
      <c r="V20" s="1557"/>
      <c r="W20" s="1558"/>
      <c r="X20" s="1551"/>
      <c r="Y20" s="3790"/>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790"/>
      <c r="Q21" s="1556" t="str">
        <f t="shared" ref="Q21:Q35" si="8">B21</f>
        <v>区域土地利用方向</v>
      </c>
      <c r="R21" s="1557" t="s">
        <v>8</v>
      </c>
      <c r="S21" s="1558">
        <f>F21</f>
        <v>100</v>
      </c>
      <c r="T21" s="1557" t="s">
        <v>8</v>
      </c>
      <c r="U21" s="1558">
        <f>H21</f>
        <v>100</v>
      </c>
      <c r="V21" s="1557" t="s">
        <v>8</v>
      </c>
      <c r="W21" s="1558">
        <f>J21</f>
        <v>100</v>
      </c>
      <c r="X21" s="1551"/>
      <c r="Y21" s="3790"/>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790"/>
      <c r="Q22" s="1556"/>
      <c r="R22" s="1557"/>
      <c r="S22" s="1558"/>
      <c r="T22" s="1557"/>
      <c r="U22" s="1558"/>
      <c r="V22" s="1557"/>
      <c r="W22" s="1558"/>
      <c r="X22" s="1551"/>
      <c r="Y22" s="3790"/>
      <c r="Z22" s="1559"/>
      <c r="AA22" s="1560"/>
      <c r="AB22" s="1560"/>
      <c r="AC22" s="1560"/>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790"/>
      <c r="Q23" s="1556" t="str">
        <f t="shared" si="8"/>
        <v>环境状况</v>
      </c>
      <c r="R23" s="1557" t="s">
        <v>8</v>
      </c>
      <c r="S23" s="1558">
        <f>F23</f>
        <v>100</v>
      </c>
      <c r="T23" s="1557" t="s">
        <v>8</v>
      </c>
      <c r="U23" s="1558">
        <f>H23</f>
        <v>100</v>
      </c>
      <c r="V23" s="1557" t="s">
        <v>8</v>
      </c>
      <c r="W23" s="1558">
        <f>J23</f>
        <v>100</v>
      </c>
      <c r="X23" s="1551"/>
      <c r="Y23" s="3790"/>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790"/>
      <c r="Q24" s="1556"/>
      <c r="R24" s="1557"/>
      <c r="S24" s="1558"/>
      <c r="T24" s="1557"/>
      <c r="U24" s="1558"/>
      <c r="V24" s="1557"/>
      <c r="W24" s="1558"/>
      <c r="X24" s="1551"/>
      <c r="Y24" s="3790"/>
      <c r="Z24" s="1559"/>
      <c r="AA24" s="1560">
        <v>1</v>
      </c>
      <c r="AB24" s="1560">
        <v>1</v>
      </c>
      <c r="AC24" s="1560">
        <v>1</v>
      </c>
    </row>
    <row r="25" spans="1:29" s="1213" customFormat="1" ht="42.75">
      <c r="A25" s="576"/>
      <c r="B25" s="2553"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790"/>
      <c r="Q25" s="1144" t="str">
        <f t="shared" si="8"/>
        <v>公共配套设施</v>
      </c>
      <c r="R25" s="1552" t="s">
        <v>8</v>
      </c>
      <c r="S25" s="1553">
        <f>F25</f>
        <v>100</v>
      </c>
      <c r="T25" s="1552" t="s">
        <v>8</v>
      </c>
      <c r="U25" s="1553">
        <f>H25</f>
        <v>100</v>
      </c>
      <c r="V25" s="1552" t="s">
        <v>8</v>
      </c>
      <c r="W25" s="1553">
        <f>J25</f>
        <v>100</v>
      </c>
      <c r="X25" s="1554"/>
      <c r="Y25" s="3790"/>
      <c r="Z25" s="1143" t="str">
        <f>Q25</f>
        <v>公共配套设施</v>
      </c>
      <c r="AA25" s="1560">
        <f>D25/F25</f>
        <v>1</v>
      </c>
      <c r="AB25" s="1560">
        <f>D25/H25</f>
        <v>1</v>
      </c>
      <c r="AC25" s="1560">
        <f>D25/J25</f>
        <v>1</v>
      </c>
    </row>
    <row r="26" spans="1:29" s="1213" customFormat="1" ht="15">
      <c r="A26" s="576"/>
      <c r="B26" s="594"/>
      <c r="C26" s="2552"/>
      <c r="D26" s="554"/>
      <c r="E26" s="553"/>
      <c r="F26" s="554"/>
      <c r="G26" s="553"/>
      <c r="H26" s="554"/>
      <c r="I26" s="575"/>
      <c r="J26" s="554"/>
      <c r="K26" s="530"/>
      <c r="L26" s="2118"/>
      <c r="M26" s="2119"/>
      <c r="N26" s="2119"/>
      <c r="O26" s="2120"/>
      <c r="P26" s="3790"/>
      <c r="Q26" s="1144"/>
      <c r="R26" s="1552"/>
      <c r="S26" s="1553"/>
      <c r="T26" s="1552"/>
      <c r="U26" s="1553"/>
      <c r="V26" s="1552"/>
      <c r="W26" s="1553"/>
      <c r="X26" s="1554"/>
      <c r="Y26" s="3790"/>
      <c r="Z26" s="1143"/>
      <c r="AA26" s="1555">
        <v>1</v>
      </c>
      <c r="AB26" s="1555">
        <v>1</v>
      </c>
      <c r="AC26" s="1555">
        <v>1</v>
      </c>
    </row>
    <row r="27" spans="1:29" s="1213" customFormat="1" ht="28.5">
      <c r="A27" s="576"/>
      <c r="B27" s="2553"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790"/>
      <c r="Q27" s="2538" t="str">
        <f>B27</f>
        <v>基础设施水平</v>
      </c>
      <c r="R27" s="1552" t="s">
        <v>8</v>
      </c>
      <c r="S27" s="1553">
        <f>F27</f>
        <v>100</v>
      </c>
      <c r="T27" s="1552" t="s">
        <v>8</v>
      </c>
      <c r="U27" s="1553">
        <f>H27</f>
        <v>100</v>
      </c>
      <c r="V27" s="1552" t="s">
        <v>8</v>
      </c>
      <c r="W27" s="1553">
        <f>J27</f>
        <v>100</v>
      </c>
      <c r="X27" s="1554"/>
      <c r="Y27" s="3790"/>
      <c r="Z27" s="2535" t="str">
        <f>Q27</f>
        <v>基础设施水平</v>
      </c>
      <c r="AA27" s="1560">
        <f>D27/F27</f>
        <v>1</v>
      </c>
      <c r="AB27" s="1560">
        <f>D27/H27</f>
        <v>1</v>
      </c>
      <c r="AC27" s="1560">
        <f>D27/J27</f>
        <v>1</v>
      </c>
    </row>
    <row r="28" spans="1:29" s="1213" customFormat="1" ht="15">
      <c r="A28" s="576"/>
      <c r="B28" s="594"/>
      <c r="C28" s="2552"/>
      <c r="D28" s="554"/>
      <c r="E28" s="578"/>
      <c r="F28" s="554"/>
      <c r="G28" s="578"/>
      <c r="H28" s="554"/>
      <c r="I28" s="578"/>
      <c r="J28" s="554"/>
      <c r="K28" s="530"/>
      <c r="L28" s="2118"/>
      <c r="M28" s="2119"/>
      <c r="N28" s="2119"/>
      <c r="O28" s="2120"/>
      <c r="P28" s="3790"/>
      <c r="Q28" s="2538"/>
      <c r="R28" s="1552"/>
      <c r="S28" s="1553"/>
      <c r="T28" s="1552"/>
      <c r="U28" s="1553"/>
      <c r="V28" s="1552"/>
      <c r="W28" s="1553"/>
      <c r="X28" s="1554"/>
      <c r="Y28" s="3790"/>
      <c r="Z28" s="2535"/>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790"/>
      <c r="Q29" s="1556" t="str">
        <f t="shared" si="8"/>
        <v>临街状况</v>
      </c>
      <c r="R29" s="1557" t="s">
        <v>8</v>
      </c>
      <c r="S29" s="1558">
        <f t="shared" ref="S29:S42" si="9">F29</f>
        <v>100</v>
      </c>
      <c r="T29" s="1557" t="s">
        <v>8</v>
      </c>
      <c r="U29" s="1558">
        <f t="shared" ref="U29:U42" si="10">H29</f>
        <v>100</v>
      </c>
      <c r="V29" s="1557" t="s">
        <v>8</v>
      </c>
      <c r="W29" s="1558">
        <f t="shared" ref="W29:W42" si="11">J29</f>
        <v>100</v>
      </c>
      <c r="X29" s="1551"/>
      <c r="Y29" s="3790"/>
      <c r="Z29" s="1559" t="str">
        <f t="shared" ref="Z29:Z42" si="12">Q29</f>
        <v>临街状况</v>
      </c>
      <c r="AA29" s="1560">
        <f t="shared" si="3"/>
        <v>1</v>
      </c>
      <c r="AB29" s="1560">
        <f t="shared" si="4"/>
        <v>1</v>
      </c>
      <c r="AC29" s="1560">
        <f t="shared" si="5"/>
        <v>1</v>
      </c>
    </row>
    <row r="30" spans="1:29" ht="27">
      <c r="A30" s="531"/>
      <c r="B30" s="920" t="s">
        <v>548</v>
      </c>
      <c r="C30" s="255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790"/>
      <c r="Q30" s="1556" t="str">
        <f t="shared" si="8"/>
        <v>毗邻道路的类型与等级</v>
      </c>
      <c r="R30" s="1557" t="s">
        <v>8</v>
      </c>
      <c r="S30" s="1558">
        <f t="shared" si="9"/>
        <v>100</v>
      </c>
      <c r="T30" s="1557" t="s">
        <v>8</v>
      </c>
      <c r="U30" s="1558">
        <f t="shared" si="10"/>
        <v>100</v>
      </c>
      <c r="V30" s="1557" t="s">
        <v>8</v>
      </c>
      <c r="W30" s="1558">
        <f t="shared" si="11"/>
        <v>100</v>
      </c>
      <c r="X30" s="1551"/>
      <c r="Y30" s="3790"/>
      <c r="Z30" s="1559" t="str">
        <f t="shared" si="12"/>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790"/>
      <c r="Q31" s="1556"/>
      <c r="R31" s="1557"/>
      <c r="S31" s="1558"/>
      <c r="T31" s="1557"/>
      <c r="U31" s="1558"/>
      <c r="V31" s="1557"/>
      <c r="W31" s="1558"/>
      <c r="X31" s="1551"/>
      <c r="Y31" s="3790"/>
      <c r="Z31" s="1559"/>
      <c r="AA31" s="1560">
        <v>1</v>
      </c>
      <c r="AB31" s="1560">
        <v>1</v>
      </c>
      <c r="AC31" s="1560">
        <v>1</v>
      </c>
    </row>
    <row r="32" spans="1:29" ht="15">
      <c r="A32" s="531"/>
      <c r="B32" s="526" t="s">
        <v>549</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790"/>
      <c r="Q32" s="1556" t="str">
        <f t="shared" si="8"/>
        <v>土地级别</v>
      </c>
      <c r="R32" s="1557" t="s">
        <v>8</v>
      </c>
      <c r="S32" s="1558">
        <f t="shared" si="9"/>
        <v>100</v>
      </c>
      <c r="T32" s="1557" t="s">
        <v>8</v>
      </c>
      <c r="U32" s="1558">
        <f t="shared" si="10"/>
        <v>100</v>
      </c>
      <c r="V32" s="1557" t="s">
        <v>8</v>
      </c>
      <c r="W32" s="1558">
        <f t="shared" si="11"/>
        <v>100</v>
      </c>
      <c r="X32" s="1551"/>
      <c r="Y32" s="3790"/>
      <c r="Z32" s="1559" t="str">
        <f t="shared" si="12"/>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790"/>
      <c r="Q33" s="1556">
        <f t="shared" si="8"/>
        <v>111</v>
      </c>
      <c r="R33" s="1557" t="s">
        <v>8</v>
      </c>
      <c r="S33" s="1558">
        <f t="shared" si="9"/>
        <v>100</v>
      </c>
      <c r="T33" s="1557" t="s">
        <v>8</v>
      </c>
      <c r="U33" s="1558">
        <f t="shared" si="10"/>
        <v>100</v>
      </c>
      <c r="V33" s="1557" t="s">
        <v>8</v>
      </c>
      <c r="W33" s="1558">
        <f t="shared" si="11"/>
        <v>100</v>
      </c>
      <c r="X33" s="1551"/>
      <c r="Y33" s="3790"/>
      <c r="Z33" s="1559">
        <f t="shared" si="12"/>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791" t="s">
        <v>550</v>
      </c>
      <c r="Q34" s="1556">
        <f t="shared" si="8"/>
        <v>111</v>
      </c>
      <c r="R34" s="1557" t="s">
        <v>8</v>
      </c>
      <c r="S34" s="1558">
        <f t="shared" si="9"/>
        <v>100</v>
      </c>
      <c r="T34" s="1557" t="s">
        <v>8</v>
      </c>
      <c r="U34" s="1558">
        <f t="shared" si="10"/>
        <v>100</v>
      </c>
      <c r="V34" s="1557" t="s">
        <v>8</v>
      </c>
      <c r="W34" s="1558">
        <f t="shared" si="11"/>
        <v>100</v>
      </c>
      <c r="X34" s="1551"/>
      <c r="Y34" s="3792" t="s">
        <v>550</v>
      </c>
      <c r="Z34" s="1559">
        <f t="shared" si="12"/>
        <v>111</v>
      </c>
      <c r="AA34" s="1560">
        <f t="shared" si="3"/>
        <v>1</v>
      </c>
      <c r="AB34" s="1560">
        <f t="shared" si="4"/>
        <v>1</v>
      </c>
      <c r="AC34" s="1560">
        <f t="shared" si="5"/>
        <v>1</v>
      </c>
    </row>
    <row r="35" spans="1:29" s="1332"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792"/>
      <c r="Q35" s="1556">
        <f t="shared" si="8"/>
        <v>111</v>
      </c>
      <c r="R35" s="1561" t="s">
        <v>8</v>
      </c>
      <c r="S35" s="1562">
        <f t="shared" si="9"/>
        <v>100</v>
      </c>
      <c r="T35" s="1561" t="s">
        <v>8</v>
      </c>
      <c r="U35" s="1562">
        <f t="shared" si="10"/>
        <v>100</v>
      </c>
      <c r="V35" s="1561" t="s">
        <v>8</v>
      </c>
      <c r="W35" s="1562">
        <f t="shared" si="11"/>
        <v>100</v>
      </c>
      <c r="X35" s="1563"/>
      <c r="Y35" s="3792"/>
      <c r="Z35" s="1564">
        <f t="shared" si="12"/>
        <v>111</v>
      </c>
      <c r="AA35" s="1560">
        <f t="shared" si="3"/>
        <v>1</v>
      </c>
      <c r="AB35" s="1560">
        <f t="shared" si="4"/>
        <v>1</v>
      </c>
      <c r="AC35" s="1560">
        <f t="shared" si="5"/>
        <v>1</v>
      </c>
    </row>
    <row r="36" spans="1:29" ht="15">
      <c r="A36" s="2858"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792"/>
      <c r="Q36" s="1556" t="str">
        <f>B36</f>
        <v>宗地面积</v>
      </c>
      <c r="R36" s="1557" t="s">
        <v>8</v>
      </c>
      <c r="S36" s="1558" t="e">
        <f t="shared" si="9"/>
        <v>#N/A</v>
      </c>
      <c r="T36" s="1557" t="s">
        <v>8</v>
      </c>
      <c r="U36" s="1558" t="e">
        <f t="shared" si="10"/>
        <v>#N/A</v>
      </c>
      <c r="V36" s="1557" t="s">
        <v>8</v>
      </c>
      <c r="W36" s="1558" t="e">
        <f t="shared" si="11"/>
        <v>#N/A</v>
      </c>
      <c r="X36" s="1551"/>
      <c r="Y36" s="3792"/>
      <c r="Z36" s="1559" t="str">
        <f t="shared" si="12"/>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792"/>
      <c r="Q37" s="1556" t="str">
        <f t="shared" ref="Q37:Q42" si="13">B37</f>
        <v>宗地形状</v>
      </c>
      <c r="R37" s="1557" t="s">
        <v>8</v>
      </c>
      <c r="S37" s="1558">
        <f t="shared" si="9"/>
        <v>100</v>
      </c>
      <c r="T37" s="1557" t="s">
        <v>8</v>
      </c>
      <c r="U37" s="1558">
        <f t="shared" si="10"/>
        <v>100</v>
      </c>
      <c r="V37" s="1557" t="s">
        <v>8</v>
      </c>
      <c r="W37" s="1558">
        <f t="shared" si="11"/>
        <v>100</v>
      </c>
      <c r="X37" s="1551"/>
      <c r="Y37" s="3792"/>
      <c r="Z37" s="1559" t="str">
        <f t="shared" si="12"/>
        <v>宗地形状</v>
      </c>
      <c r="AA37" s="1560">
        <f t="shared" si="3"/>
        <v>1</v>
      </c>
      <c r="AB37" s="1560">
        <f t="shared" si="4"/>
        <v>1</v>
      </c>
      <c r="AC37" s="1560">
        <f t="shared" si="5"/>
        <v>1</v>
      </c>
    </row>
    <row r="38" spans="1:29" s="1213" customFormat="1" ht="15">
      <c r="A38" s="599"/>
      <c r="B38" s="1878"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792"/>
      <c r="Q38" s="1556" t="str">
        <f t="shared" si="13"/>
        <v>宗地开发程度</v>
      </c>
      <c r="R38" s="1552" t="s">
        <v>8</v>
      </c>
      <c r="S38" s="1553">
        <f t="shared" si="9"/>
        <v>100</v>
      </c>
      <c r="T38" s="1552" t="s">
        <v>8</v>
      </c>
      <c r="U38" s="1553">
        <f t="shared" si="10"/>
        <v>100</v>
      </c>
      <c r="V38" s="1552" t="s">
        <v>8</v>
      </c>
      <c r="W38" s="1553">
        <f t="shared" si="11"/>
        <v>100</v>
      </c>
      <c r="X38" s="1554"/>
      <c r="Y38" s="3792"/>
      <c r="Z38" s="1143" t="str">
        <f t="shared" si="12"/>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792" t="s">
        <v>601</v>
      </c>
      <c r="Q39" s="1556" t="str">
        <f t="shared" si="13"/>
        <v>工程地质条件</v>
      </c>
      <c r="R39" s="1557" t="s">
        <v>8</v>
      </c>
      <c r="S39" s="1558">
        <f t="shared" si="9"/>
        <v>100</v>
      </c>
      <c r="T39" s="1557" t="s">
        <v>8</v>
      </c>
      <c r="U39" s="1558">
        <f t="shared" si="10"/>
        <v>100</v>
      </c>
      <c r="V39" s="1557" t="s">
        <v>8</v>
      </c>
      <c r="W39" s="1558">
        <f t="shared" si="11"/>
        <v>100</v>
      </c>
      <c r="X39" s="1551"/>
      <c r="Y39" s="3792" t="s">
        <v>601</v>
      </c>
      <c r="Z39" s="1559" t="str">
        <f t="shared" si="12"/>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792"/>
      <c r="Q40" s="1556">
        <f t="shared" si="13"/>
        <v>111</v>
      </c>
      <c r="R40" s="1557" t="s">
        <v>8</v>
      </c>
      <c r="S40" s="1558">
        <f t="shared" si="9"/>
        <v>100</v>
      </c>
      <c r="T40" s="1557" t="s">
        <v>8</v>
      </c>
      <c r="U40" s="1558">
        <f t="shared" si="10"/>
        <v>100</v>
      </c>
      <c r="V40" s="1557" t="s">
        <v>8</v>
      </c>
      <c r="W40" s="1558">
        <f t="shared" si="11"/>
        <v>100</v>
      </c>
      <c r="X40" s="1551"/>
      <c r="Y40" s="3792"/>
      <c r="Z40" s="1559">
        <f t="shared" si="12"/>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792"/>
      <c r="Q41" s="1556">
        <f t="shared" si="13"/>
        <v>111</v>
      </c>
      <c r="R41" s="1557" t="s">
        <v>8</v>
      </c>
      <c r="S41" s="1558">
        <f t="shared" si="9"/>
        <v>100</v>
      </c>
      <c r="T41" s="1557" t="s">
        <v>8</v>
      </c>
      <c r="U41" s="1558">
        <f t="shared" si="10"/>
        <v>100</v>
      </c>
      <c r="V41" s="1557" t="s">
        <v>8</v>
      </c>
      <c r="W41" s="1558">
        <f t="shared" si="11"/>
        <v>100</v>
      </c>
      <c r="X41" s="1551"/>
      <c r="Y41" s="3792"/>
      <c r="Z41" s="1559">
        <f t="shared" si="12"/>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792"/>
      <c r="Q42" s="1556">
        <f t="shared" si="13"/>
        <v>111</v>
      </c>
      <c r="R42" s="1561" t="s">
        <v>8</v>
      </c>
      <c r="S42" s="1562">
        <f t="shared" si="9"/>
        <v>100</v>
      </c>
      <c r="T42" s="1561" t="s">
        <v>8</v>
      </c>
      <c r="U42" s="1562">
        <f t="shared" si="10"/>
        <v>100</v>
      </c>
      <c r="V42" s="1561" t="s">
        <v>8</v>
      </c>
      <c r="W42" s="1562">
        <f t="shared" si="11"/>
        <v>100</v>
      </c>
      <c r="X42" s="1563"/>
      <c r="Y42" s="3792"/>
      <c r="Z42" s="1564">
        <f t="shared" si="12"/>
        <v>111</v>
      </c>
      <c r="AA42" s="1560">
        <f t="shared" si="3"/>
        <v>1</v>
      </c>
      <c r="AB42" s="1560">
        <f t="shared" si="4"/>
        <v>1</v>
      </c>
      <c r="AC42" s="1560">
        <f t="shared" si="5"/>
        <v>1</v>
      </c>
    </row>
    <row r="43" spans="1:29" ht="15">
      <c r="A43" s="606" t="s">
        <v>556</v>
      </c>
      <c r="B43" s="607" t="s">
        <v>2929</v>
      </c>
      <c r="C43" s="608" t="s">
        <v>1</v>
      </c>
      <c r="D43" s="609"/>
      <c r="E43" s="610"/>
      <c r="F43" s="611"/>
      <c r="G43" s="612"/>
      <c r="H43" s="613"/>
      <c r="I43" s="610"/>
      <c r="J43" s="613"/>
      <c r="K43" s="1333"/>
      <c r="L43" s="2127"/>
      <c r="M43" s="2117"/>
      <c r="N43" s="2117"/>
      <c r="O43" s="2128"/>
      <c r="P43" s="3787" t="str">
        <f>A43</f>
        <v>成交单价</v>
      </c>
      <c r="Q43" s="3787"/>
      <c r="R43" s="3801">
        <f>E43</f>
        <v>0</v>
      </c>
      <c r="S43" s="3801"/>
      <c r="T43" s="3801">
        <f>G43</f>
        <v>0</v>
      </c>
      <c r="U43" s="3801"/>
      <c r="V43" s="3801">
        <f>I43</f>
        <v>0</v>
      </c>
      <c r="W43" s="3801"/>
      <c r="X43" s="1543"/>
      <c r="Y43" s="1565"/>
      <c r="Z43" s="1543"/>
      <c r="AA43" s="1543"/>
      <c r="AB43" s="1543"/>
      <c r="AC43" s="1543"/>
    </row>
    <row r="44" spans="1:29" ht="15.75" thickBot="1">
      <c r="A44" s="614" t="s">
        <v>2689</v>
      </c>
      <c r="B44" s="615"/>
      <c r="C44" s="616" t="e">
        <f>R45</f>
        <v>#DIV/0!</v>
      </c>
      <c r="D44" s="617"/>
      <c r="E44" s="616" t="e">
        <f>R44</f>
        <v>#DIV/0!</v>
      </c>
      <c r="F44" s="618"/>
      <c r="G44" s="619" t="e">
        <f>T44</f>
        <v>#DIV/0!</v>
      </c>
      <c r="H44" s="617"/>
      <c r="I44" s="616" t="e">
        <f>V44</f>
        <v>#DIV/0!</v>
      </c>
      <c r="J44" s="617"/>
      <c r="K44" s="1334"/>
      <c r="L44" s="2127"/>
      <c r="M44" s="2117"/>
      <c r="N44" s="2117"/>
      <c r="O44" s="2128"/>
      <c r="P44" s="3787" t="str">
        <f>A44</f>
        <v>比较价格（元/平方米）</v>
      </c>
      <c r="Q44" s="3787"/>
      <c r="R44" s="3811" t="e">
        <f>ROUND(PRODUCT(R43,AA9:AA42),0)</f>
        <v>#DIV/0!</v>
      </c>
      <c r="S44" s="3811"/>
      <c r="T44" s="3811" t="e">
        <f>ROUND(PRODUCT(T43,AB9:AB42),0)</f>
        <v>#DIV/0!</v>
      </c>
      <c r="U44" s="3811"/>
      <c r="V44" s="3811" t="e">
        <f>ROUND(PRODUCT(V43,AC9:AC42),0)</f>
        <v>#DIV/0!</v>
      </c>
      <c r="W44" s="3811"/>
      <c r="X44" s="1543"/>
      <c r="Y44" s="1543"/>
      <c r="Z44" s="1543"/>
      <c r="AA44" s="1543"/>
      <c r="AB44" s="1543"/>
      <c r="AC44" s="1543"/>
    </row>
    <row r="45" spans="1:29" ht="15.75" thickBot="1">
      <c r="A45" s="620" t="s">
        <v>2930</v>
      </c>
      <c r="B45" s="621"/>
      <c r="C45" s="622" t="e">
        <f>R45</f>
        <v>#DIV/0!</v>
      </c>
      <c r="D45" s="622"/>
      <c r="E45" s="622"/>
      <c r="F45" s="622"/>
      <c r="G45" s="622"/>
      <c r="H45" s="622"/>
      <c r="I45" s="622"/>
      <c r="J45" s="622"/>
      <c r="K45" s="1335"/>
      <c r="L45" s="2127"/>
      <c r="M45" s="2117"/>
      <c r="N45" s="2117"/>
      <c r="O45" s="2128"/>
      <c r="P45" s="3808" t="str">
        <f>A45</f>
        <v>估价对象XX用房的比较价格（楼面单价，元/平方米）</v>
      </c>
      <c r="Q45" s="3809"/>
      <c r="R45" s="3810" t="e">
        <f>ROUND(AVERAGE(R44:V44),0)</f>
        <v>#DIV/0!</v>
      </c>
      <c r="S45" s="3810"/>
      <c r="T45" s="3810"/>
      <c r="U45" s="3810"/>
      <c r="V45" s="3810"/>
      <c r="W45" s="3810"/>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1724</v>
      </c>
      <c r="D52" s="2210" t="s">
        <v>2290</v>
      </c>
      <c r="E52" s="630" t="s">
        <v>562</v>
      </c>
      <c r="F52" s="1934" t="s">
        <v>563</v>
      </c>
      <c r="G52" s="3812" t="s">
        <v>2281</v>
      </c>
      <c r="H52" s="3813"/>
      <c r="I52" s="1935" t="s">
        <v>1943</v>
      </c>
      <c r="J52" s="1539" t="str">
        <f>项目基本情况!F41</f>
        <v>云南省</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2" t="s">
        <v>564</v>
      </c>
      <c r="B53" s="633" t="e">
        <f>C45</f>
        <v>#DIV/0!</v>
      </c>
      <c r="C53" s="634">
        <v>1</v>
      </c>
      <c r="D53" s="2211">
        <v>1</v>
      </c>
      <c r="E53" s="634">
        <f>'数据-汇总表'!E8+'数据-汇总表'!E9</f>
        <v>188679.99</v>
      </c>
      <c r="F53" s="1933" t="e">
        <f t="shared" ref="F53:F62" si="14">ROUND(B53*E53/10000,0)</f>
        <v>#DIV/0!</v>
      </c>
      <c r="G53" s="3814"/>
      <c r="H53" s="3815"/>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6" t="s">
        <v>565</v>
      </c>
      <c r="B54" s="637" t="e">
        <f>ROUND($C$45*C54*D54,0)</f>
        <v>#DIV/0!</v>
      </c>
      <c r="C54" s="377">
        <f t="shared" ref="C54:C62" si="15">IF($C$52="北京市系数",I54,J54)</f>
        <v>0</v>
      </c>
      <c r="D54" s="2212">
        <v>0.25</v>
      </c>
      <c r="E54" s="638"/>
      <c r="F54" s="1933" t="e">
        <f t="shared" si="14"/>
        <v>#DIV/0!</v>
      </c>
      <c r="G54" s="3816" t="s">
        <v>2282</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6" t="s">
        <v>566</v>
      </c>
      <c r="B55" s="637" t="e">
        <f t="shared" ref="B55:B62" si="16">ROUND($C$45*C55*D55,0)</f>
        <v>#DIV/0!</v>
      </c>
      <c r="C55" s="377">
        <f t="shared" si="15"/>
        <v>0</v>
      </c>
      <c r="D55" s="2212">
        <v>0.25</v>
      </c>
      <c r="E55" s="638"/>
      <c r="F55" s="1933" t="e">
        <f t="shared" si="14"/>
        <v>#DIV/0!</v>
      </c>
      <c r="G55" s="3816"/>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6" t="s">
        <v>567</v>
      </c>
      <c r="B56" s="637" t="e">
        <f t="shared" si="16"/>
        <v>#DIV/0!</v>
      </c>
      <c r="C56" s="377">
        <f t="shared" si="15"/>
        <v>0</v>
      </c>
      <c r="D56" s="2212">
        <v>0.25</v>
      </c>
      <c r="E56" s="638"/>
      <c r="F56" s="1933" t="e">
        <f t="shared" si="14"/>
        <v>#DIV/0!</v>
      </c>
      <c r="G56" s="3816"/>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6" t="s">
        <v>568</v>
      </c>
      <c r="B57" s="637" t="e">
        <f t="shared" si="16"/>
        <v>#DIV/0!</v>
      </c>
      <c r="C57" s="377">
        <f t="shared" si="15"/>
        <v>0</v>
      </c>
      <c r="D57" s="2212">
        <v>0.25</v>
      </c>
      <c r="E57" s="638"/>
      <c r="F57" s="1933" t="e">
        <f t="shared" si="14"/>
        <v>#DIV/0!</v>
      </c>
      <c r="G57" s="3816"/>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2" t="s">
        <v>2325</v>
      </c>
      <c r="B58" s="637" t="e">
        <f t="shared" si="16"/>
        <v>#DIV/0!</v>
      </c>
      <c r="C58" s="377">
        <f t="shared" si="15"/>
        <v>0</v>
      </c>
      <c r="D58" s="2212">
        <v>0.25</v>
      </c>
      <c r="E58" s="640">
        <f>'数据-汇总表'!E11</f>
        <v>0</v>
      </c>
      <c r="F58" s="1933" t="e">
        <f t="shared" si="14"/>
        <v>#DIV/0!</v>
      </c>
      <c r="G58" s="1939" t="s">
        <v>2283</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569</v>
      </c>
      <c r="B59" s="637" t="e">
        <f t="shared" si="16"/>
        <v>#DIV/0!</v>
      </c>
      <c r="C59" s="377">
        <f t="shared" si="15"/>
        <v>0</v>
      </c>
      <c r="D59" s="2212">
        <v>0.25</v>
      </c>
      <c r="E59" s="640">
        <f>'数据-汇总表'!E12</f>
        <v>0</v>
      </c>
      <c r="F59" s="1933" t="e">
        <f t="shared" si="14"/>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570</v>
      </c>
      <c r="B60" s="637" t="e">
        <f t="shared" si="16"/>
        <v>#DIV/0!</v>
      </c>
      <c r="C60" s="377">
        <f t="shared" si="15"/>
        <v>0</v>
      </c>
      <c r="D60" s="2212">
        <v>0.25</v>
      </c>
      <c r="E60" s="640">
        <f>'数据-汇总表'!E13</f>
        <v>49442.47</v>
      </c>
      <c r="F60" s="1933" t="e">
        <f t="shared" si="14"/>
        <v>#DIV/0!</v>
      </c>
      <c r="G60" s="1929" t="s">
        <v>923</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571</v>
      </c>
      <c r="B61" s="637" t="e">
        <f t="shared" si="16"/>
        <v>#DIV/0!</v>
      </c>
      <c r="C61" s="377">
        <f t="shared" si="15"/>
        <v>0</v>
      </c>
      <c r="D61" s="2212">
        <v>0.25</v>
      </c>
      <c r="E61" s="640">
        <f>'数据-汇总表'!E14</f>
        <v>0</v>
      </c>
      <c r="F61" s="1933" t="e">
        <f t="shared" si="14"/>
        <v>#DIV/0!</v>
      </c>
      <c r="G61" s="1939" t="s">
        <v>2282</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6" t="s">
        <v>572</v>
      </c>
      <c r="B62" s="637" t="e">
        <f t="shared" si="16"/>
        <v>#DIV/0!</v>
      </c>
      <c r="C62" s="377">
        <f t="shared" si="15"/>
        <v>0</v>
      </c>
      <c r="D62" s="2212">
        <v>0.25</v>
      </c>
      <c r="E62" s="640">
        <f>'数据-汇总表'!E15</f>
        <v>0</v>
      </c>
      <c r="F62" s="1933" t="e">
        <f t="shared" si="14"/>
        <v>#DIV/0!</v>
      </c>
      <c r="G62" s="1940" t="s">
        <v>2283</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1" t="s">
        <v>573</v>
      </c>
      <c r="B63" s="642" t="s">
        <v>17</v>
      </c>
      <c r="C63" s="642" t="s">
        <v>18</v>
      </c>
      <c r="D63" s="642" t="s">
        <v>2291</v>
      </c>
      <c r="E63" s="642">
        <f>IF(B43="楼面地价",SUM(E53:E62),'数据-汇总表'!D3)</f>
        <v>61677.15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1" t="str">
        <f>YEAR(C9)&amp;"-"&amp;MONTH(C9)&amp;"-1"</f>
        <v>2020-5-1</v>
      </c>
      <c r="D65" s="2750">
        <f>EDATE(C65,-3)</f>
        <v>43862</v>
      </c>
      <c r="E65" s="2750">
        <f t="shared" ref="E65:N65" si="17">EDATE(D65,-3)</f>
        <v>43770</v>
      </c>
      <c r="F65" s="2750">
        <f t="shared" si="17"/>
        <v>43678</v>
      </c>
      <c r="G65" s="2750">
        <f t="shared" si="17"/>
        <v>43586</v>
      </c>
      <c r="H65" s="2750">
        <f t="shared" si="17"/>
        <v>43497</v>
      </c>
      <c r="I65" s="2750">
        <f t="shared" si="17"/>
        <v>43405</v>
      </c>
      <c r="J65" s="2750">
        <f t="shared" si="17"/>
        <v>43313</v>
      </c>
      <c r="K65" s="2750">
        <f t="shared" si="17"/>
        <v>43221</v>
      </c>
      <c r="L65" s="2750">
        <f t="shared" si="17"/>
        <v>43132</v>
      </c>
      <c r="M65" s="2750">
        <f t="shared" si="17"/>
        <v>43040</v>
      </c>
      <c r="N65" s="2750">
        <f t="shared" si="17"/>
        <v>42948</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28" t="s">
        <v>2530</v>
      </c>
      <c r="B67" s="645"/>
      <c r="C67" s="2746" t="str">
        <f>YEAR(C65)&amp;"-"&amp;ROUNDUP(MONTH(C65)/3,0)</f>
        <v>2020-2</v>
      </c>
      <c r="D67" s="2752" t="str">
        <f t="shared" ref="D67:N67" si="18">YEAR(D65)&amp;"-"&amp;ROUNDUP(MONTH(D65)/3,0)</f>
        <v>2020-1</v>
      </c>
      <c r="E67" s="2752" t="str">
        <f t="shared" si="18"/>
        <v>2019-4</v>
      </c>
      <c r="F67" s="2752" t="str">
        <f t="shared" si="18"/>
        <v>2019-3</v>
      </c>
      <c r="G67" s="2752" t="str">
        <f t="shared" si="18"/>
        <v>2019-2</v>
      </c>
      <c r="H67" s="2752" t="str">
        <f t="shared" si="18"/>
        <v>2019-1</v>
      </c>
      <c r="I67" s="2752" t="str">
        <f t="shared" si="18"/>
        <v>2018-4</v>
      </c>
      <c r="J67" s="2752" t="str">
        <f t="shared" si="18"/>
        <v>2018-3</v>
      </c>
      <c r="K67" s="2752" t="str">
        <f t="shared" si="18"/>
        <v>2018-2</v>
      </c>
      <c r="L67" s="2752" t="str">
        <f t="shared" si="18"/>
        <v>2018-1</v>
      </c>
      <c r="M67" s="2752" t="str">
        <f t="shared" si="18"/>
        <v>2017-4</v>
      </c>
      <c r="N67" s="2752" t="str">
        <f t="shared" si="18"/>
        <v>2017-3</v>
      </c>
      <c r="O67" s="2142"/>
      <c r="P67" s="2143"/>
      <c r="Q67" s="2144"/>
      <c r="R67" s="2144"/>
      <c r="S67" s="2144"/>
      <c r="T67" s="2144"/>
      <c r="U67" s="2144"/>
      <c r="V67" s="2144"/>
      <c r="W67" s="2144"/>
      <c r="X67" s="2144"/>
      <c r="Y67" s="2144"/>
      <c r="Z67" s="2144"/>
      <c r="AA67" s="2144"/>
      <c r="AB67" s="2144"/>
      <c r="AC67" s="2144"/>
    </row>
    <row r="68" spans="1:29" s="1213" customFormat="1" ht="27.75" customHeight="1">
      <c r="A68" s="2749" t="s">
        <v>2645</v>
      </c>
      <c r="B68" s="478" t="str">
        <f>"北京市平均增长率"&amp;TEXT(基准地价!P24,"0.00%")</f>
        <v>北京市平均增长率1.31%</v>
      </c>
      <c r="C68" s="892">
        <v>100</v>
      </c>
      <c r="D68" s="729"/>
      <c r="E68" s="729"/>
      <c r="F68" s="729"/>
      <c r="G68" s="729"/>
      <c r="H68" s="729"/>
      <c r="I68" s="729"/>
      <c r="J68" s="729"/>
      <c r="K68" s="729"/>
      <c r="L68" s="729"/>
      <c r="M68" s="2744"/>
      <c r="N68" s="2745"/>
      <c r="O68" s="2145"/>
      <c r="P68" s="2141"/>
      <c r="Q68" s="1976"/>
      <c r="R68" s="1976"/>
      <c r="S68" s="1976"/>
      <c r="T68" s="1976"/>
      <c r="U68" s="1976"/>
      <c r="V68" s="1976"/>
      <c r="W68" s="1976"/>
      <c r="X68" s="1976"/>
      <c r="Y68" s="1976"/>
      <c r="Z68" s="1976"/>
      <c r="AA68" s="1976"/>
      <c r="AB68" s="1976"/>
      <c r="AC68" s="1976"/>
    </row>
    <row r="69" spans="1:29" s="1213" customFormat="1" ht="15.75" thickBot="1">
      <c r="A69" s="652" t="s">
        <v>575</v>
      </c>
      <c r="B69" s="653"/>
      <c r="C69" s="2742"/>
      <c r="D69" s="2743"/>
      <c r="E69" s="2743"/>
      <c r="F69" s="2743"/>
      <c r="G69" s="2743"/>
      <c r="H69" s="2743"/>
      <c r="I69" s="2743"/>
      <c r="J69" s="2743"/>
      <c r="K69" s="2743"/>
      <c r="L69" s="2743"/>
      <c r="M69" s="2743"/>
      <c r="N69" s="2743"/>
      <c r="O69" s="2145"/>
      <c r="P69" s="2141"/>
      <c r="Q69" s="2141"/>
      <c r="R69" s="1976"/>
      <c r="S69" s="1976"/>
      <c r="T69" s="1976"/>
      <c r="U69" s="1976"/>
      <c r="V69" s="1976"/>
      <c r="W69" s="1976"/>
      <c r="X69" s="1976"/>
      <c r="Y69" s="1976"/>
      <c r="Z69" s="1976"/>
      <c r="AA69" s="1976"/>
      <c r="AB69" s="1976"/>
      <c r="AC69" s="1976"/>
    </row>
    <row r="70" spans="1:29" s="1213"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6"/>
      <c r="B93" s="1879" t="s">
        <v>2545</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6"/>
      <c r="B95" s="2557" t="s">
        <v>2547</v>
      </c>
      <c r="C95" s="2558" t="s">
        <v>2548</v>
      </c>
      <c r="D95" s="2558" t="s">
        <v>2549</v>
      </c>
      <c r="E95" s="2558" t="s">
        <v>2550</v>
      </c>
      <c r="F95" s="2558" t="s">
        <v>2551</v>
      </c>
      <c r="G95" s="2558" t="s">
        <v>2552</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0"/>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040" t="str">
        <f t="shared" si="24"/>
        <v>(含)-</v>
      </c>
      <c r="L109" s="3041" t="str">
        <f t="shared" si="24"/>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7"/>
      <c r="B114" s="1879" t="s">
        <v>2422</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2423</v>
      </c>
      <c r="D1" s="1506">
        <f>SUM(D29:D30,D33:D39)</f>
        <v>0</v>
      </c>
      <c r="E1" s="1400" t="s">
        <v>2424</v>
      </c>
      <c r="F1" s="2412"/>
      <c r="G1" s="1395"/>
      <c r="H1" s="1395"/>
      <c r="I1" s="1395"/>
      <c r="J1" s="1395"/>
      <c r="K1" s="1395"/>
      <c r="L1" s="1865" t="s">
        <v>2236</v>
      </c>
      <c r="M1" s="1866">
        <f>SUMPRODUCT((区片价!B5:B9=I2)*(区片价!C3:F3=E2)*(区片价!C5:F9))</f>
        <v>0</v>
      </c>
      <c r="N1" s="1867">
        <f>SUMPRODUCT((因素修正幅度!B5:B9=I2)*(因素修正幅度!C3:F3=E2)*(因素修正幅度!C5:F9))</f>
        <v>0</v>
      </c>
      <c r="O1" s="1395"/>
      <c r="P1" s="1395"/>
      <c r="Q1" s="2172"/>
      <c r="R1" s="2887" t="s">
        <v>2758</v>
      </c>
      <c r="S1" s="2887" t="s">
        <v>2759</v>
      </c>
      <c r="T1" s="2887" t="s">
        <v>2780</v>
      </c>
      <c r="U1" s="2887" t="s">
        <v>2781</v>
      </c>
      <c r="V1" s="2887" t="s">
        <v>2782</v>
      </c>
      <c r="W1" s="2172"/>
      <c r="X1" s="2172"/>
      <c r="Y1" s="2172"/>
      <c r="Z1" s="2172"/>
      <c r="AA1" s="2172"/>
      <c r="AB1" s="2172"/>
      <c r="AC1" s="2173"/>
    </row>
    <row r="2" spans="1:39" ht="15.75">
      <c r="A2" s="1400" t="s">
        <v>920</v>
      </c>
      <c r="B2" s="1035" t="e">
        <f>C26</f>
        <v>#DIV/0!</v>
      </c>
      <c r="C2" s="1401" t="s">
        <v>921</v>
      </c>
      <c r="D2" s="1402" t="s">
        <v>922</v>
      </c>
      <c r="E2" s="1403"/>
      <c r="F2" s="1402" t="s">
        <v>924</v>
      </c>
      <c r="G2" s="1635">
        <f>IF(E2="商业",项目基本情况!B43,IF(E2="办公",项目基本情况!C43,IF(E2="住宅",项目基本情况!D43,项目基本情况!E43)))</f>
        <v>0</v>
      </c>
      <c r="H2" s="1402" t="s">
        <v>926</v>
      </c>
      <c r="I2" s="1636">
        <f>IF(E2="商业",项目基本情况!B44,IF(E2="办公",项目基本情况!C44,IF(E2="住宅",项目基本情况!D44,项目基本情况!E44)))</f>
        <v>0</v>
      </c>
      <c r="J2" s="1404"/>
      <c r="K2" s="1404"/>
      <c r="L2" s="1868" t="s">
        <v>2237</v>
      </c>
      <c r="M2" s="1869">
        <f>SUMPRODUCT((区片价!B10:B28=I2)*(区片价!C3:F3=E2)*(区片价!C10:F28))</f>
        <v>0</v>
      </c>
      <c r="N2" s="1870">
        <f>SUMPRODUCT((因素修正幅度!B10:B28=I2)*(因素修正幅度!C3:F3=E2)*(因素修正幅度!C10:F28))</f>
        <v>0</v>
      </c>
      <c r="O2" s="1404"/>
      <c r="P2" s="1395"/>
      <c r="Q2" s="2172"/>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2"/>
      <c r="X2" s="2172"/>
      <c r="Y2" s="2172"/>
      <c r="Z2" s="2172"/>
      <c r="AA2" s="2172"/>
      <c r="AB2" s="2172"/>
      <c r="AC2" s="2173"/>
    </row>
    <row r="3" spans="1:39" ht="15.75">
      <c r="A3" s="1405" t="s">
        <v>1687</v>
      </c>
      <c r="B3" s="1035" t="e">
        <f>ROUND(B2*10000/D1,0)</f>
        <v>#DIV/0!</v>
      </c>
      <c r="C3" s="1401" t="s">
        <v>927</v>
      </c>
      <c r="D3" s="1402" t="s">
        <v>928</v>
      </c>
      <c r="E3" s="1406"/>
      <c r="F3" s="1407"/>
      <c r="G3" s="1036">
        <f>IF(F3="宗地容积率",'数据-汇总表'!I4,IF(F3="估价对象容积率",'数据-汇总表'!I6,'数据-汇总表'!I7))</f>
        <v>4</v>
      </c>
      <c r="H3" s="1408" t="s">
        <v>929</v>
      </c>
      <c r="I3" s="1037">
        <v>8</v>
      </c>
      <c r="J3" s="1404" t="s">
        <v>930</v>
      </c>
      <c r="K3" s="1404"/>
      <c r="L3" s="1868" t="s">
        <v>2238</v>
      </c>
      <c r="M3" s="1869">
        <f>SUMPRODUCT((区片价!B29:B48=I2)*(区片价!C3:F3=E2)*(区片价!C29:F48))</f>
        <v>0</v>
      </c>
      <c r="N3" s="1870">
        <f>SUMPRODUCT((因素修正幅度!B29:B48=I2)*(因素修正幅度!C3:F3=E2)*(因素修正幅度!C29:F48))</f>
        <v>0</v>
      </c>
      <c r="O3" s="1404"/>
      <c r="P3" s="1395"/>
      <c r="Q3" s="2172"/>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2"/>
      <c r="X3" s="2172"/>
      <c r="Y3" s="2172"/>
      <c r="Z3" s="2172"/>
      <c r="AA3" s="2172"/>
      <c r="AB3" s="2172"/>
      <c r="AC3" s="2173"/>
    </row>
    <row r="4" spans="1:39" ht="28.5">
      <c r="A4" s="1874" t="s">
        <v>2277</v>
      </c>
      <c r="B4" s="2413" t="e">
        <f>ROUND(B2*10000/F1,0)</f>
        <v>#DIV/0!</v>
      </c>
      <c r="C4" s="1877" t="s">
        <v>2252</v>
      </c>
      <c r="D4" s="1877" t="e">
        <f>ROUND(B2/(F1/666.67),0)</f>
        <v>#DIV/0!</v>
      </c>
      <c r="E4" s="1877" t="s">
        <v>2253</v>
      </c>
      <c r="F4" s="1875"/>
      <c r="G4" s="1875"/>
      <c r="H4" s="1875"/>
      <c r="I4" s="1875"/>
      <c r="J4" s="1876"/>
      <c r="K4" s="3144"/>
      <c r="L4" s="1868" t="s">
        <v>2239</v>
      </c>
      <c r="M4" s="1869">
        <f>SUMPRODUCT((区片价!B49:B75=I2)*(区片价!C3:F3=E2)*(区片价!C49:F75))</f>
        <v>0</v>
      </c>
      <c r="N4" s="1870">
        <f>SUMPRODUCT((因素修正幅度!B49:B75=I2)*(因素修正幅度!C3:F3=E2)*(因素修正幅度!C49:F75))</f>
        <v>0</v>
      </c>
      <c r="O4" s="3144"/>
      <c r="P4" s="1395"/>
      <c r="Q4" s="2172"/>
      <c r="R4" s="2888">
        <v>3</v>
      </c>
      <c r="S4" s="2888">
        <f>ROUND(IF(G3&gt;1,IF(R4&lt;7,SUMPRODUCT((B93:B98=R4)*(C92:N92=G2)*(C93:N98)),SUMIF(C92:N92,G2,C100:N100)),IF(R4&lt;7,SUMPRODUCT((B102:B107=R4)*(C92:N92=G2)*(C102:N107)),SUMIF(C92:N92,G2,C109:N109))),4)</f>
        <v>0</v>
      </c>
      <c r="T4" s="2888" t="e">
        <f t="shared" si="0"/>
        <v>#DIV/0!</v>
      </c>
      <c r="U4" s="2877"/>
      <c r="V4" s="2888" t="e">
        <f t="shared" si="1"/>
        <v>#DIV/0!</v>
      </c>
      <c r="W4" s="2172"/>
      <c r="X4" s="2172"/>
      <c r="Y4" s="2172"/>
      <c r="Z4" s="2172"/>
      <c r="AA4" s="2172"/>
      <c r="AB4" s="2172"/>
      <c r="AC4" s="2173"/>
    </row>
    <row r="5" spans="1:39" s="1415" customFormat="1" ht="15.75" thickBot="1">
      <c r="A5" s="1621" t="s">
        <v>1823</v>
      </c>
      <c r="B5" s="1409" t="s">
        <v>931</v>
      </c>
      <c r="C5" s="1038" t="e">
        <f>ROUND(IF(E2="商业",C6*C7+C16,(IF(E2="住宅",C6*C12+C16,C6+C16))),0)</f>
        <v>#DIV/0!</v>
      </c>
      <c r="D5" s="3068" t="e">
        <f>ROUND(C6+C16,0)</f>
        <v>#DIV/0!</v>
      </c>
      <c r="E5" s="3068"/>
      <c r="F5" s="1410"/>
      <c r="G5" s="1411"/>
      <c r="H5" s="1411"/>
      <c r="I5" s="1411"/>
      <c r="J5" s="1412"/>
      <c r="K5" s="3145"/>
      <c r="L5" s="1868" t="s">
        <v>2240</v>
      </c>
      <c r="M5" s="1869">
        <f>SUMPRODUCT((区片价!B76:B109=I2)*(区片价!C3:F3=E2)*(区片价!C76:F109))</f>
        <v>0</v>
      </c>
      <c r="N5" s="1870">
        <f>SUMPRODUCT((因素修正幅度!B76:B109=I2)*(因素修正幅度!C3:F3=E2)*(因素修正幅度!C76:F109))</f>
        <v>0</v>
      </c>
      <c r="O5" s="3145"/>
      <c r="P5" s="1578"/>
      <c r="Q5" s="2172"/>
      <c r="R5" s="2888">
        <v>4</v>
      </c>
      <c r="S5" s="2888">
        <f>ROUND(IF(G3&gt;1,IF(R5&lt;7,SUMPRODUCT((B93:B98=R5)*(C92:N92=G2)*(C93:N98)),SUMIF(C92:N92,G2,C100:N100)),IF(R5&lt;7,SUMPRODUCT((B102:B107=R5)*(C92:N92=G2)*(C102:N107)),SUMIF(C92:N92,G2,C109:N109))),4)</f>
        <v>0</v>
      </c>
      <c r="T5" s="2888" t="e">
        <f t="shared" si="0"/>
        <v>#DIV/0!</v>
      </c>
      <c r="U5" s="2877"/>
      <c r="V5" s="2888"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39">
        <f>SUMIF(L1:L12,基准地价!G2,M1:M12)</f>
        <v>0</v>
      </c>
      <c r="D6" s="1417" t="s">
        <v>1695</v>
      </c>
      <c r="E6" s="1418"/>
      <c r="F6" s="1418"/>
      <c r="G6" s="1419"/>
      <c r="H6" s="1419"/>
      <c r="I6" s="1419"/>
      <c r="J6" s="1420"/>
      <c r="K6" s="1450"/>
      <c r="L6" s="1868" t="s">
        <v>2241</v>
      </c>
      <c r="M6" s="1869">
        <f>SUMPRODUCT((区片价!B110:B157=I2)*(区片价!C3:F3=E2)*(区片价!C110:F157))</f>
        <v>0</v>
      </c>
      <c r="N6" s="1870">
        <f>SUMPRODUCT((因素修正幅度!B110:B157=I2)*(因素修正幅度!C3:F3=E2)*(因素修正幅度!C110:F157))</f>
        <v>0</v>
      </c>
      <c r="O6" s="1450"/>
      <c r="P6" s="1579"/>
      <c r="Q6" s="2172"/>
      <c r="R6" s="2888">
        <v>5</v>
      </c>
      <c r="S6" s="2888">
        <f>ROUND(IF(G3&gt;1,IF(R6&lt;7,SUMPRODUCT((B93:B98=R6)*(C92:N92=G2)*(C93:N98)),SUMIF(C92:N92,G2,C100:N100)),IF(R6&lt;7,SUMPRODUCT((B102:B107=R6)*(C92:N92=G2)*(C102:N107)),SUMIF(C92:N92,G2,C109:N109))),4)</f>
        <v>0</v>
      </c>
      <c r="T6" s="2888" t="e">
        <f t="shared" si="0"/>
        <v>#DIV/0!</v>
      </c>
      <c r="U6" s="2877"/>
      <c r="V6" s="2888" t="e">
        <f t="shared" si="1"/>
        <v>#DIV/0!</v>
      </c>
      <c r="W6" s="2172"/>
      <c r="X6" s="2172"/>
      <c r="Y6" s="2172"/>
      <c r="Z6" s="2172"/>
      <c r="AA6" s="2172"/>
      <c r="AB6" s="2172"/>
      <c r="AC6" s="2174"/>
      <c r="AD6" s="1413"/>
      <c r="AE6" s="1413"/>
      <c r="AF6" s="1413"/>
      <c r="AG6" s="1413"/>
      <c r="AH6" s="1413"/>
      <c r="AI6" s="1413"/>
      <c r="AJ6" s="1414"/>
    </row>
    <row r="7" spans="1:39" ht="24">
      <c r="A7" s="3824" t="str">
        <f>IF(E2="商业",IF(C8="不临58条商业街","",2),"")</f>
        <v/>
      </c>
      <c r="B7" s="1421" t="s">
        <v>932</v>
      </c>
      <c r="C7" s="1040" t="e">
        <f>IF(C8="不临58条商业街",1,ROUND(1+(1.6*E8+1.2*E9+0.8*E10+0.4*E11)*C9,4))</f>
        <v>#DIV/0!</v>
      </c>
      <c r="D7" s="1422" t="s">
        <v>933</v>
      </c>
      <c r="E7" s="1041"/>
      <c r="F7" s="1423"/>
      <c r="G7" s="1424"/>
      <c r="H7" s="1424"/>
      <c r="I7" s="1424"/>
      <c r="J7" s="1425"/>
      <c r="K7" s="1450"/>
      <c r="L7" s="1868" t="s">
        <v>2242</v>
      </c>
      <c r="M7" s="1869">
        <f>SUMPRODUCT((区片价!B158:B205=I2)*(区片价!C3:F3=E2)*(区片价!C158:F205))</f>
        <v>0</v>
      </c>
      <c r="N7" s="1870">
        <f>SUMPRODUCT((因素修正幅度!B158:B205=I2)*(因素修正幅度!C3:F3=E2)*(因素修正幅度!C158:F205))</f>
        <v>0</v>
      </c>
      <c r="O7" s="1450"/>
      <c r="P7" s="1579"/>
      <c r="Q7" s="2172"/>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2761</v>
      </c>
      <c r="X7" s="2878">
        <f>G2</f>
        <v>0</v>
      </c>
      <c r="Y7" s="2878" t="s">
        <v>2762</v>
      </c>
      <c r="Z7" s="2879">
        <f>G3</f>
        <v>4</v>
      </c>
      <c r="AA7" s="2175"/>
      <c r="AB7" s="2175"/>
      <c r="AC7" s="2176"/>
      <c r="AD7" s="2880"/>
      <c r="AE7" s="2880"/>
      <c r="AF7" s="2880"/>
      <c r="AG7" s="2880"/>
      <c r="AH7" s="2880"/>
      <c r="AI7" s="2880"/>
      <c r="AJ7" s="2881"/>
    </row>
    <row r="8" spans="1:39" ht="15">
      <c r="A8" s="3825"/>
      <c r="B8" s="1408" t="s">
        <v>934</v>
      </c>
      <c r="C8" s="1514"/>
      <c r="D8" s="1042" t="s">
        <v>935</v>
      </c>
      <c r="E8" s="1043" t="e">
        <f>ROUND(C11/E7,4)</f>
        <v>#DIV/0!</v>
      </c>
      <c r="F8" s="1426" t="s">
        <v>936</v>
      </c>
      <c r="G8" s="1427"/>
      <c r="H8" s="1427"/>
      <c r="I8" s="1427"/>
      <c r="J8" s="1428"/>
      <c r="K8" s="1450"/>
      <c r="L8" s="1868" t="s">
        <v>2243</v>
      </c>
      <c r="M8" s="1869">
        <f>SUMPRODUCT((区片价!B206:B244=I2)*(区片价!C3:F3=E2)*(区片价!C206:F244))</f>
        <v>0</v>
      </c>
      <c r="N8" s="1870">
        <f>SUMPRODUCT((因素修正幅度!B206:B244=I2)*(因素修正幅度!C3:F3=E2)*(因素修正幅度!C206:F244))</f>
        <v>0</v>
      </c>
      <c r="O8" s="1450"/>
      <c r="P8" s="1395"/>
      <c r="Q8" s="2172"/>
      <c r="R8" s="2888">
        <v>7</v>
      </c>
      <c r="S8" s="2877"/>
      <c r="T8" s="2888" t="e">
        <f t="shared" si="0"/>
        <v>#DIV/0!</v>
      </c>
      <c r="U8" s="2877"/>
      <c r="V8" s="2888" t="e">
        <f t="shared" si="1"/>
        <v>#DIV/0!</v>
      </c>
      <c r="W8" s="3835" t="s">
        <v>2779</v>
      </c>
      <c r="X8" s="3836"/>
      <c r="Y8" s="1832" t="s">
        <v>2763</v>
      </c>
      <c r="Z8" s="1832" t="s">
        <v>2764</v>
      </c>
      <c r="AA8" s="1832" t="s">
        <v>2765</v>
      </c>
      <c r="AB8" s="1832" t="s">
        <v>2766</v>
      </c>
      <c r="AC8" s="1832" t="s">
        <v>2767</v>
      </c>
      <c r="AD8" s="1832" t="s">
        <v>2768</v>
      </c>
      <c r="AE8" s="1832" t="s">
        <v>2769</v>
      </c>
      <c r="AF8" s="1832" t="s">
        <v>2770</v>
      </c>
      <c r="AG8" s="1832" t="s">
        <v>2771</v>
      </c>
      <c r="AH8" s="1832" t="s">
        <v>2772</v>
      </c>
      <c r="AI8" s="1832" t="s">
        <v>2773</v>
      </c>
      <c r="AJ8" s="1832" t="s">
        <v>2774</v>
      </c>
    </row>
    <row r="9" spans="1:39" ht="15">
      <c r="A9" s="3825"/>
      <c r="B9" s="1408" t="s">
        <v>937</v>
      </c>
      <c r="C9" s="1044">
        <f>SUMIF(修正!C59:C119,C8,修正!E59:E119)</f>
        <v>0</v>
      </c>
      <c r="D9" s="1045" t="s">
        <v>938</v>
      </c>
      <c r="E9" s="1045" t="e">
        <f>ROUND(C11/E7,4)</f>
        <v>#DIV/0!</v>
      </c>
      <c r="F9" s="1426" t="s">
        <v>939</v>
      </c>
      <c r="G9" s="1427"/>
      <c r="H9" s="1427"/>
      <c r="I9" s="1427"/>
      <c r="J9" s="1428"/>
      <c r="K9" s="1450"/>
      <c r="L9" s="1868" t="s">
        <v>2244</v>
      </c>
      <c r="M9" s="1869">
        <f>SUMPRODUCT((区片价!B245:B289=I2)*(区片价!C3:F3=E2)*(区片价!C245:F289))</f>
        <v>0</v>
      </c>
      <c r="N9" s="1870">
        <f>SUMPRODUCT((因素修正幅度!B245:B289=I2)*(因素修正幅度!C3:F3=E2)*(因素修正幅度!C245:F289))</f>
        <v>0</v>
      </c>
      <c r="O9" s="1450"/>
      <c r="P9" s="1395"/>
      <c r="Q9" s="2172"/>
      <c r="R9" s="2888">
        <v>8</v>
      </c>
      <c r="S9" s="2877"/>
      <c r="T9" s="2888" t="e">
        <f t="shared" si="0"/>
        <v>#DIV/0!</v>
      </c>
      <c r="U9" s="2877"/>
      <c r="V9" s="2888" t="e">
        <f t="shared" si="1"/>
        <v>#DIV/0!</v>
      </c>
      <c r="W9" s="3834" t="s">
        <v>2775</v>
      </c>
      <c r="X9" s="2882" t="s">
        <v>2776</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825"/>
      <c r="B10" s="1408" t="s">
        <v>940</v>
      </c>
      <c r="C10" s="1045">
        <f>SUMIF(修正!C59:C119,C8,修正!F59:F119)</f>
        <v>0</v>
      </c>
      <c r="D10" s="1045" t="s">
        <v>941</v>
      </c>
      <c r="E10" s="1045" t="e">
        <f>ROUND(C11/E7,4)</f>
        <v>#DIV/0!</v>
      </c>
      <c r="F10" s="1426" t="s">
        <v>942</v>
      </c>
      <c r="G10" s="1427"/>
      <c r="H10" s="1427"/>
      <c r="I10" s="1427"/>
      <c r="J10" s="1428"/>
      <c r="K10" s="1450"/>
      <c r="L10" s="1868" t="s">
        <v>2245</v>
      </c>
      <c r="M10" s="1869">
        <f>SUMPRODUCT((区片价!B290:B316=I2)*(区片价!C3:F3=E2)*(区片价!C290:F316))</f>
        <v>0</v>
      </c>
      <c r="N10" s="1870">
        <f>SUMPRODUCT((因素修正幅度!B290:B316=I2)*(因素修正幅度!C3:F3=E2)*(因素修正幅度!C290:F316))</f>
        <v>0</v>
      </c>
      <c r="O10" s="1450"/>
      <c r="P10" s="1395"/>
      <c r="Q10" s="2172"/>
      <c r="R10" s="2888">
        <v>9</v>
      </c>
      <c r="S10" s="2877"/>
      <c r="T10" s="2888" t="e">
        <f t="shared" si="0"/>
        <v>#DIV/0!</v>
      </c>
      <c r="U10" s="2877"/>
      <c r="V10" s="2888" t="e">
        <f t="shared" si="1"/>
        <v>#DIV/0!</v>
      </c>
      <c r="W10" s="383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825"/>
      <c r="B11" s="1429" t="s">
        <v>943</v>
      </c>
      <c r="C11" s="1046">
        <f>C10/4</f>
        <v>0</v>
      </c>
      <c r="D11" s="1046" t="s">
        <v>944</v>
      </c>
      <c r="E11" s="1046" t="e">
        <f>ROUND(C11/E7,4)</f>
        <v>#DIV/0!</v>
      </c>
      <c r="F11" s="1430" t="s">
        <v>945</v>
      </c>
      <c r="G11" s="1431"/>
      <c r="H11" s="1431"/>
      <c r="I11" s="1431"/>
      <c r="J11" s="1432"/>
      <c r="K11" s="1450"/>
      <c r="L11" s="1868" t="s">
        <v>2246</v>
      </c>
      <c r="M11" s="1869">
        <f>SUMPRODUCT((区片价!B317:B337=I2)*(区片价!C3:F3=E2)*(区片价!C317:F337))</f>
        <v>0</v>
      </c>
      <c r="N11" s="1870">
        <f>SUMPRODUCT((因素修正幅度!B317:B337=I2)*(因素修正幅度!C3:F3=E2)*(因素修正幅度!C317:F337))</f>
        <v>0</v>
      </c>
      <c r="O11" s="1450"/>
      <c r="P11" s="1395"/>
      <c r="Q11" s="2172"/>
      <c r="R11" s="2888">
        <v>10</v>
      </c>
      <c r="S11" s="2877"/>
      <c r="T11" s="2888" t="e">
        <f t="shared" si="0"/>
        <v>#DIV/0!</v>
      </c>
      <c r="U11" s="2877"/>
      <c r="V11" s="2888" t="e">
        <f t="shared" si="1"/>
        <v>#DIV/0!</v>
      </c>
      <c r="W11" s="3834" t="s">
        <v>2777</v>
      </c>
      <c r="X11" s="1045" t="s">
        <v>2762</v>
      </c>
      <c r="Y11" s="1636">
        <f>$G$3</f>
        <v>4</v>
      </c>
      <c r="Z11" s="1636">
        <f t="shared" ref="Z11:AJ11" si="3">$G$3</f>
        <v>4</v>
      </c>
      <c r="AA11" s="1636">
        <f t="shared" si="3"/>
        <v>4</v>
      </c>
      <c r="AB11" s="1636">
        <f t="shared" si="3"/>
        <v>4</v>
      </c>
      <c r="AC11" s="1636">
        <f t="shared" si="3"/>
        <v>4</v>
      </c>
      <c r="AD11" s="1636">
        <f t="shared" si="3"/>
        <v>4</v>
      </c>
      <c r="AE11" s="1636">
        <f t="shared" si="3"/>
        <v>4</v>
      </c>
      <c r="AF11" s="1636">
        <f t="shared" si="3"/>
        <v>4</v>
      </c>
      <c r="AG11" s="1636">
        <f t="shared" si="3"/>
        <v>4</v>
      </c>
      <c r="AH11" s="1636">
        <f t="shared" si="3"/>
        <v>4</v>
      </c>
      <c r="AI11" s="1636">
        <f t="shared" si="3"/>
        <v>4</v>
      </c>
      <c r="AJ11" s="1636">
        <f t="shared" si="3"/>
        <v>4</v>
      </c>
    </row>
    <row r="12" spans="1:39" ht="25.5" thickBot="1">
      <c r="A12" s="3824" t="s">
        <v>1871</v>
      </c>
      <c r="B12" s="1433" t="s">
        <v>946</v>
      </c>
      <c r="C12" s="1040">
        <f>ROUND(C15*D15*E15*F15*G15*H15*I15*J15,4)</f>
        <v>1</v>
      </c>
      <c r="D12" s="1434" t="s">
        <v>947</v>
      </c>
      <c r="E12" s="1435"/>
      <c r="F12" s="1435"/>
      <c r="G12" s="1436"/>
      <c r="H12" s="1436"/>
      <c r="I12" s="1436"/>
      <c r="J12" s="1437"/>
      <c r="K12" s="1450"/>
      <c r="L12" s="1871" t="s">
        <v>2247</v>
      </c>
      <c r="M12" s="1872">
        <f>SUMPRODUCT((区片价!B338:B344=I2)*(区片价!C3:F3=E2)*(区片价!C338:F344))</f>
        <v>0</v>
      </c>
      <c r="N12" s="1873">
        <f>SUMPRODUCT((因素修正幅度!B338:B344=I2)*(因素修正幅度!C3:F3=E2)*(因素修正幅度!C338:F344))</f>
        <v>0</v>
      </c>
      <c r="O12" s="1450"/>
      <c r="P12" s="1395"/>
      <c r="Q12" s="2172"/>
      <c r="R12" s="2888">
        <v>11</v>
      </c>
      <c r="S12" s="2877"/>
      <c r="T12" s="2888" t="e">
        <f t="shared" si="0"/>
        <v>#DIV/0!</v>
      </c>
      <c r="U12" s="2877"/>
      <c r="V12" s="2888" t="e">
        <f t="shared" si="1"/>
        <v>#DIV/0!</v>
      </c>
      <c r="W12" s="3834"/>
      <c r="X12" s="2885" t="s">
        <v>2778</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826"/>
      <c r="B13" s="1438" t="s">
        <v>1696</v>
      </c>
      <c r="C13" s="1439" t="s">
        <v>1697</v>
      </c>
      <c r="D13" s="1082" t="s">
        <v>1698</v>
      </c>
      <c r="E13" s="1082" t="s">
        <v>1699</v>
      </c>
      <c r="F13" s="1440" t="s">
        <v>948</v>
      </c>
      <c r="G13" s="1441" t="s">
        <v>1642</v>
      </c>
      <c r="H13" s="1442" t="s">
        <v>1642</v>
      </c>
      <c r="I13" s="1443" t="s">
        <v>1642</v>
      </c>
      <c r="J13" s="1444" t="s">
        <v>1642</v>
      </c>
      <c r="K13" s="3160"/>
      <c r="L13" s="3160"/>
      <c r="M13" s="3160"/>
      <c r="N13" s="3160"/>
      <c r="O13" s="3160"/>
      <c r="P13" s="1395"/>
      <c r="Q13" s="2172"/>
      <c r="R13" s="2888">
        <v>12</v>
      </c>
      <c r="S13" s="2877"/>
      <c r="T13" s="2888" t="e">
        <f t="shared" si="0"/>
        <v>#DIV/0!</v>
      </c>
      <c r="U13" s="2877"/>
      <c r="V13" s="2888" t="e">
        <f t="shared" si="1"/>
        <v>#DIV/0!</v>
      </c>
      <c r="W13" s="3834"/>
      <c r="X13" s="2885"/>
      <c r="Y13" s="2884">
        <f>(-0.163*(Y12^2)-0.59*Y12+7617)*(10^(-4))/Y11</f>
        <v>0.19042500000000001</v>
      </c>
      <c r="Z13" s="2884">
        <f t="shared" ref="Z13:AJ13" si="5">(-0.163*(Z12^2)-0.59*Z12+7617)*(10^(-4))/Z11</f>
        <v>0.19042500000000001</v>
      </c>
      <c r="AA13" s="2884">
        <f t="shared" si="5"/>
        <v>0.19042500000000001</v>
      </c>
      <c r="AB13" s="2884">
        <f t="shared" si="5"/>
        <v>0.19042500000000001</v>
      </c>
      <c r="AC13" s="2884">
        <f t="shared" si="5"/>
        <v>0.19042500000000001</v>
      </c>
      <c r="AD13" s="2884">
        <f t="shared" si="5"/>
        <v>0.19042500000000001</v>
      </c>
      <c r="AE13" s="2884">
        <f t="shared" si="5"/>
        <v>0.19042500000000001</v>
      </c>
      <c r="AF13" s="2884">
        <f t="shared" si="5"/>
        <v>0.19042500000000001</v>
      </c>
      <c r="AG13" s="2884">
        <f t="shared" si="5"/>
        <v>0.19042500000000001</v>
      </c>
      <c r="AH13" s="2884">
        <f t="shared" si="5"/>
        <v>0.19042500000000001</v>
      </c>
      <c r="AI13" s="2884">
        <f t="shared" si="5"/>
        <v>0.19042500000000001</v>
      </c>
      <c r="AJ13" s="2884">
        <f t="shared" si="5"/>
        <v>0.19042500000000001</v>
      </c>
    </row>
    <row r="14" spans="1:39" ht="12.75" customHeight="1">
      <c r="A14" s="3826"/>
      <c r="B14" s="1445"/>
      <c r="C14" s="1446"/>
      <c r="D14" s="1447"/>
      <c r="E14" s="1447"/>
      <c r="F14" s="1448"/>
      <c r="G14" s="1449" t="s">
        <v>949</v>
      </c>
      <c r="H14" s="1450"/>
      <c r="I14" s="1451"/>
      <c r="J14" s="1452"/>
      <c r="K14" s="3146"/>
      <c r="L14" s="3146"/>
      <c r="M14" s="3146"/>
      <c r="N14" s="3146"/>
      <c r="O14" s="3146"/>
      <c r="P14" s="1395"/>
      <c r="Q14" s="2172"/>
      <c r="R14" s="2888">
        <v>13</v>
      </c>
      <c r="S14" s="2877"/>
      <c r="T14" s="2888" t="e">
        <f t="shared" si="0"/>
        <v>#DIV/0!</v>
      </c>
      <c r="U14" s="2877"/>
      <c r="V14" s="2888" t="e">
        <f t="shared" si="1"/>
        <v>#DIV/0!</v>
      </c>
      <c r="W14" s="2172"/>
      <c r="X14" s="2172"/>
      <c r="Y14" s="2172"/>
      <c r="Z14" s="2172"/>
      <c r="AA14" s="2172"/>
      <c r="AB14" s="2172"/>
      <c r="AC14" s="2173"/>
    </row>
    <row r="15" spans="1:39" ht="13.5" customHeight="1" thickBot="1">
      <c r="A15" s="3827"/>
      <c r="B15" s="3165" t="s">
        <v>1700</v>
      </c>
      <c r="C15" s="1046">
        <f>IF(C14="有",1.1,1)</f>
        <v>1</v>
      </c>
      <c r="D15" s="1046">
        <f>IF(D14="有",1.1,1)</f>
        <v>1</v>
      </c>
      <c r="E15" s="1046">
        <f>IF(E14="有",1.1,1)</f>
        <v>1</v>
      </c>
      <c r="F15" s="1046">
        <f>IF(F14="500米范围内",1.2,IF(F14="500-1000米",1.1,1))</f>
        <v>1</v>
      </c>
      <c r="G15" s="3157">
        <v>1</v>
      </c>
      <c r="H15" s="3157">
        <v>1</v>
      </c>
      <c r="I15" s="3157">
        <v>1</v>
      </c>
      <c r="J15" s="3158">
        <v>1</v>
      </c>
      <c r="K15" s="3161"/>
      <c r="L15" s="3161"/>
      <c r="M15" s="3161"/>
      <c r="N15" s="3161"/>
      <c r="O15" s="3161"/>
      <c r="P15" s="1395"/>
      <c r="Q15" s="2172"/>
      <c r="R15" s="2888">
        <v>14</v>
      </c>
      <c r="S15" s="2877"/>
      <c r="T15" s="2888" t="e">
        <f t="shared" si="0"/>
        <v>#DIV/0!</v>
      </c>
      <c r="U15" s="2877"/>
      <c r="V15" s="2888" t="e">
        <f t="shared" si="1"/>
        <v>#DIV/0!</v>
      </c>
      <c r="W15" s="2172"/>
      <c r="X15" s="2172"/>
      <c r="Y15" s="2172"/>
      <c r="Z15" s="2172"/>
      <c r="AA15" s="2172"/>
      <c r="AB15" s="2172"/>
      <c r="AC15" s="2173"/>
    </row>
    <row r="16" spans="1:39" ht="24.6" customHeight="1">
      <c r="A16" s="3824" t="s">
        <v>1838</v>
      </c>
      <c r="B16" s="1421" t="s">
        <v>950</v>
      </c>
      <c r="C16" s="1049" t="e">
        <f>ROUND(IF(F17="与级别开发程度一致",0,(G17-E17)/C17),0)</f>
        <v>#DIV/0!</v>
      </c>
      <c r="D16" s="3842" t="s">
        <v>954</v>
      </c>
      <c r="E16" s="3843"/>
      <c r="F16" s="3842" t="s">
        <v>951</v>
      </c>
      <c r="G16" s="3843"/>
      <c r="H16" s="1453"/>
      <c r="I16" s="1453"/>
      <c r="J16" s="1453"/>
      <c r="K16" s="1453"/>
      <c r="L16" s="1453"/>
      <c r="M16" s="1453"/>
      <c r="N16" s="1453"/>
      <c r="O16" s="3170"/>
      <c r="P16" s="1395"/>
      <c r="Q16" s="2175"/>
      <c r="R16" s="2888">
        <v>15</v>
      </c>
      <c r="S16" s="2877"/>
      <c r="T16" s="2888" t="e">
        <f t="shared" si="0"/>
        <v>#DIV/0!</v>
      </c>
      <c r="U16" s="2877"/>
      <c r="V16" s="2888" t="e">
        <f t="shared" si="1"/>
        <v>#DIV/0!</v>
      </c>
      <c r="W16" s="2175"/>
      <c r="X16" s="2175"/>
      <c r="Y16" s="2175"/>
      <c r="Z16" s="2175"/>
      <c r="AA16" s="2175"/>
      <c r="AB16" s="2175"/>
      <c r="AC16" s="2176"/>
    </row>
    <row r="17" spans="1:40" ht="13.5" thickBot="1">
      <c r="A17" s="3828"/>
      <c r="B17" s="3171" t="s">
        <v>953</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0" t="s">
        <v>1829</v>
      </c>
      <c r="B18" s="3166" t="s">
        <v>955</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0">
        <f>ROUND(IF(H19="按公示增长率计算",SUMPRODUCT((地价!A3:A30=YEAR(G19)&amp;"-"&amp;ROUNDUP(MONTH(G19)/3,0))*(地价!X2:AB2=E2)*(地价!X3:AB30)),IF(H19="地价指数",M20/M19,(1+I19)^O19)),4)</f>
        <v>0</v>
      </c>
      <c r="D19" s="1460" t="s">
        <v>957</v>
      </c>
      <c r="E19" s="1051">
        <v>41640</v>
      </c>
      <c r="F19" s="1460" t="s">
        <v>958</v>
      </c>
      <c r="G19" s="1052">
        <f>'数据-取费表'!B2</f>
        <v>43965</v>
      </c>
      <c r="H19" s="1461" t="s">
        <v>2985</v>
      </c>
      <c r="I19" s="2736" t="str">
        <f>IF(H19="季度增幅（自定义）",SUMIF(N21:N24,E2,O21:O24),"")</f>
        <v/>
      </c>
      <c r="J19" s="1457"/>
      <c r="K19" s="3145"/>
      <c r="L19" s="2988" t="s">
        <v>2837</v>
      </c>
      <c r="M19" s="2989">
        <f>ROUND(SUMIF(地价!B2:F2,E2,地价!B30:F30),0)</f>
        <v>0</v>
      </c>
      <c r="N19" s="2738" t="s">
        <v>1676</v>
      </c>
      <c r="O19" s="2737">
        <f>ROUNDDOWN(DATEDIF(E19,G19,"M")/3,0)</f>
        <v>25</v>
      </c>
      <c r="P19" s="1580"/>
      <c r="Q19" s="2876"/>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0" t="s">
        <v>1836</v>
      </c>
      <c r="B20" s="2731" t="s">
        <v>971</v>
      </c>
      <c r="C20" s="2732" t="e">
        <f>ROUND(POWER(1+G20,J20-I20)*(POWER(1+G20,I20)-1)/(POWER(1+G20,J20)-1),4)</f>
        <v>#DIV/0!</v>
      </c>
      <c r="D20" s="2733" t="s">
        <v>972</v>
      </c>
      <c r="E20" s="3043">
        <f ca="1">存贷款利率!I4/100</f>
        <v>4.3499999999999997E-2</v>
      </c>
      <c r="F20" s="2733" t="s">
        <v>973</v>
      </c>
      <c r="G20" s="2734">
        <f>SUMIF(M26:P26,E2,M28:P28)</f>
        <v>0</v>
      </c>
      <c r="H20" s="2733" t="s">
        <v>974</v>
      </c>
      <c r="I20" s="2729" t="e">
        <f>SUMIF('数据-取费表'!C6:C15,E2,'数据-取费表'!F6:F15)/COUNTIF('数据-取费表'!C6:C15,E2)</f>
        <v>#DIV/0!</v>
      </c>
      <c r="J20" s="2735">
        <f>IF(E2="住宅",70,IF(E2="商业",40,50))</f>
        <v>50</v>
      </c>
      <c r="K20" s="3147"/>
      <c r="L20" s="2990" t="s">
        <v>2838</v>
      </c>
      <c r="M20" s="3154">
        <f>ROUND(SUMPRODUCT((地价!A4:A30=YEAR(G19)&amp;"-"&amp;ROUNDUP(MONTH(G19)/3,0))*(地价!B2:F2=E2)*(地价!B4:F30)),0)</f>
        <v>0</v>
      </c>
      <c r="N20" s="2741" t="s">
        <v>2641</v>
      </c>
      <c r="O20" s="2739" t="s">
        <v>2640</v>
      </c>
      <c r="P20" s="2740" t="s">
        <v>2646</v>
      </c>
      <c r="Q20" s="2876"/>
      <c r="R20" s="2178"/>
      <c r="S20" s="2178"/>
      <c r="T20" s="2178"/>
      <c r="U20" s="2178"/>
      <c r="V20" s="2178"/>
      <c r="W20" s="2178"/>
      <c r="X20" s="2178"/>
      <c r="Y20" s="1458"/>
      <c r="Z20" s="1458"/>
      <c r="AA20" s="1458"/>
      <c r="AB20" s="1458"/>
      <c r="AC20" s="1458"/>
      <c r="AD20" s="1458"/>
    </row>
    <row r="21" spans="1:40" s="1415" customFormat="1" ht="14.25">
      <c r="A21" s="1625" t="s">
        <v>1837</v>
      </c>
      <c r="B21" s="1466" t="s">
        <v>2757</v>
      </c>
      <c r="C21" s="1151">
        <f>IF(B21="容积率修正",IF(G3&lt;=10,D22,J22),C23)</f>
        <v>0</v>
      </c>
      <c r="D21" s="1467"/>
      <c r="E21" s="1467"/>
      <c r="F21" s="1467"/>
      <c r="G21" s="1467"/>
      <c r="H21" s="1467"/>
      <c r="I21" s="1467"/>
      <c r="J21" s="1468"/>
      <c r="K21" s="3145"/>
      <c r="L21" s="1467"/>
      <c r="M21" s="1467"/>
      <c r="N21" s="1464" t="s">
        <v>975</v>
      </c>
      <c r="O21" s="1527"/>
      <c r="P21" s="2728">
        <f>SUMPRODUCT((地价!A3:A30=YEAR(G19)&amp;"-"&amp;ROUNDUP(MONTH(G19)/3,0))*(地价!AD2:AH2=N21)*(地价!AD3:AH30))</f>
        <v>1.2800000000000001E-2</v>
      </c>
      <c r="Q21" s="2876"/>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3" t="s">
        <v>1702</v>
      </c>
      <c r="D22" s="1053" t="b">
        <f>IF(E22=G22,F22,IF(G3&lt;=10,ROUND(F22+(H22-F22)*(G3-E22)/(G22-E22),4),"——"))</f>
        <v>0</v>
      </c>
      <c r="E22" s="1036">
        <f>ROUNDDOWN(G3,1)</f>
        <v>4</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4</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977</v>
      </c>
      <c r="J22" s="1053" t="str">
        <f>IF(G3&gt;10,D113,"——")</f>
        <v>——</v>
      </c>
      <c r="K22" s="3148"/>
      <c r="L22" s="1467"/>
      <c r="M22" s="1467"/>
      <c r="N22" s="1464" t="s">
        <v>978</v>
      </c>
      <c r="O22" s="1527"/>
      <c r="P22" s="2728">
        <f>SUMPRODUCT((地价!A3:A30=YEAR(G19)&amp;"-"&amp;ROUNDUP(MONTH(G19)/3,0))*(地价!AD2:AH2=N22)*(地价!AD3:AH30))</f>
        <v>1.2800000000000001E-2</v>
      </c>
      <c r="Q22" s="2876"/>
      <c r="R22" s="2178"/>
      <c r="S22" s="2178"/>
      <c r="T22" s="2178"/>
      <c r="U22" s="2178"/>
      <c r="V22" s="2178"/>
      <c r="W22" s="2178"/>
      <c r="X22" s="2178"/>
      <c r="Y22" s="1458"/>
      <c r="Z22" s="1458"/>
      <c r="AA22" s="1458"/>
      <c r="AB22" s="1458"/>
      <c r="AC22" s="1458"/>
      <c r="AD22" s="1458"/>
    </row>
    <row r="23" spans="1:40" ht="15.75" thickBot="1">
      <c r="A23" s="1626" t="s">
        <v>1871</v>
      </c>
      <c r="B23" s="1469" t="s">
        <v>979</v>
      </c>
      <c r="C23" s="1054">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923</v>
      </c>
      <c r="O23" s="1527"/>
      <c r="P23" s="2728">
        <f>SUMPRODUCT((地价!A3:A30=YEAR(G19)&amp;"-"&amp;ROUNDUP(MONTH(G19)/3,0))*(地价!AD2:AH2=N23)*(地价!AD3:AH30))</f>
        <v>2.0299999999999999E-2</v>
      </c>
      <c r="Q23" s="2876"/>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5">
        <f>SUMIF(A44:A87,E2,B44:B87)</f>
        <v>0</v>
      </c>
      <c r="D24" s="1520"/>
      <c r="E24" s="1521"/>
      <c r="F24" s="1521"/>
      <c r="G24" s="1521"/>
      <c r="H24" s="1521"/>
      <c r="I24" s="1521"/>
      <c r="J24" s="1521"/>
      <c r="K24" s="3149"/>
      <c r="L24" s="1467"/>
      <c r="M24" s="1467"/>
      <c r="N24" s="1464" t="s">
        <v>981</v>
      </c>
      <c r="O24" s="3153"/>
      <c r="P24" s="2728">
        <f>SUMPRODUCT((地价!A3:A30=YEAR(G19)&amp;"-"&amp;ROUNDUP(MONTH(G19)/3,0))*(地价!AD2:AH2=N24)*(地价!AD3:AH30))</f>
        <v>1.3100000000000001E-2</v>
      </c>
      <c r="Q24" s="2876"/>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2644</v>
      </c>
      <c r="O25" s="3156"/>
      <c r="P25" s="2407">
        <f>SUMPRODUCT((地价!A3:A30=YEAR(G19)&amp;"-"&amp;ROUNDUP(MONTH(G19)/3,0))*(地价!AD2:AH2=N25)*(地价!AD3:AH30))</f>
        <v>1.8499999999999999E-2</v>
      </c>
      <c r="Q25" s="2876"/>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6" t="e">
        <f>E29+SUM(E33:E39)</f>
        <v>#DIV/0!</v>
      </c>
      <c r="D26" s="1475"/>
      <c r="E26" s="1450"/>
      <c r="F26" s="1476"/>
      <c r="G26" s="1450"/>
      <c r="H26" s="1450"/>
      <c r="I26" s="1450"/>
      <c r="J26" s="1477"/>
      <c r="K26" s="1450"/>
      <c r="L26" s="1581" t="s">
        <v>898</v>
      </c>
      <c r="M26" s="1422" t="s">
        <v>983</v>
      </c>
      <c r="N26" s="1422" t="s">
        <v>984</v>
      </c>
      <c r="O26" s="1422" t="s">
        <v>902</v>
      </c>
      <c r="P26" s="1462" t="s">
        <v>985</v>
      </c>
      <c r="Q26" s="2876"/>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7" t="e">
        <f>E30+SUM(I33:I39)</f>
        <v>#DIV/0!</v>
      </c>
      <c r="D27" s="1479"/>
      <c r="E27" s="1480"/>
      <c r="F27" s="1481"/>
      <c r="G27" s="1480"/>
      <c r="H27" s="1480"/>
      <c r="I27" s="1480"/>
      <c r="J27" s="1482"/>
      <c r="K27" s="1450"/>
      <c r="L27" s="1454" t="s">
        <v>987</v>
      </c>
      <c r="M27" s="1044">
        <v>0.25</v>
      </c>
      <c r="N27" s="1044">
        <v>0.2</v>
      </c>
      <c r="O27" s="1044">
        <v>0.15</v>
      </c>
      <c r="P27" s="1524">
        <v>0.1</v>
      </c>
      <c r="Q27" s="2178"/>
      <c r="R27" s="2876"/>
      <c r="S27" s="2876"/>
      <c r="T27" s="2876"/>
      <c r="U27" s="2876"/>
      <c r="V27" s="2876"/>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6"/>
      <c r="S28" s="2876"/>
      <c r="T28" s="2876"/>
      <c r="U28" s="2876"/>
      <c r="V28" s="2876"/>
      <c r="W28" s="2178"/>
      <c r="X28" s="2178"/>
      <c r="Y28" s="2178"/>
      <c r="Z28" s="2178"/>
      <c r="AA28" s="2178"/>
      <c r="AB28" s="2178"/>
      <c r="AC28" s="2178"/>
      <c r="AD28" s="1458"/>
      <c r="AE28" s="1458"/>
      <c r="AF28" s="1458"/>
      <c r="AG28" s="1458"/>
    </row>
    <row r="29" spans="1:40" ht="14.25">
      <c r="A29" s="1487"/>
      <c r="B29" s="1488" t="s">
        <v>993</v>
      </c>
      <c r="C29" s="1056" t="e">
        <f>ROUND(C5*C18*C19*C20*C21*C24,0)</f>
        <v>#DIV/0!</v>
      </c>
      <c r="D29" s="1489"/>
      <c r="E29" s="1832" t="e">
        <f>ROUND(C29*D29/10000,0)</f>
        <v>#DIV/0!</v>
      </c>
      <c r="F29" s="1490" t="s">
        <v>1701</v>
      </c>
      <c r="G29" s="1491"/>
      <c r="H29" s="1491"/>
      <c r="I29" s="1491"/>
      <c r="J29" s="1492"/>
      <c r="K29" s="3150"/>
      <c r="L29" s="3150"/>
      <c r="M29" s="3150"/>
      <c r="N29" s="3150"/>
      <c r="O29" s="3150"/>
      <c r="P29" s="1395"/>
      <c r="Q29" s="2178"/>
      <c r="R29" s="2178"/>
      <c r="S29" s="2178"/>
      <c r="T29" s="2178"/>
      <c r="U29" s="2178"/>
      <c r="V29" s="2178"/>
      <c r="W29" s="2876"/>
      <c r="X29" s="2876"/>
      <c r="Y29" s="2876"/>
      <c r="Z29" s="2876"/>
      <c r="AA29" s="2876"/>
      <c r="AB29" s="2178"/>
      <c r="AC29" s="2178"/>
      <c r="AD29" s="2178"/>
      <c r="AE29" s="2178"/>
      <c r="AF29" s="2178"/>
      <c r="AG29" s="2178"/>
      <c r="AH29" s="2178"/>
      <c r="AJ29" s="1397"/>
      <c r="AK29" s="1397"/>
      <c r="AL29" s="1397"/>
      <c r="AM29" s="1396"/>
      <c r="AN29" s="1396"/>
    </row>
    <row r="30" spans="1:40" ht="24.75" thickBot="1">
      <c r="A30" s="1493"/>
      <c r="B30" s="1494" t="s">
        <v>994</v>
      </c>
      <c r="C30" s="1048" t="e">
        <f>ROUND(IF(E2="工业",C29*M39,C29*M38),0)</f>
        <v>#DIV/0!</v>
      </c>
      <c r="D30" s="1495"/>
      <c r="E30" s="1832" t="e">
        <f>ROUND(C30*D30/10000,0)</f>
        <v>#DIV/0!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831" t="s">
        <v>2955</v>
      </c>
      <c r="B33" s="1509" t="s">
        <v>999</v>
      </c>
      <c r="C33" s="1056" t="e">
        <f>ROUND(D5*C19*C20*C24*F33,0)</f>
        <v>#DIV/0!</v>
      </c>
      <c r="D33" s="1522"/>
      <c r="E33" s="1045" t="e">
        <f>ROUND(C33*D33/10000,0)</f>
        <v>#DIV/0!</v>
      </c>
      <c r="F33" s="1045">
        <f>SUMIF(修正!A45:A56,G2,修正!B45:B56)</f>
        <v>0</v>
      </c>
      <c r="G33" s="1045" t="e">
        <f>ROUND(IF(E2="工业",C33*$M$39,C33*$M$38),0)</f>
        <v>#DIV/0!</v>
      </c>
      <c r="H33" s="1045">
        <f>D33</f>
        <v>0</v>
      </c>
      <c r="I33" s="1045"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832"/>
      <c r="B34" s="1439" t="s">
        <v>1000</v>
      </c>
      <c r="C34" s="1056" t="e">
        <f>ROUND(D5*C19*C20*C24*F34,0)</f>
        <v>#DIV/0!</v>
      </c>
      <c r="D34" s="1522"/>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832"/>
      <c r="B35" s="1439" t="s">
        <v>1001</v>
      </c>
      <c r="C35" s="1056" t="e">
        <f>ROUND(D5*C19*C20*C24*F35,0)</f>
        <v>#DIV/0!</v>
      </c>
      <c r="D35" s="1522"/>
      <c r="E35" s="1045" t="e">
        <f t="shared" si="6"/>
        <v>#DIV/0!</v>
      </c>
      <c r="F35" s="1045">
        <f>SUMIF(修正!A45:A56,G2,修正!D45:D56)</f>
        <v>0</v>
      </c>
      <c r="G35" s="1045" t="e">
        <f>ROUND(IF(E2="工业",C35*$M$39,C35*$M$38),0)</f>
        <v>#DIV/0!</v>
      </c>
      <c r="H35" s="1045">
        <f t="shared" si="7"/>
        <v>0</v>
      </c>
      <c r="I35" s="1045" t="e">
        <f t="shared" si="8"/>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833"/>
      <c r="B36" s="1439" t="s">
        <v>1002</v>
      </c>
      <c r="C36" s="1056" t="e">
        <f>ROUND(D5*C19*C20*C24*F36,0)</f>
        <v>#DIV/0!</v>
      </c>
      <c r="D36" s="1522"/>
      <c r="E36" s="1045" t="e">
        <f t="shared" si="6"/>
        <v>#DIV/0!</v>
      </c>
      <c r="F36" s="1045">
        <f>SUMIF(修正!A45:A56,G2,修正!E45:E56)</f>
        <v>0</v>
      </c>
      <c r="G36" s="1045" t="e">
        <f>ROUND(IF(E2="工业",C36*$M$39,C36*$M$38),0)</f>
        <v>#DIV/0!</v>
      </c>
      <c r="H36" s="1045">
        <f t="shared" si="7"/>
        <v>0</v>
      </c>
      <c r="I36" s="1045" t="e">
        <f t="shared" si="8"/>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5" t="e">
        <f>ROUND(D5*C19*C20*C24*F37,0)</f>
        <v>#DIV/0!</v>
      </c>
      <c r="D37" s="1522"/>
      <c r="E37" s="1045" t="e">
        <f t="shared" si="6"/>
        <v>#DIV/0!</v>
      </c>
      <c r="F37" s="1056">
        <f>SUMIF(修正!A45:A56,G2,修正!F45:F56)</f>
        <v>0</v>
      </c>
      <c r="G37" s="1045" t="e">
        <f>ROUND(IF(E2="工业",C37*$M$39,C37*$M$38),0)</f>
        <v>#DIV/0!</v>
      </c>
      <c r="H37" s="1045">
        <f t="shared" si="7"/>
        <v>0</v>
      </c>
      <c r="I37" s="1045" t="e">
        <f t="shared" si="8"/>
        <v>#DIV/0!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5" t="e">
        <f>ROUND(D5*C19*C41*C24*F38,0)</f>
        <v>#DIV/0!</v>
      </c>
      <c r="D38" s="1522"/>
      <c r="E38" s="1045" t="e">
        <f t="shared" si="6"/>
        <v>#DIV/0!</v>
      </c>
      <c r="F38" s="1056">
        <f>SUMIF(修正!A45:A56,G2,修正!G45:G56)</f>
        <v>0</v>
      </c>
      <c r="G38" s="1045" t="e">
        <f>ROUND(IF(E2="工业",C38*$M$39,C38*$M$38),0)</f>
        <v>#DIV/0!</v>
      </c>
      <c r="H38" s="1045">
        <f t="shared" si="7"/>
        <v>0</v>
      </c>
      <c r="I38" s="1045" t="e">
        <f t="shared" si="8"/>
        <v>#DIV/0!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8" t="e">
        <f>ROUND(D5*C19*C41*C24*F39,0)</f>
        <v>#DIV/0!</v>
      </c>
      <c r="D39" s="1523"/>
      <c r="E39" s="1048" t="e">
        <f t="shared" si="6"/>
        <v>#DIV/0!</v>
      </c>
      <c r="F39" s="1058">
        <f>SUMIF(修正!A45:A56,G2,修正!H45:H56)</f>
        <v>0</v>
      </c>
      <c r="G39" s="1048" t="e">
        <f>ROUND(IF(E2="工业",C39*$M$39,C39*$M$38),0)</f>
        <v>#DIV/0!</v>
      </c>
      <c r="H39" s="1048">
        <f t="shared" si="7"/>
        <v>0</v>
      </c>
      <c r="I39" s="1048" t="e">
        <f t="shared" si="8"/>
        <v>#DIV/0!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2979</v>
      </c>
      <c r="C41" s="838" t="e">
        <f>ROUND(POWER(1+E41,H41-G41)*(POWER(1+E41,G41)-1)/(POWER(1+E41,H41)-1),4)</f>
        <v>#DIV/0!</v>
      </c>
      <c r="D41" s="377" t="s">
        <v>2977</v>
      </c>
      <c r="E41" s="3142">
        <f>G20</f>
        <v>0</v>
      </c>
      <c r="F41" s="377" t="s">
        <v>2978</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79" t="s">
        <v>1006</v>
      </c>
      <c r="B44" s="2380"/>
      <c r="C44" s="2381"/>
      <c r="D44" s="2382"/>
      <c r="E44" s="2382"/>
      <c r="F44" s="2383"/>
      <c r="G44" s="1059"/>
      <c r="H44" s="2383"/>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4" t="s">
        <v>1007</v>
      </c>
      <c r="B45" s="2385">
        <f>1+E47</f>
        <v>1</v>
      </c>
      <c r="C45" s="2386"/>
      <c r="D45" s="2387"/>
      <c r="E45" s="2388"/>
      <c r="F45" s="2389"/>
      <c r="G45" s="2383"/>
      <c r="H45" s="2383"/>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1008</v>
      </c>
      <c r="B46" s="2368" t="s">
        <v>1009</v>
      </c>
      <c r="C46" s="2390" t="s">
        <v>1010</v>
      </c>
      <c r="D46" s="2391" t="s">
        <v>1011</v>
      </c>
      <c r="E46" s="2392" t="s">
        <v>1013</v>
      </c>
      <c r="F46" s="2393" t="s">
        <v>2248</v>
      </c>
      <c r="G46" s="2391" t="s">
        <v>1014</v>
      </c>
      <c r="H46" s="2374" t="s">
        <v>2415</v>
      </c>
      <c r="I46" s="2391" t="s">
        <v>1012</v>
      </c>
      <c r="J46" s="2394" t="s">
        <v>1015</v>
      </c>
      <c r="K46" s="2394" t="s">
        <v>1016</v>
      </c>
      <c r="L46" s="2394" t="s">
        <v>1017</v>
      </c>
      <c r="M46" s="2394" t="s">
        <v>1018</v>
      </c>
      <c r="N46" s="2394"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1020</v>
      </c>
      <c r="B47" s="2371" t="str">
        <f>估价对象房地状况!C16</f>
        <v>估价对象位于XX商圈，周边商业氛围成熟，人流量大，商业繁华度好</v>
      </c>
      <c r="C47" s="1047"/>
      <c r="D47" s="2377">
        <f t="shared" ref="D47:D55" si="9">SUMIF($J$46:$N$46,C47,J47:N47)</f>
        <v>0</v>
      </c>
      <c r="E47" s="2396">
        <f>ROUND(SUM(D47:D55),4)</f>
        <v>0</v>
      </c>
      <c r="F47" s="2397" t="str">
        <f>IF(E2="商业",SUMIF(L1:L12,G2,N1:N12),"——")</f>
        <v>——</v>
      </c>
      <c r="G47" s="2375"/>
      <c r="H47" s="2421" t="str">
        <f t="shared" ref="H47:H55" si="10">IFERROR(ROUNDDOWN(($F$47*I47/2),4),"——")</f>
        <v>——</v>
      </c>
      <c r="I47" s="2395">
        <v>0.33</v>
      </c>
      <c r="J47" s="2398">
        <f t="shared" ref="J47:J55" si="11">K47+$G47</f>
        <v>0</v>
      </c>
      <c r="K47" s="2398">
        <f t="shared" ref="K47:K55" si="12">$L47+$G47</f>
        <v>0</v>
      </c>
      <c r="L47" s="2398">
        <v>0</v>
      </c>
      <c r="M47" s="2398">
        <f t="shared" ref="M47:N55" si="13">L47-$G47</f>
        <v>0</v>
      </c>
      <c r="N47" s="2398">
        <f t="shared" si="13"/>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1021</v>
      </c>
      <c r="B48" s="2368" t="str">
        <f>估价对象房地状况!C18</f>
        <v>估价对象周边道路状况、公共交通通达情况、停车便捷程度，综合评价交通便捷度较好</v>
      </c>
      <c r="C48" s="1047"/>
      <c r="D48" s="2377">
        <f t="shared" si="9"/>
        <v>0</v>
      </c>
      <c r="E48" s="2399"/>
      <c r="F48" s="2397"/>
      <c r="G48" s="2375"/>
      <c r="H48" s="2421" t="str">
        <f t="shared" si="10"/>
        <v>——</v>
      </c>
      <c r="I48" s="2395">
        <v>0.25</v>
      </c>
      <c r="J48" s="2398">
        <f t="shared" si="11"/>
        <v>0</v>
      </c>
      <c r="K48" s="2398">
        <f t="shared" si="12"/>
        <v>0</v>
      </c>
      <c r="L48" s="2398">
        <v>0</v>
      </c>
      <c r="M48" s="2398">
        <f t="shared" si="13"/>
        <v>0</v>
      </c>
      <c r="N48" s="2398">
        <f t="shared" si="13"/>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1022</v>
      </c>
      <c r="B49" s="2368">
        <f>估价对象房地状况!C19</f>
        <v>0</v>
      </c>
      <c r="C49" s="1047"/>
      <c r="D49" s="2377">
        <f t="shared" si="9"/>
        <v>0</v>
      </c>
      <c r="E49" s="2399"/>
      <c r="F49" s="2397"/>
      <c r="G49" s="2375"/>
      <c r="H49" s="2421" t="str">
        <f t="shared" si="10"/>
        <v>——</v>
      </c>
      <c r="I49" s="2395">
        <v>0.05</v>
      </c>
      <c r="J49" s="2398">
        <f t="shared" si="11"/>
        <v>0</v>
      </c>
      <c r="K49" s="2398">
        <f t="shared" si="12"/>
        <v>0</v>
      </c>
      <c r="L49" s="2398">
        <v>0</v>
      </c>
      <c r="M49" s="2398">
        <f t="shared" si="13"/>
        <v>0</v>
      </c>
      <c r="N49" s="2398">
        <f t="shared" si="13"/>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1023</v>
      </c>
      <c r="B50" s="3045" t="s">
        <v>2932</v>
      </c>
      <c r="C50" s="1047"/>
      <c r="D50" s="2377">
        <f t="shared" si="9"/>
        <v>0</v>
      </c>
      <c r="E50" s="2399"/>
      <c r="F50" s="2397"/>
      <c r="G50" s="2375"/>
      <c r="H50" s="2421" t="str">
        <f t="shared" si="10"/>
        <v>——</v>
      </c>
      <c r="I50" s="2395">
        <v>0.05</v>
      </c>
      <c r="J50" s="2398">
        <f t="shared" si="11"/>
        <v>0</v>
      </c>
      <c r="K50" s="2398">
        <f t="shared" si="12"/>
        <v>0</v>
      </c>
      <c r="L50" s="2398">
        <v>0</v>
      </c>
      <c r="M50" s="2398">
        <f t="shared" si="13"/>
        <v>0</v>
      </c>
      <c r="N50" s="2398">
        <f t="shared" si="13"/>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1024</v>
      </c>
      <c r="B51" s="2368">
        <f>估价对象房地状况!C24</f>
        <v>0</v>
      </c>
      <c r="C51" s="1047"/>
      <c r="D51" s="2377">
        <f t="shared" si="9"/>
        <v>0</v>
      </c>
      <c r="E51" s="2399"/>
      <c r="F51" s="2397"/>
      <c r="G51" s="2375"/>
      <c r="H51" s="2421" t="str">
        <f t="shared" si="10"/>
        <v>——</v>
      </c>
      <c r="I51" s="2395">
        <v>0.08</v>
      </c>
      <c r="J51" s="2398">
        <f t="shared" si="11"/>
        <v>0</v>
      </c>
      <c r="K51" s="2398">
        <f t="shared" si="12"/>
        <v>0</v>
      </c>
      <c r="L51" s="2398">
        <v>0</v>
      </c>
      <c r="M51" s="2398">
        <f t="shared" si="13"/>
        <v>0</v>
      </c>
      <c r="N51" s="2398">
        <f t="shared" si="13"/>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1025</v>
      </c>
      <c r="B52" s="3044" t="s">
        <v>2931</v>
      </c>
      <c r="C52" s="1047"/>
      <c r="D52" s="2377">
        <f t="shared" si="9"/>
        <v>0</v>
      </c>
      <c r="E52" s="2399"/>
      <c r="F52" s="2397"/>
      <c r="G52" s="2375"/>
      <c r="H52" s="2421" t="str">
        <f t="shared" si="10"/>
        <v>——</v>
      </c>
      <c r="I52" s="2395">
        <v>0.03</v>
      </c>
      <c r="J52" s="2398">
        <f t="shared" si="11"/>
        <v>0</v>
      </c>
      <c r="K52" s="2398">
        <f t="shared" si="12"/>
        <v>0</v>
      </c>
      <c r="L52" s="2398">
        <v>0</v>
      </c>
      <c r="M52" s="2398">
        <f t="shared" si="13"/>
        <v>0</v>
      </c>
      <c r="N52" s="2398">
        <f t="shared" si="13"/>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0" t="s">
        <v>1026</v>
      </c>
      <c r="B53" s="2369" t="str">
        <f>估价对象房地状况!C21</f>
        <v>估价对象所在区域公共配套设施齐备情况</v>
      </c>
      <c r="C53" s="1047"/>
      <c r="D53" s="2377">
        <f t="shared" si="9"/>
        <v>0</v>
      </c>
      <c r="E53" s="2399"/>
      <c r="F53" s="2397"/>
      <c r="G53" s="2375"/>
      <c r="H53" s="2421" t="str">
        <f t="shared" si="10"/>
        <v>——</v>
      </c>
      <c r="I53" s="2395">
        <v>0.05</v>
      </c>
      <c r="J53" s="2398">
        <f t="shared" si="11"/>
        <v>0</v>
      </c>
      <c r="K53" s="2398">
        <f t="shared" si="12"/>
        <v>0</v>
      </c>
      <c r="L53" s="2398">
        <v>0</v>
      </c>
      <c r="M53" s="2398">
        <f t="shared" si="13"/>
        <v>0</v>
      </c>
      <c r="N53" s="2398">
        <f t="shared" si="13"/>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0" t="s">
        <v>1027</v>
      </c>
      <c r="B54" s="2368" t="str">
        <f>估价对象房地状况!C22</f>
        <v>估价对象所在区域基础设施水平</v>
      </c>
      <c r="C54" s="1047"/>
      <c r="D54" s="2377">
        <f t="shared" si="9"/>
        <v>0</v>
      </c>
      <c r="E54" s="2399"/>
      <c r="F54" s="2397"/>
      <c r="G54" s="2375"/>
      <c r="H54" s="2421" t="str">
        <f t="shared" si="10"/>
        <v>——</v>
      </c>
      <c r="I54" s="2395">
        <v>0.1</v>
      </c>
      <c r="J54" s="2398">
        <f t="shared" si="11"/>
        <v>0</v>
      </c>
      <c r="K54" s="2398">
        <f t="shared" si="12"/>
        <v>0</v>
      </c>
      <c r="L54" s="2398">
        <v>0</v>
      </c>
      <c r="M54" s="2398">
        <f t="shared" si="13"/>
        <v>0</v>
      </c>
      <c r="N54" s="2398">
        <f t="shared" si="13"/>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1" t="s">
        <v>1028</v>
      </c>
      <c r="B55" s="2372" t="str">
        <f>估价对象房地状况!C20</f>
        <v>区域自然环境：；人文环境；综合评价环境状况一般</v>
      </c>
      <c r="C55" s="1047"/>
      <c r="D55" s="2377">
        <f t="shared" si="9"/>
        <v>0</v>
      </c>
      <c r="E55" s="2403"/>
      <c r="F55" s="2397"/>
      <c r="G55" s="2375"/>
      <c r="H55" s="2421" t="str">
        <f t="shared" si="10"/>
        <v>——</v>
      </c>
      <c r="I55" s="2402">
        <v>0.06</v>
      </c>
      <c r="J55" s="2398">
        <f t="shared" si="11"/>
        <v>0</v>
      </c>
      <c r="K55" s="2398">
        <f t="shared" si="12"/>
        <v>0</v>
      </c>
      <c r="L55" s="2398">
        <v>0</v>
      </c>
      <c r="M55" s="2398">
        <f t="shared" si="13"/>
        <v>0</v>
      </c>
      <c r="N55" s="2398">
        <f t="shared" si="13"/>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4" t="s">
        <v>1029</v>
      </c>
      <c r="B56" s="2385">
        <f>1+E58</f>
        <v>1</v>
      </c>
      <c r="C56" s="2404"/>
      <c r="D56" s="2387"/>
      <c r="E56" s="2388"/>
      <c r="F56" s="2389"/>
      <c r="G56" s="2383"/>
      <c r="H56" s="2383"/>
      <c r="I56" s="2383"/>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1008</v>
      </c>
      <c r="B57" s="2368"/>
      <c r="C57" s="2390" t="s">
        <v>1010</v>
      </c>
      <c r="D57" s="2391" t="s">
        <v>1011</v>
      </c>
      <c r="E57" s="2392" t="s">
        <v>1013</v>
      </c>
      <c r="F57" s="2393" t="s">
        <v>2249</v>
      </c>
      <c r="G57" s="2391" t="s">
        <v>1014</v>
      </c>
      <c r="H57" s="2374" t="s">
        <v>2415</v>
      </c>
      <c r="I57" s="2391" t="s">
        <v>1012</v>
      </c>
      <c r="J57" s="2394" t="s">
        <v>1015</v>
      </c>
      <c r="K57" s="2394" t="s">
        <v>1016</v>
      </c>
      <c r="L57" s="2394" t="s">
        <v>1017</v>
      </c>
      <c r="M57" s="2394" t="s">
        <v>1018</v>
      </c>
      <c r="N57" s="2394"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1030</v>
      </c>
      <c r="B58" s="2371" t="str">
        <f>估价对象房地状况!C17</f>
        <v>估价对象位于XX商圈，周边办公楼项目较多，入驻率高，办公集聚程度较好</v>
      </c>
      <c r="C58" s="1047"/>
      <c r="D58" s="2377">
        <f t="shared" ref="D58:D66" si="14">SUMIF($J$57:$N$57,C58,J58:N58)</f>
        <v>0</v>
      </c>
      <c r="E58" s="2396">
        <f>ROUND(SUM(D58:D66),4)</f>
        <v>0</v>
      </c>
      <c r="F58" s="2397" t="str">
        <f>IF(E2="办公",SUMIF(L1:L12,G2,N1:N12),"——")</f>
        <v>——</v>
      </c>
      <c r="G58" s="2375"/>
      <c r="H58" s="2421" t="str">
        <f>IFERROR(ROUNDDOWN($F$58*I58/2,4),"——")</f>
        <v>——</v>
      </c>
      <c r="I58" s="2395">
        <v>0.24</v>
      </c>
      <c r="J58" s="2398">
        <f t="shared" ref="J58:J66" si="15">K58+$G58</f>
        <v>0</v>
      </c>
      <c r="K58" s="2398">
        <f t="shared" ref="K58:K66" si="16">$L58+$G58</f>
        <v>0</v>
      </c>
      <c r="L58" s="2398">
        <v>0</v>
      </c>
      <c r="M58" s="2398">
        <f t="shared" ref="M58:N66" si="17">L58-$G58</f>
        <v>0</v>
      </c>
      <c r="N58" s="2398">
        <f t="shared" si="17"/>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1021</v>
      </c>
      <c r="B59" s="2368" t="str">
        <f>估价对象房地状况!C18</f>
        <v>估价对象周边道路状况、公共交通通达情况、停车便捷程度，综合评价交通便捷度较好</v>
      </c>
      <c r="C59" s="1047"/>
      <c r="D59" s="2377">
        <f t="shared" si="14"/>
        <v>0</v>
      </c>
      <c r="E59" s="2399"/>
      <c r="F59" s="2397"/>
      <c r="G59" s="2375"/>
      <c r="H59" s="2376" t="str">
        <f t="shared" ref="H59:H66" si="18">IFERROR($F$58*I59/2,"——")</f>
        <v>——</v>
      </c>
      <c r="I59" s="2395">
        <v>0.3</v>
      </c>
      <c r="J59" s="2398">
        <f t="shared" si="15"/>
        <v>0</v>
      </c>
      <c r="K59" s="2398">
        <f t="shared" si="16"/>
        <v>0</v>
      </c>
      <c r="L59" s="2398">
        <v>0</v>
      </c>
      <c r="M59" s="2398">
        <f t="shared" si="17"/>
        <v>0</v>
      </c>
      <c r="N59" s="2398">
        <f t="shared" si="17"/>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1022</v>
      </c>
      <c r="B60" s="2368">
        <f>估价对象房地状况!C19</f>
        <v>0</v>
      </c>
      <c r="C60" s="1047"/>
      <c r="D60" s="2377">
        <f t="shared" si="14"/>
        <v>0</v>
      </c>
      <c r="E60" s="2399"/>
      <c r="F60" s="2397"/>
      <c r="G60" s="2375"/>
      <c r="H60" s="2376" t="str">
        <f t="shared" si="18"/>
        <v>——</v>
      </c>
      <c r="I60" s="2395">
        <v>0.08</v>
      </c>
      <c r="J60" s="2398">
        <f t="shared" si="15"/>
        <v>0</v>
      </c>
      <c r="K60" s="2398">
        <f t="shared" si="16"/>
        <v>0</v>
      </c>
      <c r="L60" s="2398">
        <v>0</v>
      </c>
      <c r="M60" s="2398">
        <f t="shared" si="17"/>
        <v>0</v>
      </c>
      <c r="N60" s="2398">
        <f t="shared" si="17"/>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1023</v>
      </c>
      <c r="B61" s="3045" t="s">
        <v>2933</v>
      </c>
      <c r="C61" s="1047"/>
      <c r="D61" s="2377">
        <f t="shared" si="14"/>
        <v>0</v>
      </c>
      <c r="E61" s="2399"/>
      <c r="F61" s="2397"/>
      <c r="G61" s="2375"/>
      <c r="H61" s="2376" t="str">
        <f t="shared" si="18"/>
        <v>——</v>
      </c>
      <c r="I61" s="2395">
        <v>0.04</v>
      </c>
      <c r="J61" s="2398">
        <f t="shared" si="15"/>
        <v>0</v>
      </c>
      <c r="K61" s="2398">
        <f t="shared" si="16"/>
        <v>0</v>
      </c>
      <c r="L61" s="2398">
        <v>0</v>
      </c>
      <c r="M61" s="2398">
        <f t="shared" si="17"/>
        <v>0</v>
      </c>
      <c r="N61" s="2398">
        <f t="shared" si="17"/>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1024</v>
      </c>
      <c r="B62" s="2368">
        <f>估价对象房地状况!C24</f>
        <v>0</v>
      </c>
      <c r="C62" s="1047"/>
      <c r="D62" s="2377">
        <f t="shared" si="14"/>
        <v>0</v>
      </c>
      <c r="E62" s="2399"/>
      <c r="F62" s="2397"/>
      <c r="G62" s="2375"/>
      <c r="H62" s="2376" t="str">
        <f t="shared" si="18"/>
        <v>——</v>
      </c>
      <c r="I62" s="2395">
        <v>0.05</v>
      </c>
      <c r="J62" s="2398">
        <f t="shared" si="15"/>
        <v>0</v>
      </c>
      <c r="K62" s="2398">
        <f t="shared" si="16"/>
        <v>0</v>
      </c>
      <c r="L62" s="2398">
        <v>0</v>
      </c>
      <c r="M62" s="2398">
        <f t="shared" si="17"/>
        <v>0</v>
      </c>
      <c r="N62" s="2398">
        <f t="shared" si="17"/>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1025</v>
      </c>
      <c r="B63" s="3044" t="s">
        <v>2931</v>
      </c>
      <c r="C63" s="1047"/>
      <c r="D63" s="2377">
        <f t="shared" si="14"/>
        <v>0</v>
      </c>
      <c r="E63" s="2399"/>
      <c r="F63" s="2397"/>
      <c r="G63" s="2375"/>
      <c r="H63" s="2376" t="str">
        <f t="shared" si="18"/>
        <v>——</v>
      </c>
      <c r="I63" s="2395">
        <v>0.05</v>
      </c>
      <c r="J63" s="2398">
        <f t="shared" si="15"/>
        <v>0</v>
      </c>
      <c r="K63" s="2398">
        <f t="shared" si="16"/>
        <v>0</v>
      </c>
      <c r="L63" s="2398">
        <v>0</v>
      </c>
      <c r="M63" s="2398">
        <f t="shared" si="17"/>
        <v>0</v>
      </c>
      <c r="N63" s="2398">
        <f t="shared" si="17"/>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1026</v>
      </c>
      <c r="B64" s="2369" t="str">
        <f>估价对象房地状况!C21</f>
        <v>估价对象所在区域公共配套设施齐备情况</v>
      </c>
      <c r="C64" s="1047"/>
      <c r="D64" s="2377">
        <f t="shared" si="14"/>
        <v>0</v>
      </c>
      <c r="E64" s="2399"/>
      <c r="F64" s="2397"/>
      <c r="G64" s="2375"/>
      <c r="H64" s="2376" t="str">
        <f t="shared" si="18"/>
        <v>——</v>
      </c>
      <c r="I64" s="2395">
        <v>0.06</v>
      </c>
      <c r="J64" s="2398">
        <f t="shared" si="15"/>
        <v>0</v>
      </c>
      <c r="K64" s="2398">
        <f t="shared" si="16"/>
        <v>0</v>
      </c>
      <c r="L64" s="2398">
        <v>0</v>
      </c>
      <c r="M64" s="2398">
        <f t="shared" si="17"/>
        <v>0</v>
      </c>
      <c r="N64" s="2398">
        <f t="shared" si="17"/>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1027</v>
      </c>
      <c r="B65" s="2369" t="str">
        <f>估价对象房地状况!C22</f>
        <v>估价对象所在区域基础设施水平</v>
      </c>
      <c r="C65" s="1047"/>
      <c r="D65" s="2377">
        <f t="shared" si="14"/>
        <v>0</v>
      </c>
      <c r="E65" s="2399"/>
      <c r="F65" s="2397"/>
      <c r="G65" s="2375"/>
      <c r="H65" s="2376" t="str">
        <f t="shared" si="18"/>
        <v>——</v>
      </c>
      <c r="I65" s="2395">
        <v>0.12</v>
      </c>
      <c r="J65" s="2398">
        <f t="shared" si="15"/>
        <v>0</v>
      </c>
      <c r="K65" s="2398">
        <f t="shared" si="16"/>
        <v>0</v>
      </c>
      <c r="L65" s="2398">
        <v>0</v>
      </c>
      <c r="M65" s="2398">
        <f t="shared" si="17"/>
        <v>0</v>
      </c>
      <c r="N65" s="2398">
        <f t="shared" si="17"/>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1" t="s">
        <v>1028</v>
      </c>
      <c r="B66" s="2373" t="str">
        <f>估价对象房地状况!C20</f>
        <v>区域自然环境：；人文环境；综合评价环境状况一般</v>
      </c>
      <c r="C66" s="1047"/>
      <c r="D66" s="2377">
        <f t="shared" si="14"/>
        <v>0</v>
      </c>
      <c r="E66" s="2403"/>
      <c r="F66" s="2397"/>
      <c r="G66" s="2375"/>
      <c r="H66" s="2376" t="str">
        <f t="shared" si="18"/>
        <v>——</v>
      </c>
      <c r="I66" s="2402">
        <v>0.06</v>
      </c>
      <c r="J66" s="2398">
        <f t="shared" si="15"/>
        <v>0</v>
      </c>
      <c r="K66" s="2398">
        <f t="shared" si="16"/>
        <v>0</v>
      </c>
      <c r="L66" s="2398">
        <v>0</v>
      </c>
      <c r="M66" s="2398">
        <f t="shared" si="17"/>
        <v>0</v>
      </c>
      <c r="N66" s="2398">
        <f t="shared" si="17"/>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4" t="s">
        <v>1031</v>
      </c>
      <c r="B67" s="2385">
        <f>1+E69</f>
        <v>1</v>
      </c>
      <c r="C67" s="2404"/>
      <c r="D67" s="2387"/>
      <c r="E67" s="2388"/>
      <c r="F67" s="2389"/>
      <c r="G67" s="2383"/>
      <c r="H67" s="2383"/>
      <c r="I67" s="2383"/>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1008</v>
      </c>
      <c r="B68" s="2368"/>
      <c r="C68" s="2390" t="s">
        <v>1010</v>
      </c>
      <c r="D68" s="2391" t="s">
        <v>1011</v>
      </c>
      <c r="E68" s="2392" t="s">
        <v>1013</v>
      </c>
      <c r="F68" s="2393" t="s">
        <v>2250</v>
      </c>
      <c r="G68" s="2391" t="s">
        <v>1014</v>
      </c>
      <c r="H68" s="2374" t="s">
        <v>2415</v>
      </c>
      <c r="I68" s="2391" t="s">
        <v>1012</v>
      </c>
      <c r="J68" s="2394" t="s">
        <v>1015</v>
      </c>
      <c r="K68" s="2394" t="s">
        <v>1016</v>
      </c>
      <c r="L68" s="2394" t="s">
        <v>1017</v>
      </c>
      <c r="M68" s="2394" t="s">
        <v>1018</v>
      </c>
      <c r="N68" s="2394"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1032</v>
      </c>
      <c r="B69" s="2371" t="str">
        <f>估价对象房地状况!C15</f>
        <v>估价对象周边居住用地比例、居住小区规模和社区发展完善程度，综合评价居住社区成熟度一般</v>
      </c>
      <c r="C69" s="1152"/>
      <c r="D69" s="2377">
        <f t="shared" ref="D69:D77" si="19">SUMIF($J$68:$N$68,C69,J69:N69)</f>
        <v>0</v>
      </c>
      <c r="E69" s="2396">
        <f>ROUND(SUM(D69:D77),4)</f>
        <v>0</v>
      </c>
      <c r="F69" s="2397" t="str">
        <f>IF(E2="住宅",SUMIF(L1:L12,G2,N1:N12),"——")</f>
        <v>——</v>
      </c>
      <c r="G69" s="2378"/>
      <c r="H69" s="2422" t="str">
        <f t="shared" ref="H69:H77" si="20">IFERROR(ROUNDDOWN($F$69*I69/2,4),"——")</f>
        <v>——</v>
      </c>
      <c r="I69" s="2395">
        <v>0.14000000000000001</v>
      </c>
      <c r="J69" s="2398">
        <f t="shared" ref="J69:J77" si="21">K69+$G69</f>
        <v>0</v>
      </c>
      <c r="K69" s="2398">
        <f t="shared" ref="K69:K77" si="22">$L69+$G69</f>
        <v>0</v>
      </c>
      <c r="L69" s="2398">
        <v>0</v>
      </c>
      <c r="M69" s="2398">
        <f t="shared" ref="M69:N77" si="23">L69-$G69</f>
        <v>0</v>
      </c>
      <c r="N69" s="2398">
        <f t="shared" si="23"/>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1033</v>
      </c>
      <c r="B70" s="2368" t="str">
        <f>估价对象房地状况!C18</f>
        <v>估价对象周边道路状况、公共交通通达情况、停车便捷程度，综合评价交通便捷度较好</v>
      </c>
      <c r="C70" s="1152"/>
      <c r="D70" s="2377">
        <f t="shared" si="19"/>
        <v>0</v>
      </c>
      <c r="E70" s="2405"/>
      <c r="F70" s="2406"/>
      <c r="G70" s="2378"/>
      <c r="H70" s="2422" t="str">
        <f t="shared" si="20"/>
        <v>——</v>
      </c>
      <c r="I70" s="2395">
        <v>0.3</v>
      </c>
      <c r="J70" s="2398">
        <f t="shared" si="21"/>
        <v>0</v>
      </c>
      <c r="K70" s="2398">
        <f t="shared" si="22"/>
        <v>0</v>
      </c>
      <c r="L70" s="2398">
        <v>0</v>
      </c>
      <c r="M70" s="2398">
        <f t="shared" si="23"/>
        <v>0</v>
      </c>
      <c r="N70" s="2398">
        <f t="shared" si="23"/>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1022</v>
      </c>
      <c r="B71" s="2368">
        <f>估价对象房地状况!C19</f>
        <v>0</v>
      </c>
      <c r="C71" s="1152"/>
      <c r="D71" s="2377">
        <f t="shared" si="19"/>
        <v>0</v>
      </c>
      <c r="E71" s="2405"/>
      <c r="F71" s="2406"/>
      <c r="G71" s="2378"/>
      <c r="H71" s="2422" t="str">
        <f t="shared" si="20"/>
        <v>——</v>
      </c>
      <c r="I71" s="2395">
        <v>0.08</v>
      </c>
      <c r="J71" s="2398">
        <f t="shared" si="21"/>
        <v>0</v>
      </c>
      <c r="K71" s="2398">
        <f t="shared" si="22"/>
        <v>0</v>
      </c>
      <c r="L71" s="2398">
        <v>0</v>
      </c>
      <c r="M71" s="2398">
        <f t="shared" si="23"/>
        <v>0</v>
      </c>
      <c r="N71" s="2398">
        <f t="shared" si="23"/>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1034</v>
      </c>
      <c r="B72" s="2368">
        <f>估价对象房地状况!C24</f>
        <v>0</v>
      </c>
      <c r="C72" s="1152"/>
      <c r="D72" s="2377">
        <f t="shared" si="19"/>
        <v>0</v>
      </c>
      <c r="E72" s="2405"/>
      <c r="F72" s="2406"/>
      <c r="G72" s="2378"/>
      <c r="H72" s="2422" t="str">
        <f t="shared" si="20"/>
        <v>——</v>
      </c>
      <c r="I72" s="2395">
        <v>0.04</v>
      </c>
      <c r="J72" s="2398">
        <f t="shared" si="21"/>
        <v>0</v>
      </c>
      <c r="K72" s="2398">
        <f t="shared" si="22"/>
        <v>0</v>
      </c>
      <c r="L72" s="2398">
        <v>0</v>
      </c>
      <c r="M72" s="2398">
        <f t="shared" si="23"/>
        <v>0</v>
      </c>
      <c r="N72" s="2398">
        <f t="shared" si="23"/>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1026</v>
      </c>
      <c r="B73" s="2369" t="str">
        <f>估价对象房地状况!C21</f>
        <v>估价对象所在区域公共配套设施齐备情况</v>
      </c>
      <c r="C73" s="1152"/>
      <c r="D73" s="2377">
        <f t="shared" si="19"/>
        <v>0</v>
      </c>
      <c r="E73" s="2405"/>
      <c r="F73" s="2406"/>
      <c r="G73" s="2378"/>
      <c r="H73" s="2422" t="str">
        <f t="shared" si="20"/>
        <v>——</v>
      </c>
      <c r="I73" s="2395">
        <v>0.08</v>
      </c>
      <c r="J73" s="2398">
        <f t="shared" si="21"/>
        <v>0</v>
      </c>
      <c r="K73" s="2398">
        <f t="shared" si="22"/>
        <v>0</v>
      </c>
      <c r="L73" s="2398">
        <v>0</v>
      </c>
      <c r="M73" s="2398">
        <f t="shared" si="23"/>
        <v>0</v>
      </c>
      <c r="N73" s="2398">
        <f t="shared" si="23"/>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1027</v>
      </c>
      <c r="B74" s="2369" t="str">
        <f>估价对象房地状况!C22</f>
        <v>估价对象所在区域基础设施水平</v>
      </c>
      <c r="C74" s="1152"/>
      <c r="D74" s="2377">
        <f t="shared" si="19"/>
        <v>0</v>
      </c>
      <c r="E74" s="2405"/>
      <c r="F74" s="2406"/>
      <c r="G74" s="2378"/>
      <c r="H74" s="2422" t="str">
        <f t="shared" si="20"/>
        <v>——</v>
      </c>
      <c r="I74" s="2395">
        <v>0.12</v>
      </c>
      <c r="J74" s="2398">
        <f t="shared" si="21"/>
        <v>0</v>
      </c>
      <c r="K74" s="2398">
        <f t="shared" si="22"/>
        <v>0</v>
      </c>
      <c r="L74" s="2398">
        <v>0</v>
      </c>
      <c r="M74" s="2398">
        <f t="shared" si="23"/>
        <v>0</v>
      </c>
      <c r="N74" s="2398">
        <f t="shared" si="23"/>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1025</v>
      </c>
      <c r="B75" s="3044" t="s">
        <v>2931</v>
      </c>
      <c r="C75" s="1152"/>
      <c r="D75" s="2377">
        <f t="shared" si="19"/>
        <v>0</v>
      </c>
      <c r="E75" s="2405"/>
      <c r="F75" s="2406"/>
      <c r="G75" s="2378"/>
      <c r="H75" s="2422" t="str">
        <f t="shared" si="20"/>
        <v>——</v>
      </c>
      <c r="I75" s="2395">
        <v>0.05</v>
      </c>
      <c r="J75" s="2398">
        <f t="shared" si="21"/>
        <v>0</v>
      </c>
      <c r="K75" s="2398">
        <f t="shared" si="22"/>
        <v>0</v>
      </c>
      <c r="L75" s="2398">
        <v>0</v>
      </c>
      <c r="M75" s="2398">
        <f t="shared" si="23"/>
        <v>0</v>
      </c>
      <c r="N75" s="2398">
        <f t="shared" si="23"/>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1028</v>
      </c>
      <c r="B76" s="2371" t="str">
        <f>估价对象房地状况!C20</f>
        <v>区域自然环境：；人文环境；综合评价环境状况一般</v>
      </c>
      <c r="C76" s="1152"/>
      <c r="D76" s="2377">
        <f t="shared" si="19"/>
        <v>0</v>
      </c>
      <c r="E76" s="2405"/>
      <c r="F76" s="2406"/>
      <c r="G76" s="2378"/>
      <c r="H76" s="2422" t="str">
        <f t="shared" si="20"/>
        <v>——</v>
      </c>
      <c r="I76" s="2395">
        <v>0.15</v>
      </c>
      <c r="J76" s="2398">
        <f t="shared" si="21"/>
        <v>0</v>
      </c>
      <c r="K76" s="2398">
        <f t="shared" si="22"/>
        <v>0</v>
      </c>
      <c r="L76" s="2398">
        <v>0</v>
      </c>
      <c r="M76" s="2398">
        <f t="shared" si="23"/>
        <v>0</v>
      </c>
      <c r="N76" s="2398">
        <f t="shared" si="23"/>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1" t="s">
        <v>1035</v>
      </c>
      <c r="B77" s="1833"/>
      <c r="C77" s="1152"/>
      <c r="D77" s="2377">
        <f t="shared" si="19"/>
        <v>0</v>
      </c>
      <c r="E77" s="2407"/>
      <c r="F77" s="2406"/>
      <c r="G77" s="2378"/>
      <c r="H77" s="2422" t="str">
        <f t="shared" si="20"/>
        <v>——</v>
      </c>
      <c r="I77" s="2402">
        <v>0.04</v>
      </c>
      <c r="J77" s="2398">
        <f t="shared" si="21"/>
        <v>0</v>
      </c>
      <c r="K77" s="2398">
        <f t="shared" si="22"/>
        <v>0</v>
      </c>
      <c r="L77" s="2398">
        <v>0</v>
      </c>
      <c r="M77" s="2398">
        <f t="shared" si="23"/>
        <v>0</v>
      </c>
      <c r="N77" s="2398">
        <f t="shared" si="23"/>
        <v>0</v>
      </c>
      <c r="AC77" s="1399"/>
      <c r="AD77" s="1398"/>
      <c r="AJ77" s="1397"/>
      <c r="AN77" s="1398"/>
    </row>
    <row r="78" spans="1:40" ht="15">
      <c r="A78" s="2384" t="s">
        <v>1036</v>
      </c>
      <c r="B78" s="2385">
        <f>1+E80</f>
        <v>1</v>
      </c>
      <c r="C78" s="2404"/>
      <c r="D78" s="2387"/>
      <c r="E78" s="2388"/>
      <c r="F78" s="2389"/>
      <c r="G78" s="2383"/>
      <c r="H78" s="2383"/>
      <c r="I78" s="2383"/>
      <c r="J78" s="1059"/>
      <c r="K78" s="1059"/>
      <c r="L78" s="1059"/>
      <c r="M78" s="1059"/>
      <c r="N78" s="1059"/>
      <c r="AC78" s="1399"/>
      <c r="AD78" s="1398"/>
      <c r="AJ78" s="1397"/>
      <c r="AN78" s="1398"/>
    </row>
    <row r="79" spans="1:40" ht="24">
      <c r="A79" s="1060" t="s">
        <v>1008</v>
      </c>
      <c r="B79" s="2368"/>
      <c r="C79" s="2390" t="s">
        <v>1010</v>
      </c>
      <c r="D79" s="2391" t="s">
        <v>1011</v>
      </c>
      <c r="E79" s="2392" t="s">
        <v>1013</v>
      </c>
      <c r="F79" s="2393" t="s">
        <v>2251</v>
      </c>
      <c r="G79" s="2391" t="s">
        <v>1014</v>
      </c>
      <c r="H79" s="2374" t="s">
        <v>2415</v>
      </c>
      <c r="I79" s="2391" t="s">
        <v>1012</v>
      </c>
      <c r="J79" s="2394" t="s">
        <v>1015</v>
      </c>
      <c r="K79" s="2394" t="s">
        <v>1016</v>
      </c>
      <c r="L79" s="2394" t="s">
        <v>1017</v>
      </c>
      <c r="M79" s="2394" t="s">
        <v>1018</v>
      </c>
      <c r="N79" s="2394" t="s">
        <v>1019</v>
      </c>
      <c r="AC79" s="1399"/>
      <c r="AD79" s="1398"/>
      <c r="AJ79" s="1397"/>
      <c r="AN79" s="1398"/>
    </row>
    <row r="80" spans="1:40" ht="36">
      <c r="A80" s="1060" t="s">
        <v>1037</v>
      </c>
      <c r="B80" s="2368" t="str">
        <f>估价对象房地状况!G15</f>
        <v>估价对象位于XX开发区，园区建设成熟度XX，产业集聚程度XX</v>
      </c>
      <c r="C80" s="1047"/>
      <c r="D80" s="2377">
        <f t="shared" ref="D80:D87" si="24">SUMIF($J$79:$N$79,C80,J80:N80)</f>
        <v>0</v>
      </c>
      <c r="E80" s="2396">
        <f>ROUND(SUM(D80:D87),4)</f>
        <v>0</v>
      </c>
      <c r="F80" s="2397" t="str">
        <f>IF(E2="工业",SUMIF(L1:L12,G2,N1:N12),"——")</f>
        <v>——</v>
      </c>
      <c r="G80" s="2375"/>
      <c r="H80" s="2421" t="str">
        <f t="shared" ref="H80:H87" si="25">IFERROR(ROUNDDOWN($F$80*I80/2,4),"——")</f>
        <v>——</v>
      </c>
      <c r="I80" s="2395">
        <v>0.26</v>
      </c>
      <c r="J80" s="2398">
        <f t="shared" ref="J80:J87" si="26">K80+$G80</f>
        <v>0</v>
      </c>
      <c r="K80" s="2398">
        <f t="shared" ref="K80:K87" si="27">$L80+$G80</f>
        <v>0</v>
      </c>
      <c r="L80" s="2398">
        <v>0</v>
      </c>
      <c r="M80" s="2398">
        <f t="shared" ref="M80:N87" si="28">L80-$G80</f>
        <v>0</v>
      </c>
      <c r="N80" s="2398">
        <f t="shared" si="28"/>
        <v>0</v>
      </c>
      <c r="AC80" s="1399"/>
      <c r="AD80" s="1398"/>
      <c r="AJ80" s="1397"/>
      <c r="AN80" s="1398"/>
    </row>
    <row r="81" spans="1:40" ht="48">
      <c r="A81" s="1060" t="s">
        <v>1033</v>
      </c>
      <c r="B81" s="2368" t="str">
        <f>估价对象房地状况!G16</f>
        <v>估价对象周边道路状况、公共交通通达情况、停车便捷程度，综合评价交通便捷度较好</v>
      </c>
      <c r="C81" s="1047"/>
      <c r="D81" s="2377">
        <f t="shared" si="24"/>
        <v>0</v>
      </c>
      <c r="E81" s="2405"/>
      <c r="F81" s="2406"/>
      <c r="G81" s="2375"/>
      <c r="H81" s="2421" t="str">
        <f t="shared" si="25"/>
        <v>——</v>
      </c>
      <c r="I81" s="2395">
        <v>0.33</v>
      </c>
      <c r="J81" s="2398">
        <f t="shared" si="26"/>
        <v>0</v>
      </c>
      <c r="K81" s="2398">
        <f t="shared" si="27"/>
        <v>0</v>
      </c>
      <c r="L81" s="2398">
        <v>0</v>
      </c>
      <c r="M81" s="2398">
        <f t="shared" si="28"/>
        <v>0</v>
      </c>
      <c r="N81" s="2398">
        <f t="shared" si="28"/>
        <v>0</v>
      </c>
      <c r="AC81" s="1399"/>
      <c r="AD81" s="1398"/>
      <c r="AJ81" s="1397"/>
      <c r="AN81" s="1398"/>
    </row>
    <row r="82" spans="1:40" ht="24">
      <c r="A82" s="1060" t="s">
        <v>1022</v>
      </c>
      <c r="B82" s="2368">
        <f>估价对象房地状况!G17</f>
        <v>0</v>
      </c>
      <c r="C82" s="1047"/>
      <c r="D82" s="2377">
        <f t="shared" si="24"/>
        <v>0</v>
      </c>
      <c r="E82" s="2405"/>
      <c r="F82" s="2406"/>
      <c r="G82" s="2375"/>
      <c r="H82" s="2421" t="str">
        <f t="shared" si="25"/>
        <v>——</v>
      </c>
      <c r="I82" s="2395">
        <v>0.05</v>
      </c>
      <c r="J82" s="2398">
        <f t="shared" si="26"/>
        <v>0</v>
      </c>
      <c r="K82" s="2398">
        <f t="shared" si="27"/>
        <v>0</v>
      </c>
      <c r="L82" s="2398">
        <v>0</v>
      </c>
      <c r="M82" s="2398">
        <f t="shared" si="28"/>
        <v>0</v>
      </c>
      <c r="N82" s="2398">
        <f t="shared" si="28"/>
        <v>0</v>
      </c>
      <c r="AC82" s="1399"/>
      <c r="AD82" s="1398"/>
      <c r="AJ82" s="1397"/>
      <c r="AN82" s="1398"/>
    </row>
    <row r="83" spans="1:40" ht="14.25">
      <c r="A83" s="1060" t="s">
        <v>1034</v>
      </c>
      <c r="B83" s="2368">
        <f>估价对象房地状况!G22</f>
        <v>0</v>
      </c>
      <c r="C83" s="1047"/>
      <c r="D83" s="2377">
        <f t="shared" si="24"/>
        <v>0</v>
      </c>
      <c r="E83" s="2405"/>
      <c r="F83" s="2406"/>
      <c r="G83" s="2375"/>
      <c r="H83" s="2421" t="str">
        <f t="shared" si="25"/>
        <v>——</v>
      </c>
      <c r="I83" s="2395">
        <v>0.04</v>
      </c>
      <c r="J83" s="2398">
        <f t="shared" si="26"/>
        <v>0</v>
      </c>
      <c r="K83" s="2398">
        <f t="shared" si="27"/>
        <v>0</v>
      </c>
      <c r="L83" s="2398">
        <v>0</v>
      </c>
      <c r="M83" s="2398">
        <f t="shared" si="28"/>
        <v>0</v>
      </c>
      <c r="N83" s="2398">
        <f t="shared" si="28"/>
        <v>0</v>
      </c>
      <c r="AC83" s="1399"/>
      <c r="AD83" s="1398"/>
      <c r="AJ83" s="1397"/>
      <c r="AN83" s="1398"/>
    </row>
    <row r="84" spans="1:40" ht="24">
      <c r="A84" s="1060" t="s">
        <v>1026</v>
      </c>
      <c r="B84" s="2369" t="str">
        <f>估价对象房地状况!G19</f>
        <v>估价对象所在区域公共配套设施齐备情况</v>
      </c>
      <c r="C84" s="1047"/>
      <c r="D84" s="2377">
        <f t="shared" si="24"/>
        <v>0</v>
      </c>
      <c r="E84" s="2405"/>
      <c r="F84" s="2406"/>
      <c r="G84" s="2375"/>
      <c r="H84" s="2421" t="str">
        <f t="shared" si="25"/>
        <v>——</v>
      </c>
      <c r="I84" s="2395">
        <v>0.06</v>
      </c>
      <c r="J84" s="2398">
        <f t="shared" si="26"/>
        <v>0</v>
      </c>
      <c r="K84" s="2398">
        <f t="shared" si="27"/>
        <v>0</v>
      </c>
      <c r="L84" s="2398">
        <v>0</v>
      </c>
      <c r="M84" s="2398">
        <f t="shared" si="28"/>
        <v>0</v>
      </c>
      <c r="N84" s="2398">
        <f t="shared" si="28"/>
        <v>0</v>
      </c>
      <c r="AC84" s="1399"/>
      <c r="AD84" s="1398"/>
      <c r="AJ84" s="1397"/>
      <c r="AN84" s="1398"/>
    </row>
    <row r="85" spans="1:40" ht="24">
      <c r="A85" s="1060" t="s">
        <v>1027</v>
      </c>
      <c r="B85" s="2369" t="str">
        <f>估价对象房地状况!G20</f>
        <v>估价对象所在区域基础设施水平</v>
      </c>
      <c r="C85" s="1047"/>
      <c r="D85" s="2377">
        <f t="shared" si="24"/>
        <v>0</v>
      </c>
      <c r="E85" s="2405"/>
      <c r="F85" s="2406"/>
      <c r="G85" s="2375"/>
      <c r="H85" s="2421" t="str">
        <f t="shared" si="25"/>
        <v>——</v>
      </c>
      <c r="I85" s="2395">
        <v>0.15</v>
      </c>
      <c r="J85" s="2398">
        <f t="shared" si="26"/>
        <v>0</v>
      </c>
      <c r="K85" s="2398">
        <f t="shared" si="27"/>
        <v>0</v>
      </c>
      <c r="L85" s="2398">
        <v>0</v>
      </c>
      <c r="M85" s="2398">
        <f t="shared" si="28"/>
        <v>0</v>
      </c>
      <c r="N85" s="2398">
        <f t="shared" si="28"/>
        <v>0</v>
      </c>
      <c r="AC85" s="1399"/>
      <c r="AD85" s="1398"/>
      <c r="AJ85" s="1397"/>
      <c r="AN85" s="1398"/>
    </row>
    <row r="86" spans="1:40" ht="24">
      <c r="A86" s="1060" t="s">
        <v>1025</v>
      </c>
      <c r="B86" s="3044" t="s">
        <v>2931</v>
      </c>
      <c r="C86" s="1047"/>
      <c r="D86" s="2377">
        <f t="shared" si="24"/>
        <v>0</v>
      </c>
      <c r="E86" s="2405"/>
      <c r="F86" s="2406"/>
      <c r="G86" s="2375"/>
      <c r="H86" s="2421" t="str">
        <f t="shared" si="25"/>
        <v>——</v>
      </c>
      <c r="I86" s="2395">
        <v>0.05</v>
      </c>
      <c r="J86" s="2398">
        <f t="shared" si="26"/>
        <v>0</v>
      </c>
      <c r="K86" s="2398">
        <f t="shared" si="27"/>
        <v>0</v>
      </c>
      <c r="L86" s="2398">
        <v>0</v>
      </c>
      <c r="M86" s="2398">
        <f t="shared" si="28"/>
        <v>0</v>
      </c>
      <c r="N86" s="2398">
        <f t="shared" si="28"/>
        <v>0</v>
      </c>
      <c r="AC86" s="1399"/>
      <c r="AD86" s="1398"/>
      <c r="AJ86" s="1397"/>
      <c r="AN86" s="1398"/>
    </row>
    <row r="87" spans="1:40" ht="36.75" thickBot="1">
      <c r="A87" s="2401" t="s">
        <v>1038</v>
      </c>
      <c r="B87" s="2370" t="str">
        <f>估价对象房地状况!G18</f>
        <v>该园区内是否有污染型企业，绿化情况，卫生条件，整体环境状况判断</v>
      </c>
      <c r="C87" s="1047"/>
      <c r="D87" s="2377">
        <f t="shared" si="24"/>
        <v>0</v>
      </c>
      <c r="E87" s="2407"/>
      <c r="F87" s="2406"/>
      <c r="G87" s="2375"/>
      <c r="H87" s="2421" t="str">
        <f t="shared" si="25"/>
        <v>——</v>
      </c>
      <c r="I87" s="2402">
        <v>0.06</v>
      </c>
      <c r="J87" s="2398">
        <f t="shared" si="26"/>
        <v>0</v>
      </c>
      <c r="K87" s="2398">
        <f t="shared" si="27"/>
        <v>0</v>
      </c>
      <c r="L87" s="2398">
        <v>0</v>
      </c>
      <c r="M87" s="2398">
        <f t="shared" si="28"/>
        <v>0</v>
      </c>
      <c r="N87" s="2398">
        <f t="shared" si="28"/>
        <v>0</v>
      </c>
      <c r="AC87" s="1399"/>
      <c r="AD87" s="1398"/>
      <c r="AJ87" s="1397"/>
      <c r="AN87" s="1398"/>
    </row>
    <row r="90" spans="1:40">
      <c r="A90" s="3829" t="s">
        <v>1633</v>
      </c>
      <c r="B90" s="3829"/>
      <c r="C90" s="3829"/>
      <c r="D90" s="3829"/>
      <c r="E90" s="3829"/>
      <c r="F90" s="3829"/>
      <c r="G90" s="3829"/>
      <c r="H90" s="3829"/>
      <c r="I90" s="3829"/>
      <c r="J90" s="3829"/>
      <c r="K90" s="2410"/>
      <c r="L90" s="2410"/>
      <c r="M90" s="2410"/>
      <c r="N90" s="2410"/>
    </row>
    <row r="91" spans="1:40">
      <c r="A91" s="3830" t="s">
        <v>1443</v>
      </c>
      <c r="B91" s="3830" t="s">
        <v>1634</v>
      </c>
      <c r="C91" s="1133" t="s">
        <v>1635</v>
      </c>
      <c r="D91" s="1134"/>
      <c r="E91" s="1134"/>
      <c r="F91" s="1134"/>
      <c r="G91" s="1134"/>
      <c r="H91" s="1134"/>
      <c r="I91" s="1134"/>
      <c r="J91" s="1135"/>
      <c r="K91" s="1127"/>
      <c r="L91" s="1127"/>
      <c r="M91" s="1127"/>
      <c r="N91" s="1127"/>
    </row>
    <row r="92" spans="1:40">
      <c r="A92" s="3830"/>
      <c r="B92" s="3830"/>
      <c r="C92" s="2409" t="s">
        <v>907</v>
      </c>
      <c r="D92" s="2409" t="s">
        <v>885</v>
      </c>
      <c r="E92" s="2409" t="s">
        <v>886</v>
      </c>
      <c r="F92" s="2409" t="s">
        <v>910</v>
      </c>
      <c r="G92" s="2409" t="s">
        <v>888</v>
      </c>
      <c r="H92" s="2409" t="s">
        <v>889</v>
      </c>
      <c r="I92" s="2409" t="s">
        <v>890</v>
      </c>
      <c r="J92" s="2409" t="s">
        <v>891</v>
      </c>
      <c r="K92" s="2409" t="s">
        <v>915</v>
      </c>
      <c r="L92" s="2409" t="s">
        <v>893</v>
      </c>
      <c r="M92" s="2409" t="s">
        <v>894</v>
      </c>
      <c r="N92" s="2409" t="s">
        <v>918</v>
      </c>
    </row>
    <row r="93" spans="1:40">
      <c r="A93" s="3837" t="s">
        <v>2760</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3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3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3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3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3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38"/>
      <c r="B99" s="1136" t="s">
        <v>1636</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83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837" t="s">
        <v>1637</v>
      </c>
      <c r="B101" s="1140" t="s">
        <v>906</v>
      </c>
      <c r="C101" s="1141">
        <f>$G$3</f>
        <v>4</v>
      </c>
      <c r="D101" s="1141">
        <f t="shared" ref="D101:N101" si="30">$G$3</f>
        <v>4</v>
      </c>
      <c r="E101" s="1141">
        <f t="shared" si="30"/>
        <v>4</v>
      </c>
      <c r="F101" s="1141">
        <f t="shared" si="30"/>
        <v>4</v>
      </c>
      <c r="G101" s="1141">
        <f t="shared" si="30"/>
        <v>4</v>
      </c>
      <c r="H101" s="1141">
        <f t="shared" si="30"/>
        <v>4</v>
      </c>
      <c r="I101" s="1141">
        <f t="shared" si="30"/>
        <v>4</v>
      </c>
      <c r="J101" s="1141">
        <f t="shared" si="30"/>
        <v>4</v>
      </c>
      <c r="K101" s="1141">
        <f t="shared" si="30"/>
        <v>4</v>
      </c>
      <c r="L101" s="1141">
        <f t="shared" si="30"/>
        <v>4</v>
      </c>
      <c r="M101" s="1141">
        <f t="shared" si="30"/>
        <v>4</v>
      </c>
      <c r="N101" s="1141">
        <f t="shared" si="30"/>
        <v>4</v>
      </c>
    </row>
    <row r="102" spans="1:14">
      <c r="A102" s="3838"/>
      <c r="B102" s="1136">
        <v>1</v>
      </c>
      <c r="C102" s="1137">
        <f>1.9362/C101</f>
        <v>0.48404999999999998</v>
      </c>
      <c r="D102" s="1137">
        <f>1.9362/D101</f>
        <v>0.48404999999999998</v>
      </c>
      <c r="E102" s="1137">
        <f>1.8629/E101</f>
        <v>0.465725</v>
      </c>
      <c r="F102" s="1137">
        <f>1.8629/F101</f>
        <v>0.465725</v>
      </c>
      <c r="G102" s="1137">
        <f>1.8629/G101</f>
        <v>0.465725</v>
      </c>
      <c r="H102" s="1137">
        <f>1.8629/H101</f>
        <v>0.465725</v>
      </c>
      <c r="I102" s="1137">
        <f>1.8629/I101</f>
        <v>0.465725</v>
      </c>
      <c r="J102" s="1137">
        <f>1.942/J101</f>
        <v>0.48549999999999999</v>
      </c>
      <c r="K102" s="1137">
        <f>1.942/K101</f>
        <v>0.48549999999999999</v>
      </c>
      <c r="L102" s="1137">
        <f>1.942/L101</f>
        <v>0.48549999999999999</v>
      </c>
      <c r="M102" s="1137">
        <f>1.942/M101</f>
        <v>0.48549999999999999</v>
      </c>
      <c r="N102" s="1137">
        <f>1.942/N101</f>
        <v>0.48549999999999999</v>
      </c>
    </row>
    <row r="103" spans="1:14">
      <c r="A103" s="3838"/>
      <c r="B103" s="1136">
        <v>2</v>
      </c>
      <c r="C103" s="1137">
        <f>1.4198/C101</f>
        <v>0.35494999999999999</v>
      </c>
      <c r="D103" s="1137">
        <f>1.4198/D101</f>
        <v>0.35494999999999999</v>
      </c>
      <c r="E103" s="1137">
        <f>1.3372/E101</f>
        <v>0.33429999999999999</v>
      </c>
      <c r="F103" s="1137">
        <f>1.3372/F101</f>
        <v>0.33429999999999999</v>
      </c>
      <c r="G103" s="1137">
        <f>1.3372/G101</f>
        <v>0.33429999999999999</v>
      </c>
      <c r="H103" s="1137">
        <f>1.3372/H101</f>
        <v>0.33429999999999999</v>
      </c>
      <c r="I103" s="1137">
        <f>1.3372/I101</f>
        <v>0.33429999999999999</v>
      </c>
      <c r="J103" s="1137">
        <f>1.2799/J101</f>
        <v>0.31997500000000001</v>
      </c>
      <c r="K103" s="1137">
        <f>1.2799/K101</f>
        <v>0.31997500000000001</v>
      </c>
      <c r="L103" s="1137">
        <f>1.2799/L101</f>
        <v>0.31997500000000001</v>
      </c>
      <c r="M103" s="1137">
        <f>1.2799/M101</f>
        <v>0.31997500000000001</v>
      </c>
      <c r="N103" s="1137">
        <f>1.2799/N101</f>
        <v>0.31997500000000001</v>
      </c>
    </row>
    <row r="104" spans="1:14">
      <c r="A104" s="3838"/>
      <c r="B104" s="1136">
        <v>3</v>
      </c>
      <c r="C104" s="1137">
        <f>1.1594/C101</f>
        <v>0.28985</v>
      </c>
      <c r="D104" s="1137">
        <f>1.1594/D101</f>
        <v>0.28985</v>
      </c>
      <c r="E104" s="1137">
        <f>1.0788/E101</f>
        <v>0.2697</v>
      </c>
      <c r="F104" s="1137">
        <f>1.0788/F101</f>
        <v>0.2697</v>
      </c>
      <c r="G104" s="1137">
        <f>1.0788/G101</f>
        <v>0.2697</v>
      </c>
      <c r="H104" s="1137">
        <f>1.0788/H101</f>
        <v>0.2697</v>
      </c>
      <c r="I104" s="1137">
        <f>1.0788/I101</f>
        <v>0.2697</v>
      </c>
      <c r="J104" s="1137">
        <f>1.0072/J101</f>
        <v>0.25180000000000002</v>
      </c>
      <c r="K104" s="1137">
        <f>1.0072/K101</f>
        <v>0.25180000000000002</v>
      </c>
      <c r="L104" s="1137">
        <f>1.0072/L101</f>
        <v>0.25180000000000002</v>
      </c>
      <c r="M104" s="1137">
        <f>1.0072/M101</f>
        <v>0.25180000000000002</v>
      </c>
      <c r="N104" s="1137">
        <f>1.0072/N101</f>
        <v>0.25180000000000002</v>
      </c>
    </row>
    <row r="105" spans="1:14">
      <c r="A105" s="3838"/>
      <c r="B105" s="1136">
        <v>4</v>
      </c>
      <c r="C105" s="1137">
        <f>0.9622/C101</f>
        <v>0.24055000000000001</v>
      </c>
      <c r="D105" s="1137">
        <f>0.9622/D101</f>
        <v>0.24055000000000001</v>
      </c>
      <c r="E105" s="1137">
        <f>0.8656/E101</f>
        <v>0.21640000000000001</v>
      </c>
      <c r="F105" s="1137">
        <f>0.8656/F101</f>
        <v>0.21640000000000001</v>
      </c>
      <c r="G105" s="1137">
        <f>0.8656/G101</f>
        <v>0.21640000000000001</v>
      </c>
      <c r="H105" s="1137">
        <f>0.8656/H101</f>
        <v>0.21640000000000001</v>
      </c>
      <c r="I105" s="1137">
        <f>0.8656/I101</f>
        <v>0.21640000000000001</v>
      </c>
      <c r="J105" s="1137">
        <f>0.7525/J101</f>
        <v>0.18812499999999999</v>
      </c>
      <c r="K105" s="1137">
        <f>0.7525/K101</f>
        <v>0.18812499999999999</v>
      </c>
      <c r="L105" s="1137">
        <f>0.7525/L101</f>
        <v>0.18812499999999999</v>
      </c>
      <c r="M105" s="1137">
        <f>0.7525/M101</f>
        <v>0.18812499999999999</v>
      </c>
      <c r="N105" s="1137">
        <f>0.7525/N101</f>
        <v>0.18812499999999999</v>
      </c>
    </row>
    <row r="106" spans="1:14">
      <c r="A106" s="3838"/>
      <c r="B106" s="1136">
        <v>5</v>
      </c>
      <c r="C106" s="1137">
        <f>0.8417/C101</f>
        <v>0.210425</v>
      </c>
      <c r="D106" s="1137">
        <f>0.8417/D101</f>
        <v>0.210425</v>
      </c>
      <c r="E106" s="1137">
        <f>0.7371/E101</f>
        <v>0.18427499999999999</v>
      </c>
      <c r="F106" s="1137">
        <f>0.7371/F101</f>
        <v>0.18427499999999999</v>
      </c>
      <c r="G106" s="1137">
        <f>0.7371/G101</f>
        <v>0.18427499999999999</v>
      </c>
      <c r="H106" s="1137">
        <f>0.7371/H101</f>
        <v>0.18427499999999999</v>
      </c>
      <c r="I106" s="1137">
        <f>0.7371/I101</f>
        <v>0.18427499999999999</v>
      </c>
      <c r="J106" s="1137">
        <f>0.5659/J101</f>
        <v>0.14147499999999999</v>
      </c>
      <c r="K106" s="1137">
        <f>0.5659/K101</f>
        <v>0.14147499999999999</v>
      </c>
      <c r="L106" s="1137">
        <f>0.5659/L101</f>
        <v>0.14147499999999999</v>
      </c>
      <c r="M106" s="1137">
        <f>0.5659/M101</f>
        <v>0.14147499999999999</v>
      </c>
      <c r="N106" s="1137">
        <f>0.5659/N101</f>
        <v>0.14147499999999999</v>
      </c>
    </row>
    <row r="107" spans="1:14">
      <c r="A107" s="3838"/>
      <c r="B107" s="1136">
        <v>6</v>
      </c>
      <c r="C107" s="1137">
        <f>0.7608/C101</f>
        <v>0.19020000000000001</v>
      </c>
      <c r="D107" s="1137">
        <f>0.7608/D101</f>
        <v>0.19020000000000001</v>
      </c>
      <c r="E107" s="1137">
        <f>0.6482/E101</f>
        <v>0.16205</v>
      </c>
      <c r="F107" s="1137">
        <f>0.6482/F101</f>
        <v>0.16205</v>
      </c>
      <c r="G107" s="1137">
        <f>0.6482/G101</f>
        <v>0.16205</v>
      </c>
      <c r="H107" s="1137">
        <f>0.6482/H101</f>
        <v>0.16205</v>
      </c>
      <c r="I107" s="1137">
        <f>0.6482/I101</f>
        <v>0.16205</v>
      </c>
      <c r="J107" s="1137">
        <f>0.4525/J101</f>
        <v>0.113125</v>
      </c>
      <c r="K107" s="1137">
        <f>0.4525/K101</f>
        <v>0.113125</v>
      </c>
      <c r="L107" s="1137">
        <f>0.4525/L101</f>
        <v>0.113125</v>
      </c>
      <c r="M107" s="1137">
        <f>0.4525/M101</f>
        <v>0.113125</v>
      </c>
      <c r="N107" s="1137">
        <f>0.4525/N101</f>
        <v>0.113125</v>
      </c>
    </row>
    <row r="108" spans="1:14">
      <c r="A108" s="3838"/>
      <c r="B108" s="3840" t="s">
        <v>1638</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839"/>
      <c r="B109" s="3841"/>
      <c r="C109" s="1139">
        <f>(-0.163*(C108^2)-0.59*C108+7617)*(10^(-4))/C101</f>
        <v>0.1900462</v>
      </c>
      <c r="D109" s="1139">
        <f>(-0.163*(D108^2)-0.59*D108+7617)*(10^(-4))/D101</f>
        <v>0.1900462</v>
      </c>
      <c r="E109" s="1139">
        <f>(-0.161*(E108^2)-7.509*E108+6533)*(10^(-4))/E101</f>
        <v>0.1615656</v>
      </c>
      <c r="F109" s="1139">
        <f>(-0.161*(F108^2)-7.509*F108+6533)*(10^(-4))/F101</f>
        <v>0.1615656</v>
      </c>
      <c r="G109" s="1139">
        <f>(-0.161*(G108^2)-7.509*G108+6533)*(10^(-4))/G101</f>
        <v>0.1615656</v>
      </c>
      <c r="H109" s="1139">
        <f>(-0.161*(H108^2)-7.509*H108+6533)*(10^(-4))/H101</f>
        <v>0.1615656</v>
      </c>
      <c r="I109" s="1139">
        <f>(-0.161*(I108^2)-7.509*I108+6533)*(10^(-4))/I101</f>
        <v>0.1615656</v>
      </c>
      <c r="J109" s="1139">
        <f>(-0.214*(J108^2)-21.991*J108+4665)*(10^(-4))/J101</f>
        <v>0.11188440000000001</v>
      </c>
      <c r="K109" s="1139">
        <f>(-0.214*(K108^2)-21.991*K108+4665)*(10^(-4))/K101</f>
        <v>0.11188440000000001</v>
      </c>
      <c r="L109" s="1139">
        <f>(-0.214*(L108^2)-21.991*L108+4665)*(10^(-4))/L101</f>
        <v>0.11188440000000001</v>
      </c>
      <c r="M109" s="1139">
        <f>(-0.214*(M108^2)-21.991*M108+4665)*(10^(-4))/M101</f>
        <v>0.11188440000000001</v>
      </c>
      <c r="N109" s="1139">
        <f>(-0.214*(N108^2)-21.991*N108+4665)*(10^(-4))/N101</f>
        <v>0.11188440000000001</v>
      </c>
    </row>
    <row r="110" spans="1:14">
      <c r="A110" s="3823" t="s">
        <v>1639</v>
      </c>
      <c r="B110" s="3823"/>
      <c r="C110" s="3823"/>
      <c r="D110" s="3823"/>
      <c r="E110" s="3823"/>
      <c r="F110" s="3823"/>
      <c r="G110" s="3823"/>
      <c r="H110" s="3823"/>
      <c r="I110" s="3823"/>
      <c r="J110" s="3823"/>
      <c r="K110" s="2408"/>
      <c r="L110" s="2408"/>
      <c r="M110" s="2408"/>
      <c r="N110" s="2408"/>
    </row>
    <row r="112" spans="1:14" ht="12.75" thickBot="1"/>
    <row r="113" spans="1:13" ht="25.5" thickBot="1">
      <c r="A113" s="1013" t="s">
        <v>896</v>
      </c>
      <c r="B113" s="2411">
        <f>G3</f>
        <v>4</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0.89590000000000003</v>
      </c>
      <c r="C115" s="1027">
        <f>B115</f>
        <v>0.89590000000000003</v>
      </c>
      <c r="D115" s="1027">
        <f>ROUND(0.8331-0.0109*B113,4)</f>
        <v>0.78949999999999998</v>
      </c>
      <c r="E115" s="1027">
        <f>D115</f>
        <v>0.78949999999999998</v>
      </c>
      <c r="F115" s="1027">
        <f>E115</f>
        <v>0.78949999999999998</v>
      </c>
      <c r="G115" s="1027">
        <f>F115</f>
        <v>0.78949999999999998</v>
      </c>
      <c r="H115" s="1027">
        <f>G115</f>
        <v>0.78949999999999998</v>
      </c>
      <c r="I115" s="1027">
        <f>ROUND(0.689-0.0155*B113,4)</f>
        <v>0.627</v>
      </c>
      <c r="J115" s="1027">
        <f t="shared" ref="J115:M118" si="32">I115</f>
        <v>0.627</v>
      </c>
      <c r="K115" s="1027">
        <f t="shared" si="32"/>
        <v>0.627</v>
      </c>
      <c r="L115" s="1027">
        <f t="shared" si="32"/>
        <v>0.627</v>
      </c>
      <c r="M115" s="1028">
        <f t="shared" si="32"/>
        <v>0.627</v>
      </c>
    </row>
    <row r="116" spans="1:13" ht="12.75">
      <c r="A116" s="1026" t="s">
        <v>901</v>
      </c>
      <c r="B116" s="1027">
        <f>ROUND(0.949-0.012*B113,4)</f>
        <v>0.90100000000000002</v>
      </c>
      <c r="C116" s="1027">
        <f>B116</f>
        <v>0.90100000000000002</v>
      </c>
      <c r="D116" s="1027">
        <f>ROUND(0.8567-0.013*B113,4)</f>
        <v>0.80469999999999997</v>
      </c>
      <c r="E116" s="1027">
        <f t="shared" ref="E116:H117" si="33">D116</f>
        <v>0.80469999999999997</v>
      </c>
      <c r="F116" s="1027">
        <f t="shared" si="33"/>
        <v>0.80469999999999997</v>
      </c>
      <c r="G116" s="1027">
        <f t="shared" si="33"/>
        <v>0.80469999999999997</v>
      </c>
      <c r="H116" s="1027">
        <f t="shared" si="33"/>
        <v>0.80469999999999997</v>
      </c>
      <c r="I116" s="1027">
        <f>ROUND(0.7694-0.014*B113,4)</f>
        <v>0.71340000000000003</v>
      </c>
      <c r="J116" s="1027">
        <f t="shared" si="32"/>
        <v>0.71340000000000003</v>
      </c>
      <c r="K116" s="1027">
        <f t="shared" si="32"/>
        <v>0.71340000000000003</v>
      </c>
      <c r="L116" s="1027">
        <f t="shared" si="32"/>
        <v>0.71340000000000003</v>
      </c>
      <c r="M116" s="1028">
        <f t="shared" si="32"/>
        <v>0.71340000000000003</v>
      </c>
    </row>
    <row r="117" spans="1:13" ht="12.75">
      <c r="A117" s="1029" t="s">
        <v>902</v>
      </c>
      <c r="B117" s="1027">
        <f>ROUND(0.8808-0.006*B113,4)</f>
        <v>0.85680000000000001</v>
      </c>
      <c r="C117" s="1027">
        <f>B117</f>
        <v>0.85680000000000001</v>
      </c>
      <c r="D117" s="1027">
        <f>ROUND(0.8748-0.008*B113,4)</f>
        <v>0.84279999999999999</v>
      </c>
      <c r="E117" s="1027">
        <f t="shared" si="33"/>
        <v>0.84279999999999999</v>
      </c>
      <c r="F117" s="1027">
        <f t="shared" si="33"/>
        <v>0.84279999999999999</v>
      </c>
      <c r="G117" s="1027">
        <f t="shared" si="33"/>
        <v>0.84279999999999999</v>
      </c>
      <c r="H117" s="1027">
        <f t="shared" si="33"/>
        <v>0.84279999999999999</v>
      </c>
      <c r="I117" s="1027">
        <f>ROUND(0.7412-0.0095*B113,4)</f>
        <v>0.70320000000000005</v>
      </c>
      <c r="J117" s="1027">
        <f t="shared" si="32"/>
        <v>0.70320000000000005</v>
      </c>
      <c r="K117" s="1027">
        <f t="shared" si="32"/>
        <v>0.70320000000000005</v>
      </c>
      <c r="L117" s="1027">
        <f t="shared" si="32"/>
        <v>0.70320000000000005</v>
      </c>
      <c r="M117" s="1028">
        <f t="shared" si="32"/>
        <v>0.70320000000000005</v>
      </c>
    </row>
    <row r="118" spans="1:13" ht="13.5" thickBot="1">
      <c r="A118" s="1030" t="s">
        <v>903</v>
      </c>
      <c r="B118" s="1031">
        <f>ROUND(0.7275-0.01*B113,4)</f>
        <v>0.6875</v>
      </c>
      <c r="C118" s="1031">
        <f>B118</f>
        <v>0.6875</v>
      </c>
      <c r="D118" s="1031">
        <f>ROUND(0.7043-0.012*B113,4)</f>
        <v>0.65629999999999999</v>
      </c>
      <c r="E118" s="1031">
        <f>D118</f>
        <v>0.65629999999999999</v>
      </c>
      <c r="F118" s="1031">
        <f>E118</f>
        <v>0.65629999999999999</v>
      </c>
      <c r="G118" s="1031">
        <f>ROUND(0.6299-0.0122*B113,4)</f>
        <v>0.58109999999999995</v>
      </c>
      <c r="H118" s="1031">
        <f>G118</f>
        <v>0.58109999999999995</v>
      </c>
      <c r="I118" s="1031">
        <f>ROUND(0.5667-0.0136*B113,4)</f>
        <v>0.51229999999999998</v>
      </c>
      <c r="J118" s="1031">
        <f t="shared" si="32"/>
        <v>0.51229999999999998</v>
      </c>
      <c r="K118" s="1031">
        <f t="shared" si="32"/>
        <v>0.51229999999999998</v>
      </c>
      <c r="L118" s="1031">
        <f t="shared" si="32"/>
        <v>0.51229999999999998</v>
      </c>
      <c r="M118" s="1032">
        <f t="shared" si="32"/>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1431</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1007</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1029</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1031</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1432</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1433</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1434</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1435</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1436</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1437</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1438</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1439</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1440</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1441</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2" t="s">
        <v>2982</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SUM(J6:J10,J13)</f>
        <v>155</v>
      </c>
      <c r="K15" s="3059">
        <f>SUM(K6:K10,K13)</f>
        <v>155</v>
      </c>
      <c r="L15" s="3059">
        <f>SUM(L6:L10,L13)</f>
        <v>155</v>
      </c>
      <c r="M15" s="3059">
        <f>SUM(M6:M10,M13)</f>
        <v>155</v>
      </c>
    </row>
    <row r="16" spans="1:13" ht="19.5" customHeight="1">
      <c r="A16" s="1119" t="s">
        <v>1442</v>
      </c>
      <c r="B16" s="1119"/>
      <c r="C16" s="1120"/>
      <c r="D16" s="1120"/>
      <c r="E16" s="1119"/>
      <c r="F16" s="1120"/>
      <c r="G16" s="1120"/>
    </row>
    <row r="17" spans="1:9" ht="19.5" customHeight="1">
      <c r="A17" s="1061" t="s">
        <v>1443</v>
      </c>
      <c r="B17" s="1121" t="s">
        <v>1444</v>
      </c>
      <c r="C17" s="1121" t="s">
        <v>1643</v>
      </c>
      <c r="D17" s="1122"/>
      <c r="E17" s="1061" t="s">
        <v>1445</v>
      </c>
      <c r="F17" s="1123"/>
      <c r="G17" s="1123"/>
    </row>
    <row r="18" spans="1:9" s="1582" customFormat="1" ht="19.5" customHeight="1">
      <c r="A18" s="3830" t="s">
        <v>1007</v>
      </c>
      <c r="B18" s="1147" t="s">
        <v>1446</v>
      </c>
      <c r="C18" s="1124" t="s">
        <v>1447</v>
      </c>
      <c r="D18" s="1125"/>
      <c r="E18" s="1147">
        <v>1</v>
      </c>
      <c r="F18" s="1126" t="s">
        <v>1448</v>
      </c>
      <c r="G18" s="1127"/>
      <c r="H18" s="1098"/>
      <c r="I18" s="1098"/>
    </row>
    <row r="19" spans="1:9" s="1582" customFormat="1" ht="19.5" customHeight="1">
      <c r="A19" s="3830"/>
      <c r="B19" s="3830" t="s">
        <v>1449</v>
      </c>
      <c r="C19" s="1124" t="s">
        <v>1450</v>
      </c>
      <c r="D19" s="1125"/>
      <c r="E19" s="1147">
        <v>0.9</v>
      </c>
      <c r="F19" s="1126" t="s">
        <v>1451</v>
      </c>
      <c r="G19" s="1127"/>
      <c r="H19" s="1098"/>
      <c r="I19" s="1098"/>
    </row>
    <row r="20" spans="1:9" s="1582" customFormat="1" ht="19.5" customHeight="1">
      <c r="A20" s="3830"/>
      <c r="B20" s="3830"/>
      <c r="C20" s="1124" t="s">
        <v>1452</v>
      </c>
      <c r="D20" s="1125"/>
      <c r="E20" s="1147">
        <v>1.1000000000000001</v>
      </c>
      <c r="F20" s="1126" t="s">
        <v>1453</v>
      </c>
      <c r="G20" s="1127"/>
      <c r="H20" s="1098"/>
      <c r="I20" s="1098"/>
    </row>
    <row r="21" spans="1:9" s="1582" customFormat="1" ht="19.5" customHeight="1">
      <c r="A21" s="3830"/>
      <c r="B21" s="3830"/>
      <c r="C21" s="1124" t="s">
        <v>1454</v>
      </c>
      <c r="D21" s="1125"/>
      <c r="E21" s="1147">
        <v>0.8</v>
      </c>
      <c r="F21" s="1126" t="s">
        <v>1455</v>
      </c>
      <c r="G21" s="1127"/>
      <c r="H21" s="1098"/>
      <c r="I21" s="1098"/>
    </row>
    <row r="22" spans="1:9" s="1582" customFormat="1" ht="19.5" customHeight="1">
      <c r="A22" s="3830"/>
      <c r="B22" s="3830"/>
      <c r="C22" s="1124" t="s">
        <v>1456</v>
      </c>
      <c r="D22" s="1125"/>
      <c r="E22" s="1147">
        <v>0.5</v>
      </c>
      <c r="F22" s="1126"/>
      <c r="G22" s="1127"/>
      <c r="H22" s="1098"/>
      <c r="I22" s="1098"/>
    </row>
    <row r="23" spans="1:9" s="1582" customFormat="1" ht="19.5" customHeight="1">
      <c r="A23" s="3830" t="s">
        <v>1029</v>
      </c>
      <c r="B23" s="1147" t="s">
        <v>1446</v>
      </c>
      <c r="C23" s="1124" t="s">
        <v>1457</v>
      </c>
      <c r="D23" s="1125"/>
      <c r="E23" s="1147">
        <v>1</v>
      </c>
      <c r="F23" s="1126" t="s">
        <v>1458</v>
      </c>
      <c r="G23" s="1127"/>
      <c r="H23" s="1098"/>
      <c r="I23" s="1098"/>
    </row>
    <row r="24" spans="1:9" s="1582" customFormat="1" ht="19.5" customHeight="1">
      <c r="A24" s="3830"/>
      <c r="B24" s="3830" t="s">
        <v>1449</v>
      </c>
      <c r="C24" s="1124" t="s">
        <v>1459</v>
      </c>
      <c r="D24" s="1125"/>
      <c r="E24" s="1147">
        <v>0.5</v>
      </c>
      <c r="F24" s="1126"/>
      <c r="G24" s="1127"/>
      <c r="H24" s="1098"/>
      <c r="I24" s="1098"/>
    </row>
    <row r="25" spans="1:9" s="1582" customFormat="1" ht="19.5" customHeight="1">
      <c r="A25" s="3830"/>
      <c r="B25" s="3830"/>
      <c r="C25" s="1124" t="s">
        <v>1460</v>
      </c>
      <c r="D25" s="1125"/>
      <c r="E25" s="1147">
        <v>1.1000000000000001</v>
      </c>
      <c r="F25" s="1126"/>
      <c r="G25" s="1127"/>
      <c r="H25" s="1098"/>
      <c r="I25" s="1098"/>
    </row>
    <row r="26" spans="1:9" s="1582" customFormat="1" ht="19.5" customHeight="1">
      <c r="A26" s="3830"/>
      <c r="B26" s="3830"/>
      <c r="C26" s="1124" t="s">
        <v>1461</v>
      </c>
      <c r="D26" s="1125"/>
      <c r="E26" s="1147">
        <v>1.1000000000000001</v>
      </c>
      <c r="F26" s="1126"/>
      <c r="G26" s="1127"/>
      <c r="H26" s="1098"/>
      <c r="I26" s="1098"/>
    </row>
    <row r="27" spans="1:9" s="1582" customFormat="1" ht="19.5" customHeight="1">
      <c r="A27" s="3830"/>
      <c r="B27" s="3830"/>
      <c r="C27" s="1124" t="s">
        <v>1462</v>
      </c>
      <c r="D27" s="1125"/>
      <c r="E27" s="1147">
        <v>0.9</v>
      </c>
      <c r="F27" s="1126" t="s">
        <v>1463</v>
      </c>
      <c r="G27" s="1127"/>
      <c r="H27" s="1098"/>
      <c r="I27" s="1098"/>
    </row>
    <row r="28" spans="1:9" s="1582" customFormat="1" ht="19.5" customHeight="1">
      <c r="A28" s="3830"/>
      <c r="B28" s="3830"/>
      <c r="C28" s="1124" t="s">
        <v>1464</v>
      </c>
      <c r="D28" s="1125"/>
      <c r="E28" s="1147">
        <v>0.9</v>
      </c>
      <c r="F28" s="1126" t="s">
        <v>1465</v>
      </c>
      <c r="G28" s="1127"/>
      <c r="H28" s="1098"/>
      <c r="I28" s="1098"/>
    </row>
    <row r="29" spans="1:9" s="1582" customFormat="1" ht="19.5" customHeight="1">
      <c r="A29" s="3830"/>
      <c r="B29" s="3830"/>
      <c r="C29" s="1124" t="s">
        <v>1466</v>
      </c>
      <c r="D29" s="1125"/>
      <c r="E29" s="1147">
        <v>0.9</v>
      </c>
      <c r="F29" s="1126" t="s">
        <v>1467</v>
      </c>
      <c r="G29" s="1127"/>
      <c r="H29" s="1098"/>
      <c r="I29" s="1098"/>
    </row>
    <row r="30" spans="1:9" s="1582" customFormat="1" ht="19.5" customHeight="1">
      <c r="A30" s="3830"/>
      <c r="B30" s="3830"/>
      <c r="C30" s="1124" t="s">
        <v>1468</v>
      </c>
      <c r="D30" s="1125"/>
      <c r="E30" s="1147">
        <v>0.9</v>
      </c>
      <c r="F30" s="1126" t="s">
        <v>1469</v>
      </c>
      <c r="G30" s="1127"/>
      <c r="H30" s="1098"/>
      <c r="I30" s="1098"/>
    </row>
    <row r="31" spans="1:9" s="1582" customFormat="1" ht="19.5" customHeight="1">
      <c r="A31" s="3830"/>
      <c r="B31" s="3830"/>
      <c r="C31" s="1124" t="s">
        <v>1470</v>
      </c>
      <c r="D31" s="1125"/>
      <c r="E31" s="1147">
        <v>0.8</v>
      </c>
      <c r="F31" s="1126" t="s">
        <v>1471</v>
      </c>
      <c r="G31" s="1127"/>
      <c r="H31" s="1098"/>
      <c r="I31" s="1098"/>
    </row>
    <row r="32" spans="1:9" s="1582" customFormat="1" ht="19.5" customHeight="1">
      <c r="A32" s="3830"/>
      <c r="B32" s="3830"/>
      <c r="C32" s="1124" t="s">
        <v>1472</v>
      </c>
      <c r="D32" s="1125"/>
      <c r="E32" s="1147">
        <v>0.8</v>
      </c>
      <c r="F32" s="1126" t="s">
        <v>1473</v>
      </c>
      <c r="G32" s="1127"/>
      <c r="H32" s="1098"/>
      <c r="I32" s="1098"/>
    </row>
    <row r="33" spans="1:9" s="1582" customFormat="1" ht="19.5" customHeight="1">
      <c r="A33" s="3830" t="s">
        <v>1474</v>
      </c>
      <c r="B33" s="1147" t="s">
        <v>1446</v>
      </c>
      <c r="C33" s="1124" t="s">
        <v>1475</v>
      </c>
      <c r="D33" s="1125"/>
      <c r="E33" s="1147">
        <v>1</v>
      </c>
      <c r="F33" s="1126" t="s">
        <v>1476</v>
      </c>
      <c r="G33" s="1127"/>
      <c r="H33" s="1098"/>
      <c r="I33" s="1098"/>
    </row>
    <row r="34" spans="1:9" s="1582" customFormat="1" ht="19.5" customHeight="1">
      <c r="A34" s="3830"/>
      <c r="B34" s="1147" t="s">
        <v>1449</v>
      </c>
      <c r="C34" s="1124" t="s">
        <v>1477</v>
      </c>
      <c r="D34" s="1125"/>
      <c r="E34" s="1147">
        <v>1.5</v>
      </c>
      <c r="F34" s="1126" t="s">
        <v>1478</v>
      </c>
      <c r="G34" s="1127"/>
      <c r="H34" s="1098"/>
      <c r="I34" s="1098"/>
    </row>
    <row r="35" spans="1:9" s="1582" customFormat="1" ht="19.5" customHeight="1">
      <c r="A35" s="3830" t="s">
        <v>1432</v>
      </c>
      <c r="B35" s="1147" t="s">
        <v>1446</v>
      </c>
      <c r="C35" s="1124" t="s">
        <v>1479</v>
      </c>
      <c r="D35" s="1125"/>
      <c r="E35" s="1147">
        <v>1</v>
      </c>
      <c r="F35" s="1126" t="s">
        <v>1480</v>
      </c>
      <c r="G35" s="1127"/>
      <c r="H35" s="1098"/>
      <c r="I35" s="1098"/>
    </row>
    <row r="36" spans="1:9" s="1582" customFormat="1" ht="19.5" customHeight="1">
      <c r="A36" s="3830"/>
      <c r="B36" s="3830" t="s">
        <v>1449</v>
      </c>
      <c r="C36" s="1124" t="s">
        <v>1481</v>
      </c>
      <c r="D36" s="1125"/>
      <c r="E36" s="1147">
        <v>1</v>
      </c>
      <c r="F36" s="1126" t="s">
        <v>1482</v>
      </c>
      <c r="G36" s="1127"/>
      <c r="H36" s="1098"/>
      <c r="I36" s="1098"/>
    </row>
    <row r="37" spans="1:9" s="1582" customFormat="1" ht="19.5" customHeight="1">
      <c r="A37" s="3830"/>
      <c r="B37" s="3830"/>
      <c r="C37" s="1124" t="s">
        <v>1483</v>
      </c>
      <c r="D37" s="1125"/>
      <c r="E37" s="1147">
        <v>1.5</v>
      </c>
      <c r="F37" s="1126" t="s">
        <v>1484</v>
      </c>
      <c r="G37" s="1127"/>
      <c r="H37" s="1098"/>
      <c r="I37" s="1098"/>
    </row>
    <row r="38" spans="1:9" s="1582" customFormat="1" ht="19.5" customHeight="1">
      <c r="A38" s="3830"/>
      <c r="B38" s="3830"/>
      <c r="C38" s="1124" t="s">
        <v>1485</v>
      </c>
      <c r="D38" s="1125"/>
      <c r="E38" s="1147">
        <v>1</v>
      </c>
      <c r="F38" s="1126" t="s">
        <v>1486</v>
      </c>
      <c r="G38" s="1127"/>
      <c r="H38" s="1098"/>
      <c r="I38" s="1098"/>
    </row>
    <row r="39" spans="1:9" s="1582" customFormat="1" ht="19.5" customHeight="1">
      <c r="A39" s="3830"/>
      <c r="B39" s="3830"/>
      <c r="C39" s="1124" t="s">
        <v>1487</v>
      </c>
      <c r="D39" s="1125"/>
      <c r="E39" s="1147">
        <v>1</v>
      </c>
      <c r="F39" s="1126" t="s">
        <v>1488</v>
      </c>
      <c r="G39" s="1127"/>
      <c r="H39" s="1098"/>
      <c r="I39" s="1098"/>
    </row>
    <row r="40" spans="1:9" s="1582" customFormat="1" ht="19.5" customHeight="1">
      <c r="A40" s="1583" t="s">
        <v>1489</v>
      </c>
      <c r="B40" s="1583"/>
      <c r="C40" s="1583"/>
      <c r="D40" s="1583"/>
      <c r="E40" s="1583"/>
      <c r="F40" s="1126"/>
      <c r="G40" s="1126"/>
      <c r="H40" s="1098"/>
      <c r="I40" s="1098"/>
    </row>
    <row r="42" spans="1:9" ht="19.5" customHeight="1">
      <c r="A42" s="1128"/>
      <c r="B42" s="1061" t="s">
        <v>1490</v>
      </c>
      <c r="C42" s="1061" t="s">
        <v>1490</v>
      </c>
      <c r="D42" s="1061" t="s">
        <v>1490</v>
      </c>
      <c r="E42" s="1146" t="s">
        <v>1490</v>
      </c>
      <c r="F42" s="1146" t="s">
        <v>1490</v>
      </c>
      <c r="G42" s="1146" t="s">
        <v>1491</v>
      </c>
      <c r="H42" s="1146" t="s">
        <v>1490</v>
      </c>
    </row>
    <row r="43" spans="1:9" ht="19.5" customHeight="1">
      <c r="A43" s="1129"/>
      <c r="B43" s="1146" t="s">
        <v>1007</v>
      </c>
      <c r="C43" s="1146" t="s">
        <v>1007</v>
      </c>
      <c r="D43" s="1146" t="s">
        <v>1007</v>
      </c>
      <c r="E43" s="1146" t="s">
        <v>1007</v>
      </c>
      <c r="F43" s="1061" t="s">
        <v>1029</v>
      </c>
      <c r="G43" s="1061" t="s">
        <v>1432</v>
      </c>
      <c r="H43" s="1061" t="s">
        <v>1492</v>
      </c>
    </row>
    <row r="44" spans="1:9" ht="19.5" customHeight="1">
      <c r="A44" s="1130"/>
      <c r="B44" s="1061">
        <v>1</v>
      </c>
      <c r="C44" s="1061">
        <v>2</v>
      </c>
      <c r="D44" s="1061">
        <v>3</v>
      </c>
      <c r="E44" s="1146">
        <v>4</v>
      </c>
      <c r="F44" s="1122" t="s">
        <v>1493</v>
      </c>
      <c r="G44" s="1122" t="s">
        <v>1493</v>
      </c>
      <c r="H44" s="1122" t="s">
        <v>1493</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1494</v>
      </c>
      <c r="E58" s="1119"/>
      <c r="F58" s="1119"/>
    </row>
    <row r="59" spans="1:8" s="1098" customFormat="1" ht="19.5" customHeight="1">
      <c r="A59" s="1147" t="s">
        <v>1495</v>
      </c>
      <c r="B59" s="1147" t="s">
        <v>1496</v>
      </c>
      <c r="C59" s="1147" t="s">
        <v>1497</v>
      </c>
      <c r="D59" s="1147" t="s">
        <v>1498</v>
      </c>
      <c r="E59" s="1147" t="s">
        <v>1499</v>
      </c>
      <c r="F59" s="1147" t="s">
        <v>1500</v>
      </c>
    </row>
    <row r="60" spans="1:8" s="1098" customFormat="1" ht="19.5" customHeight="1">
      <c r="A60" s="1147"/>
      <c r="B60" s="1147"/>
      <c r="C60" s="1147" t="s">
        <v>1632</v>
      </c>
      <c r="D60" s="1147"/>
      <c r="E60" s="1132" t="s">
        <v>1441</v>
      </c>
      <c r="F60" s="1147" t="s">
        <v>1441</v>
      </c>
    </row>
    <row r="61" spans="1:8" s="1098" customFormat="1" ht="24">
      <c r="A61" s="1147">
        <v>1</v>
      </c>
      <c r="B61" s="3830" t="s">
        <v>1501</v>
      </c>
      <c r="C61" s="1061" t="s">
        <v>1502</v>
      </c>
      <c r="D61" s="1061" t="s">
        <v>1503</v>
      </c>
      <c r="E61" s="1132">
        <v>0.5</v>
      </c>
      <c r="F61" s="1147">
        <v>80</v>
      </c>
      <c r="H61" s="1098">
        <f>SUMIF(C59:C119,基准地价!C8,E59:E119)</f>
        <v>0</v>
      </c>
    </row>
    <row r="62" spans="1:8" s="1098" customFormat="1" ht="24">
      <c r="A62" s="1147">
        <v>2</v>
      </c>
      <c r="B62" s="3830"/>
      <c r="C62" s="1061" t="s">
        <v>1504</v>
      </c>
      <c r="D62" s="1061" t="s">
        <v>1505</v>
      </c>
      <c r="E62" s="1132">
        <v>0.5</v>
      </c>
      <c r="F62" s="1147">
        <v>80</v>
      </c>
    </row>
    <row r="63" spans="1:8" s="1098" customFormat="1" ht="36">
      <c r="A63" s="1147">
        <v>3</v>
      </c>
      <c r="B63" s="3830"/>
      <c r="C63" s="1061" t="s">
        <v>1506</v>
      </c>
      <c r="D63" s="1061" t="s">
        <v>1507</v>
      </c>
      <c r="E63" s="1132">
        <v>0.5</v>
      </c>
      <c r="F63" s="1147">
        <v>80</v>
      </c>
    </row>
    <row r="64" spans="1:8" s="1098" customFormat="1" ht="36">
      <c r="A64" s="1147">
        <v>4</v>
      </c>
      <c r="B64" s="3830"/>
      <c r="C64" s="1061" t="s">
        <v>1508</v>
      </c>
      <c r="D64" s="1061" t="s">
        <v>1509</v>
      </c>
      <c r="E64" s="1132">
        <v>0.4</v>
      </c>
      <c r="F64" s="1147">
        <v>60</v>
      </c>
    </row>
    <row r="65" spans="1:6" s="1098" customFormat="1" ht="36">
      <c r="A65" s="1147">
        <v>5</v>
      </c>
      <c r="B65" s="3830"/>
      <c r="C65" s="1061" t="s">
        <v>1510</v>
      </c>
      <c r="D65" s="1061" t="s">
        <v>1511</v>
      </c>
      <c r="E65" s="1132">
        <v>0.2</v>
      </c>
      <c r="F65" s="1147">
        <v>30</v>
      </c>
    </row>
    <row r="66" spans="1:6" s="1098" customFormat="1" ht="36">
      <c r="A66" s="1147">
        <v>6</v>
      </c>
      <c r="B66" s="3830"/>
      <c r="C66" s="1061" t="s">
        <v>1512</v>
      </c>
      <c r="D66" s="1061" t="s">
        <v>1513</v>
      </c>
      <c r="E66" s="1132">
        <v>0.3</v>
      </c>
      <c r="F66" s="1147">
        <v>50</v>
      </c>
    </row>
    <row r="67" spans="1:6" s="1098" customFormat="1" ht="36">
      <c r="A67" s="1147">
        <v>7</v>
      </c>
      <c r="B67" s="3830"/>
      <c r="C67" s="1061" t="s">
        <v>1514</v>
      </c>
      <c r="D67" s="1061" t="s">
        <v>1515</v>
      </c>
      <c r="E67" s="1132">
        <v>0.2</v>
      </c>
      <c r="F67" s="1147">
        <v>30</v>
      </c>
    </row>
    <row r="68" spans="1:6" s="1098" customFormat="1" ht="36">
      <c r="A68" s="1147">
        <v>8</v>
      </c>
      <c r="B68" s="3830"/>
      <c r="C68" s="1061" t="s">
        <v>1516</v>
      </c>
      <c r="D68" s="1061" t="s">
        <v>1517</v>
      </c>
      <c r="E68" s="1132">
        <v>0.2</v>
      </c>
      <c r="F68" s="1147">
        <v>30</v>
      </c>
    </row>
    <row r="69" spans="1:6" s="1098" customFormat="1" ht="36">
      <c r="A69" s="1147">
        <v>9</v>
      </c>
      <c r="B69" s="3830"/>
      <c r="C69" s="1061" t="s">
        <v>1518</v>
      </c>
      <c r="D69" s="1061" t="s">
        <v>1519</v>
      </c>
      <c r="E69" s="1132">
        <v>0.2</v>
      </c>
      <c r="F69" s="1147">
        <v>30</v>
      </c>
    </row>
    <row r="70" spans="1:6" s="1098" customFormat="1" ht="48">
      <c r="A70" s="1147">
        <v>10</v>
      </c>
      <c r="B70" s="3830"/>
      <c r="C70" s="1061" t="s">
        <v>1520</v>
      </c>
      <c r="D70" s="1061" t="s">
        <v>1521</v>
      </c>
      <c r="E70" s="1132">
        <v>0.2</v>
      </c>
      <c r="F70" s="1147">
        <v>30</v>
      </c>
    </row>
    <row r="71" spans="1:6" s="1098" customFormat="1" ht="48">
      <c r="A71" s="1147">
        <v>11</v>
      </c>
      <c r="B71" s="3830"/>
      <c r="C71" s="1061" t="s">
        <v>1522</v>
      </c>
      <c r="D71" s="1061" t="s">
        <v>1523</v>
      </c>
      <c r="E71" s="1132">
        <v>0.2</v>
      </c>
      <c r="F71" s="1147">
        <v>30</v>
      </c>
    </row>
    <row r="72" spans="1:6" s="1098" customFormat="1" ht="36">
      <c r="A72" s="1147">
        <v>12</v>
      </c>
      <c r="B72" s="3830"/>
      <c r="C72" s="1061" t="s">
        <v>1524</v>
      </c>
      <c r="D72" s="1061" t="s">
        <v>1525</v>
      </c>
      <c r="E72" s="1132">
        <v>0.5</v>
      </c>
      <c r="F72" s="1147">
        <v>80</v>
      </c>
    </row>
    <row r="73" spans="1:6" s="1098" customFormat="1" ht="24">
      <c r="A73" s="1147">
        <v>13</v>
      </c>
      <c r="B73" s="3830"/>
      <c r="C73" s="1061" t="s">
        <v>1526</v>
      </c>
      <c r="D73" s="1061" t="s">
        <v>1527</v>
      </c>
      <c r="E73" s="1132">
        <v>0.4</v>
      </c>
      <c r="F73" s="1147">
        <v>60</v>
      </c>
    </row>
    <row r="74" spans="1:6" s="1098" customFormat="1" ht="24">
      <c r="A74" s="1147">
        <v>14</v>
      </c>
      <c r="B74" s="3830"/>
      <c r="C74" s="1061" t="s">
        <v>1528</v>
      </c>
      <c r="D74" s="1061" t="s">
        <v>1529</v>
      </c>
      <c r="E74" s="1132">
        <v>0.2</v>
      </c>
      <c r="F74" s="1147">
        <v>30</v>
      </c>
    </row>
    <row r="75" spans="1:6" s="1098" customFormat="1" ht="24">
      <c r="A75" s="1147">
        <v>15</v>
      </c>
      <c r="B75" s="3830"/>
      <c r="C75" s="1061" t="s">
        <v>1530</v>
      </c>
      <c r="D75" s="1061" t="s">
        <v>1531</v>
      </c>
      <c r="E75" s="1132">
        <v>0.2</v>
      </c>
      <c r="F75" s="1147">
        <v>30</v>
      </c>
    </row>
    <row r="76" spans="1:6" s="1098" customFormat="1" ht="24">
      <c r="A76" s="1147">
        <v>16</v>
      </c>
      <c r="B76" s="3830" t="s">
        <v>1532</v>
      </c>
      <c r="C76" s="1061" t="s">
        <v>1533</v>
      </c>
      <c r="D76" s="1061" t="s">
        <v>1534</v>
      </c>
      <c r="E76" s="1132">
        <v>0.5</v>
      </c>
      <c r="F76" s="1147">
        <v>80</v>
      </c>
    </row>
    <row r="77" spans="1:6" s="1098" customFormat="1" ht="24">
      <c r="A77" s="1147">
        <v>17</v>
      </c>
      <c r="B77" s="3830"/>
      <c r="C77" s="1061" t="s">
        <v>1535</v>
      </c>
      <c r="D77" s="1061" t="s">
        <v>1536</v>
      </c>
      <c r="E77" s="1132">
        <v>0.5</v>
      </c>
      <c r="F77" s="1147">
        <v>80</v>
      </c>
    </row>
    <row r="78" spans="1:6" s="1098" customFormat="1" ht="24">
      <c r="A78" s="1147">
        <v>18</v>
      </c>
      <c r="B78" s="3830"/>
      <c r="C78" s="1061" t="s">
        <v>1537</v>
      </c>
      <c r="D78" s="1061" t="s">
        <v>1538</v>
      </c>
      <c r="E78" s="1132">
        <v>0.2</v>
      </c>
      <c r="F78" s="1147">
        <v>30</v>
      </c>
    </row>
    <row r="79" spans="1:6" s="1098" customFormat="1" ht="24">
      <c r="A79" s="1147">
        <v>19</v>
      </c>
      <c r="B79" s="3830"/>
      <c r="C79" s="1061" t="s">
        <v>1539</v>
      </c>
      <c r="D79" s="1061" t="s">
        <v>1540</v>
      </c>
      <c r="E79" s="1132">
        <v>0.5</v>
      </c>
      <c r="F79" s="1147">
        <v>80</v>
      </c>
    </row>
    <row r="80" spans="1:6" s="1098" customFormat="1" ht="36">
      <c r="A80" s="1147">
        <v>20</v>
      </c>
      <c r="B80" s="3830"/>
      <c r="C80" s="1061" t="s">
        <v>1541</v>
      </c>
      <c r="D80" s="1061" t="s">
        <v>1542</v>
      </c>
      <c r="E80" s="1132">
        <v>0.2</v>
      </c>
      <c r="F80" s="1147">
        <v>30</v>
      </c>
    </row>
    <row r="81" spans="1:6" s="1098" customFormat="1" ht="36">
      <c r="A81" s="1147">
        <v>21</v>
      </c>
      <c r="B81" s="3830"/>
      <c r="C81" s="1061" t="s">
        <v>1543</v>
      </c>
      <c r="D81" s="1061" t="s">
        <v>1544</v>
      </c>
      <c r="E81" s="1132">
        <v>0.2</v>
      </c>
      <c r="F81" s="1147">
        <v>30</v>
      </c>
    </row>
    <row r="82" spans="1:6" s="1098" customFormat="1" ht="48">
      <c r="A82" s="1147">
        <v>22</v>
      </c>
      <c r="B82" s="3830"/>
      <c r="C82" s="1061" t="s">
        <v>1545</v>
      </c>
      <c r="D82" s="1061" t="s">
        <v>1546</v>
      </c>
      <c r="E82" s="1132">
        <v>0.2</v>
      </c>
      <c r="F82" s="1147">
        <v>30</v>
      </c>
    </row>
    <row r="83" spans="1:6" s="1098" customFormat="1" ht="48">
      <c r="A83" s="1147">
        <v>23</v>
      </c>
      <c r="B83" s="3830"/>
      <c r="C83" s="1061" t="s">
        <v>1547</v>
      </c>
      <c r="D83" s="1061" t="s">
        <v>1548</v>
      </c>
      <c r="E83" s="1132">
        <v>0.2</v>
      </c>
      <c r="F83" s="1147">
        <v>30</v>
      </c>
    </row>
    <row r="84" spans="1:6" s="1098" customFormat="1" ht="36">
      <c r="A84" s="1147">
        <v>24</v>
      </c>
      <c r="B84" s="3830"/>
      <c r="C84" s="1061" t="s">
        <v>1549</v>
      </c>
      <c r="D84" s="1061" t="s">
        <v>1550</v>
      </c>
      <c r="E84" s="1132">
        <v>0.2</v>
      </c>
      <c r="F84" s="1147">
        <v>30</v>
      </c>
    </row>
    <row r="85" spans="1:6" s="1098" customFormat="1" ht="36">
      <c r="A85" s="1147">
        <v>25</v>
      </c>
      <c r="B85" s="3830"/>
      <c r="C85" s="1061" t="s">
        <v>1551</v>
      </c>
      <c r="D85" s="1061" t="s">
        <v>1552</v>
      </c>
      <c r="E85" s="1132">
        <v>0.5</v>
      </c>
      <c r="F85" s="1147">
        <v>80</v>
      </c>
    </row>
    <row r="86" spans="1:6" s="1098" customFormat="1" ht="36">
      <c r="A86" s="1147">
        <v>26</v>
      </c>
      <c r="B86" s="3830"/>
      <c r="C86" s="1061" t="s">
        <v>1553</v>
      </c>
      <c r="D86" s="1061" t="s">
        <v>1554</v>
      </c>
      <c r="E86" s="1132">
        <v>0.2</v>
      </c>
      <c r="F86" s="1147">
        <v>30</v>
      </c>
    </row>
    <row r="87" spans="1:6" s="1098" customFormat="1" ht="36">
      <c r="A87" s="1147">
        <v>27</v>
      </c>
      <c r="B87" s="3830"/>
      <c r="C87" s="1061" t="s">
        <v>1555</v>
      </c>
      <c r="D87" s="1061" t="s">
        <v>1556</v>
      </c>
      <c r="E87" s="1132">
        <v>0.2</v>
      </c>
      <c r="F87" s="1147">
        <v>30</v>
      </c>
    </row>
    <row r="88" spans="1:6" s="1098" customFormat="1" ht="36">
      <c r="A88" s="1147">
        <v>28</v>
      </c>
      <c r="B88" s="3830"/>
      <c r="C88" s="1061" t="s">
        <v>1557</v>
      </c>
      <c r="D88" s="1061" t="s">
        <v>1558</v>
      </c>
      <c r="E88" s="1132">
        <v>0.2</v>
      </c>
      <c r="F88" s="1147">
        <v>30</v>
      </c>
    </row>
    <row r="89" spans="1:6" s="1098" customFormat="1" ht="24">
      <c r="A89" s="1147">
        <v>29</v>
      </c>
      <c r="B89" s="3830"/>
      <c r="C89" s="1061" t="s">
        <v>1559</v>
      </c>
      <c r="D89" s="1061" t="s">
        <v>1560</v>
      </c>
      <c r="E89" s="1132">
        <v>0.2</v>
      </c>
      <c r="F89" s="1147">
        <v>30</v>
      </c>
    </row>
    <row r="90" spans="1:6" s="1098" customFormat="1" ht="24">
      <c r="A90" s="1147">
        <v>30</v>
      </c>
      <c r="B90" s="3830"/>
      <c r="C90" s="1061" t="s">
        <v>1561</v>
      </c>
      <c r="D90" s="1061" t="s">
        <v>1562</v>
      </c>
      <c r="E90" s="1132">
        <v>0.2</v>
      </c>
      <c r="F90" s="1147">
        <v>30</v>
      </c>
    </row>
    <row r="91" spans="1:6" s="1098" customFormat="1" ht="36">
      <c r="A91" s="1147">
        <v>31</v>
      </c>
      <c r="B91" s="3830"/>
      <c r="C91" s="1061" t="s">
        <v>1563</v>
      </c>
      <c r="D91" s="1061" t="s">
        <v>1564</v>
      </c>
      <c r="E91" s="1132">
        <v>0.2</v>
      </c>
      <c r="F91" s="1147">
        <v>30</v>
      </c>
    </row>
    <row r="92" spans="1:6" s="1098" customFormat="1" ht="24">
      <c r="A92" s="1147">
        <v>32</v>
      </c>
      <c r="B92" s="3830" t="s">
        <v>1565</v>
      </c>
      <c r="C92" s="1147" t="s">
        <v>1566</v>
      </c>
      <c r="D92" s="1061" t="s">
        <v>1567</v>
      </c>
      <c r="E92" s="1132">
        <v>0.2</v>
      </c>
      <c r="F92" s="1147">
        <v>30</v>
      </c>
    </row>
    <row r="93" spans="1:6" s="1098" customFormat="1" ht="36">
      <c r="A93" s="1147">
        <v>33</v>
      </c>
      <c r="B93" s="3830"/>
      <c r="C93" s="1147" t="s">
        <v>1568</v>
      </c>
      <c r="D93" s="1061" t="s">
        <v>1569</v>
      </c>
      <c r="E93" s="1132">
        <v>0.2</v>
      </c>
      <c r="F93" s="1147">
        <v>30</v>
      </c>
    </row>
    <row r="94" spans="1:6" s="1098" customFormat="1" ht="48">
      <c r="A94" s="1147">
        <v>34</v>
      </c>
      <c r="B94" s="3830"/>
      <c r="C94" s="1147" t="s">
        <v>1570</v>
      </c>
      <c r="D94" s="1061" t="s">
        <v>1571</v>
      </c>
      <c r="E94" s="1132">
        <v>0.2</v>
      </c>
      <c r="F94" s="1147">
        <v>30</v>
      </c>
    </row>
    <row r="95" spans="1:6" s="1098" customFormat="1" ht="36">
      <c r="A95" s="1147">
        <v>35</v>
      </c>
      <c r="B95" s="3830"/>
      <c r="C95" s="1147" t="s">
        <v>1572</v>
      </c>
      <c r="D95" s="1061" t="s">
        <v>1573</v>
      </c>
      <c r="E95" s="1132">
        <v>0.2</v>
      </c>
      <c r="F95" s="1147">
        <v>30</v>
      </c>
    </row>
    <row r="96" spans="1:6" s="1098" customFormat="1" ht="48">
      <c r="A96" s="1147">
        <v>36</v>
      </c>
      <c r="B96" s="3830"/>
      <c r="C96" s="1061" t="s">
        <v>1574</v>
      </c>
      <c r="D96" s="1061" t="s">
        <v>1575</v>
      </c>
      <c r="E96" s="1132">
        <v>0.2</v>
      </c>
      <c r="F96" s="1147">
        <v>30</v>
      </c>
    </row>
    <row r="97" spans="1:6" s="1098" customFormat="1" ht="36">
      <c r="A97" s="1147">
        <v>37</v>
      </c>
      <c r="B97" s="3830"/>
      <c r="C97" s="1147" t="s">
        <v>1576</v>
      </c>
      <c r="D97" s="1061" t="s">
        <v>1577</v>
      </c>
      <c r="E97" s="1132">
        <v>0.2</v>
      </c>
      <c r="F97" s="1147">
        <v>30</v>
      </c>
    </row>
    <row r="98" spans="1:6" s="1098" customFormat="1" ht="36">
      <c r="A98" s="1147">
        <v>38</v>
      </c>
      <c r="B98" s="3830"/>
      <c r="C98" s="1147" t="s">
        <v>1578</v>
      </c>
      <c r="D98" s="1061" t="s">
        <v>1579</v>
      </c>
      <c r="E98" s="1132">
        <v>0.2</v>
      </c>
      <c r="F98" s="1147">
        <v>30</v>
      </c>
    </row>
    <row r="99" spans="1:6" s="1098" customFormat="1" ht="36">
      <c r="A99" s="1147">
        <v>39</v>
      </c>
      <c r="B99" s="3830" t="s">
        <v>1580</v>
      </c>
      <c r="C99" s="1147" t="s">
        <v>1581</v>
      </c>
      <c r="D99" s="1061" t="s">
        <v>1582</v>
      </c>
      <c r="E99" s="1132">
        <v>0.3</v>
      </c>
      <c r="F99" s="1147">
        <v>50</v>
      </c>
    </row>
    <row r="100" spans="1:6" s="1098" customFormat="1" ht="24">
      <c r="A100" s="1147">
        <v>40</v>
      </c>
      <c r="B100" s="3830"/>
      <c r="C100" s="1147" t="s">
        <v>1583</v>
      </c>
      <c r="D100" s="1061" t="s">
        <v>1584</v>
      </c>
      <c r="E100" s="1132">
        <v>0.2</v>
      </c>
      <c r="F100" s="1147">
        <v>30</v>
      </c>
    </row>
    <row r="101" spans="1:6" s="1098" customFormat="1" ht="36">
      <c r="A101" s="1147">
        <v>41</v>
      </c>
      <c r="B101" s="3830"/>
      <c r="C101" s="1147" t="s">
        <v>1585</v>
      </c>
      <c r="D101" s="1061" t="s">
        <v>1582</v>
      </c>
      <c r="E101" s="1132">
        <v>0.2</v>
      </c>
      <c r="F101" s="1147">
        <v>30</v>
      </c>
    </row>
    <row r="102" spans="1:6" s="1098" customFormat="1" ht="48">
      <c r="A102" s="1147">
        <v>42</v>
      </c>
      <c r="B102" s="1147" t="s">
        <v>1586</v>
      </c>
      <c r="C102" s="1061" t="s">
        <v>1587</v>
      </c>
      <c r="D102" s="1061" t="s">
        <v>1588</v>
      </c>
      <c r="E102" s="1132">
        <v>0.2</v>
      </c>
      <c r="F102" s="1147">
        <v>30</v>
      </c>
    </row>
    <row r="103" spans="1:6" s="1098" customFormat="1" ht="24">
      <c r="A103" s="1147">
        <v>43</v>
      </c>
      <c r="B103" s="1147" t="s">
        <v>1589</v>
      </c>
      <c r="C103" s="1147" t="s">
        <v>1590</v>
      </c>
      <c r="D103" s="1061" t="s">
        <v>1591</v>
      </c>
      <c r="E103" s="1132">
        <v>0.2</v>
      </c>
      <c r="F103" s="1147">
        <v>30</v>
      </c>
    </row>
    <row r="104" spans="1:6" s="1098" customFormat="1" ht="36">
      <c r="A104" s="1147">
        <v>44</v>
      </c>
      <c r="B104" s="1147" t="s">
        <v>1592</v>
      </c>
      <c r="C104" s="1147" t="s">
        <v>1593</v>
      </c>
      <c r="D104" s="1061" t="s">
        <v>1594</v>
      </c>
      <c r="E104" s="1132">
        <v>0.2</v>
      </c>
      <c r="F104" s="1147">
        <v>30</v>
      </c>
    </row>
    <row r="105" spans="1:6" s="1098" customFormat="1" ht="36">
      <c r="A105" s="1147">
        <v>45</v>
      </c>
      <c r="B105" s="3830" t="s">
        <v>1595</v>
      </c>
      <c r="C105" s="1147" t="s">
        <v>1596</v>
      </c>
      <c r="D105" s="1061" t="s">
        <v>1597</v>
      </c>
      <c r="E105" s="1132">
        <v>0.2</v>
      </c>
      <c r="F105" s="1147">
        <v>30</v>
      </c>
    </row>
    <row r="106" spans="1:6" s="1098" customFormat="1" ht="36">
      <c r="A106" s="1147">
        <v>46</v>
      </c>
      <c r="B106" s="3830"/>
      <c r="C106" s="1147" t="s">
        <v>1598</v>
      </c>
      <c r="D106" s="1061" t="s">
        <v>1599</v>
      </c>
      <c r="E106" s="1132">
        <v>0.2</v>
      </c>
      <c r="F106" s="1147">
        <v>30</v>
      </c>
    </row>
    <row r="107" spans="1:6" s="1098" customFormat="1" ht="36">
      <c r="A107" s="1147">
        <v>47</v>
      </c>
      <c r="B107" s="3830" t="s">
        <v>1600</v>
      </c>
      <c r="C107" s="1147" t="s">
        <v>1601</v>
      </c>
      <c r="D107" s="1061" t="s">
        <v>1602</v>
      </c>
      <c r="E107" s="1132">
        <v>0.3</v>
      </c>
      <c r="F107" s="1147">
        <v>50</v>
      </c>
    </row>
    <row r="108" spans="1:6" s="1098" customFormat="1" ht="36">
      <c r="A108" s="1147">
        <v>48</v>
      </c>
      <c r="B108" s="3830"/>
      <c r="C108" s="1147" t="s">
        <v>1603</v>
      </c>
      <c r="D108" s="1061" t="s">
        <v>1604</v>
      </c>
      <c r="E108" s="1132">
        <v>0.2</v>
      </c>
      <c r="F108" s="1147">
        <v>30</v>
      </c>
    </row>
    <row r="109" spans="1:6" s="1098" customFormat="1" ht="36">
      <c r="A109" s="1147">
        <v>49</v>
      </c>
      <c r="B109" s="1147" t="s">
        <v>1605</v>
      </c>
      <c r="C109" s="1147" t="s">
        <v>1606</v>
      </c>
      <c r="D109" s="1061" t="s">
        <v>1607</v>
      </c>
      <c r="E109" s="1132">
        <v>0.2</v>
      </c>
      <c r="F109" s="1147">
        <v>30</v>
      </c>
    </row>
    <row r="110" spans="1:6" s="1098" customFormat="1" ht="36">
      <c r="A110" s="1147">
        <v>50</v>
      </c>
      <c r="B110" s="1147" t="s">
        <v>1608</v>
      </c>
      <c r="C110" s="1147" t="s">
        <v>1609</v>
      </c>
      <c r="D110" s="1061" t="s">
        <v>1610</v>
      </c>
      <c r="E110" s="1132">
        <v>0.2</v>
      </c>
      <c r="F110" s="1147">
        <v>30</v>
      </c>
    </row>
    <row r="111" spans="1:6" s="1098" customFormat="1" ht="36">
      <c r="A111" s="1147">
        <v>51</v>
      </c>
      <c r="B111" s="3830" t="s">
        <v>1611</v>
      </c>
      <c r="C111" s="1147" t="s">
        <v>1612</v>
      </c>
      <c r="D111" s="1061" t="s">
        <v>1613</v>
      </c>
      <c r="E111" s="1132">
        <v>0.2</v>
      </c>
      <c r="F111" s="1147">
        <v>30</v>
      </c>
    </row>
    <row r="112" spans="1:6" s="1098" customFormat="1" ht="24">
      <c r="A112" s="1147">
        <v>52</v>
      </c>
      <c r="B112" s="3830"/>
      <c r="C112" s="1147" t="s">
        <v>1614</v>
      </c>
      <c r="D112" s="1061" t="s">
        <v>1615</v>
      </c>
      <c r="E112" s="1132">
        <v>0.2</v>
      </c>
      <c r="F112" s="1147">
        <v>30</v>
      </c>
    </row>
    <row r="113" spans="1:14" s="1098" customFormat="1" ht="24">
      <c r="A113" s="1147">
        <v>53</v>
      </c>
      <c r="B113" s="3830"/>
      <c r="C113" s="1147" t="s">
        <v>1616</v>
      </c>
      <c r="D113" s="1061" t="s">
        <v>1617</v>
      </c>
      <c r="E113" s="1132">
        <v>0.2</v>
      </c>
      <c r="F113" s="1147">
        <v>30</v>
      </c>
    </row>
    <row r="114" spans="1:14" ht="36">
      <c r="A114" s="1147">
        <v>54</v>
      </c>
      <c r="B114" s="1147" t="s">
        <v>1618</v>
      </c>
      <c r="C114" s="1147" t="s">
        <v>1619</v>
      </c>
      <c r="D114" s="1061" t="s">
        <v>1620</v>
      </c>
      <c r="E114" s="1132">
        <v>0.2</v>
      </c>
      <c r="F114" s="1147">
        <v>30</v>
      </c>
    </row>
    <row r="115" spans="1:14" ht="24">
      <c r="A115" s="1147">
        <v>55</v>
      </c>
      <c r="B115" s="1147" t="s">
        <v>1621</v>
      </c>
      <c r="C115" s="1147" t="s">
        <v>1622</v>
      </c>
      <c r="D115" s="1061" t="s">
        <v>1623</v>
      </c>
      <c r="E115" s="1132">
        <v>0.2</v>
      </c>
      <c r="F115" s="1147">
        <v>30</v>
      </c>
    </row>
    <row r="116" spans="1:14" ht="24">
      <c r="A116" s="1147">
        <v>56</v>
      </c>
      <c r="B116" s="3830" t="s">
        <v>1624</v>
      </c>
      <c r="C116" s="1147" t="s">
        <v>1625</v>
      </c>
      <c r="D116" s="1061" t="s">
        <v>1626</v>
      </c>
      <c r="E116" s="1132">
        <v>0.2</v>
      </c>
      <c r="F116" s="1147">
        <v>30</v>
      </c>
    </row>
    <row r="117" spans="1:14" ht="36">
      <c r="A117" s="1147">
        <v>57</v>
      </c>
      <c r="B117" s="3830"/>
      <c r="C117" s="1147" t="s">
        <v>1627</v>
      </c>
      <c r="D117" s="1061" t="s">
        <v>1628</v>
      </c>
      <c r="E117" s="1132">
        <v>0.2</v>
      </c>
      <c r="F117" s="1147">
        <v>30</v>
      </c>
    </row>
    <row r="118" spans="1:14" ht="36">
      <c r="A118" s="1147">
        <v>58</v>
      </c>
      <c r="B118" s="1147" t="s">
        <v>1629</v>
      </c>
      <c r="C118" s="1147" t="s">
        <v>1630</v>
      </c>
      <c r="D118" s="1061" t="s">
        <v>1631</v>
      </c>
      <c r="E118" s="1132">
        <v>0.2</v>
      </c>
      <c r="F118" s="1147">
        <v>30</v>
      </c>
    </row>
    <row r="119" spans="1:14" ht="13.5">
      <c r="A119" s="1147"/>
      <c r="B119" s="1147"/>
      <c r="C119" s="1147"/>
      <c r="D119" s="1147"/>
      <c r="E119" s="1132"/>
      <c r="F119" s="1147"/>
    </row>
    <row r="121" spans="1:14" ht="19.5" customHeight="1">
      <c r="A121" s="3829" t="s">
        <v>1633</v>
      </c>
      <c r="B121" s="3829"/>
      <c r="C121" s="3829"/>
      <c r="D121" s="3829"/>
      <c r="E121" s="3829"/>
      <c r="F121" s="3829"/>
      <c r="G121" s="3829"/>
      <c r="H121" s="3829"/>
      <c r="I121" s="3829"/>
      <c r="J121" s="3829"/>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44" t="s">
        <v>1039</v>
      </c>
      <c r="B1" s="3844"/>
      <c r="C1" s="3844"/>
      <c r="D1" s="3844"/>
      <c r="E1" s="3844"/>
      <c r="F1" s="3844"/>
      <c r="H1" s="1063"/>
      <c r="I1" s="1064" t="s">
        <v>1040</v>
      </c>
      <c r="J1" s="1065" t="s">
        <v>1041</v>
      </c>
      <c r="K1" s="1065" t="s">
        <v>1042</v>
      </c>
      <c r="L1" s="1065" t="s">
        <v>1043</v>
      </c>
      <c r="M1" s="1065" t="s">
        <v>1044</v>
      </c>
      <c r="N1" s="1065" t="s">
        <v>1045</v>
      </c>
      <c r="O1" s="1065" t="s">
        <v>1046</v>
      </c>
      <c r="P1" s="1065" t="s">
        <v>1047</v>
      </c>
      <c r="Q1" s="1065" t="s">
        <v>1048</v>
      </c>
      <c r="R1" s="1065" t="s">
        <v>1049</v>
      </c>
      <c r="S1" s="1065" t="s">
        <v>1050</v>
      </c>
      <c r="T1" s="1066" t="s">
        <v>1051</v>
      </c>
    </row>
    <row r="2" spans="1:20" ht="14.25" thickBot="1">
      <c r="A2" s="3845" t="s">
        <v>1052</v>
      </c>
      <c r="B2" s="3845"/>
      <c r="C2" s="3845"/>
      <c r="D2" s="3845"/>
      <c r="E2" s="3845"/>
      <c r="F2" s="3845"/>
      <c r="I2" s="1067" t="s">
        <v>1053</v>
      </c>
      <c r="J2" s="1068" t="s">
        <v>1054</v>
      </c>
      <c r="K2" s="1068" t="s">
        <v>1055</v>
      </c>
      <c r="L2" s="1068" t="s">
        <v>1056</v>
      </c>
      <c r="M2" s="1068" t="s">
        <v>1057</v>
      </c>
      <c r="N2" s="1068" t="s">
        <v>1058</v>
      </c>
      <c r="O2" s="1068" t="s">
        <v>1059</v>
      </c>
      <c r="P2" s="1068" t="s">
        <v>1060</v>
      </c>
      <c r="Q2" s="1068" t="s">
        <v>1061</v>
      </c>
      <c r="R2" s="1068" t="s">
        <v>1062</v>
      </c>
      <c r="S2" s="1068" t="s">
        <v>1063</v>
      </c>
      <c r="T2" s="1068" t="s">
        <v>1064</v>
      </c>
    </row>
    <row r="3" spans="1:20" s="1063" customFormat="1" ht="19.5" customHeight="1">
      <c r="A3" s="3846" t="s">
        <v>1065</v>
      </c>
      <c r="B3" s="1069"/>
      <c r="C3" s="1070" t="s">
        <v>1066</v>
      </c>
      <c r="D3" s="1070" t="s">
        <v>1067</v>
      </c>
      <c r="E3" s="1070" t="s">
        <v>1068</v>
      </c>
      <c r="F3" s="1070" t="s">
        <v>1069</v>
      </c>
      <c r="G3" s="1071"/>
      <c r="I3" s="1067" t="s">
        <v>1070</v>
      </c>
      <c r="J3" s="1068" t="s">
        <v>1071</v>
      </c>
      <c r="K3" s="1068" t="s">
        <v>1072</v>
      </c>
      <c r="L3" s="1068" t="s">
        <v>1073</v>
      </c>
      <c r="M3" s="1068" t="s">
        <v>1074</v>
      </c>
      <c r="N3" s="1068" t="s">
        <v>1075</v>
      </c>
      <c r="O3" s="1068" t="s">
        <v>1076</v>
      </c>
      <c r="P3" s="1068" t="s">
        <v>1077</v>
      </c>
      <c r="Q3" s="1068" t="s">
        <v>1078</v>
      </c>
      <c r="R3" s="1068" t="s">
        <v>1079</v>
      </c>
      <c r="S3" s="1068" t="s">
        <v>1080</v>
      </c>
      <c r="T3" s="1068" t="s">
        <v>1081</v>
      </c>
    </row>
    <row r="4" spans="1:20" s="1063" customFormat="1" ht="19.5" customHeight="1" thickBot="1">
      <c r="A4" s="3847"/>
      <c r="B4" s="1072" t="s">
        <v>1082</v>
      </c>
      <c r="C4" s="1072" t="s">
        <v>1083</v>
      </c>
      <c r="D4" s="1072" t="s">
        <v>1083</v>
      </c>
      <c r="E4" s="1072" t="s">
        <v>1083</v>
      </c>
      <c r="F4" s="1073" t="s">
        <v>1083</v>
      </c>
      <c r="G4" s="1071"/>
      <c r="I4" s="1067" t="s">
        <v>1084</v>
      </c>
      <c r="J4" s="1068" t="s">
        <v>1085</v>
      </c>
      <c r="K4" s="1068" t="s">
        <v>1086</v>
      </c>
      <c r="L4" s="1068" t="s">
        <v>1087</v>
      </c>
      <c r="M4" s="1068" t="s">
        <v>1088</v>
      </c>
      <c r="N4" s="1068" t="s">
        <v>1089</v>
      </c>
      <c r="O4" s="1068" t="s">
        <v>1090</v>
      </c>
      <c r="P4" s="1068" t="s">
        <v>1091</v>
      </c>
      <c r="Q4" s="1068" t="s">
        <v>1092</v>
      </c>
      <c r="R4" s="1068" t="s">
        <v>1093</v>
      </c>
      <c r="S4" s="1068" t="s">
        <v>1094</v>
      </c>
      <c r="T4" s="1068" t="s">
        <v>1095</v>
      </c>
    </row>
    <row r="5" spans="1:20" ht="14.25" customHeight="1" thickBot="1">
      <c r="A5" s="1074" t="s">
        <v>1096</v>
      </c>
      <c r="B5" s="1075" t="s">
        <v>1053</v>
      </c>
      <c r="C5" s="1075">
        <v>29530</v>
      </c>
      <c r="D5" s="1075">
        <v>28130</v>
      </c>
      <c r="E5" s="1075">
        <v>27930</v>
      </c>
      <c r="F5" s="1076">
        <v>11300</v>
      </c>
      <c r="G5" s="1077" t="s">
        <v>1040</v>
      </c>
      <c r="H5" s="1078">
        <f>SUMPRODUCT((B5:B9=基准地价!I2)*(C3:F3=基准地价!E2)*(C5:F9))</f>
        <v>0</v>
      </c>
      <c r="I5" s="1067" t="s">
        <v>1097</v>
      </c>
      <c r="J5" s="1068" t="s">
        <v>1098</v>
      </c>
      <c r="K5" s="1068" t="s">
        <v>1099</v>
      </c>
      <c r="L5" s="1068" t="s">
        <v>1100</v>
      </c>
      <c r="M5" s="1068" t="s">
        <v>1101</v>
      </c>
      <c r="N5" s="1068" t="s">
        <v>1102</v>
      </c>
      <c r="O5" s="1068" t="s">
        <v>1103</v>
      </c>
      <c r="P5" s="1068" t="s">
        <v>1104</v>
      </c>
      <c r="Q5" s="1068" t="s">
        <v>1105</v>
      </c>
      <c r="R5" s="1068" t="s">
        <v>1106</v>
      </c>
      <c r="S5" s="1068" t="s">
        <v>1107</v>
      </c>
      <c r="T5" s="1068" t="s">
        <v>1108</v>
      </c>
    </row>
    <row r="6" spans="1:20" ht="14.25" customHeight="1" thickBot="1">
      <c r="A6" s="1074" t="s">
        <v>1096</v>
      </c>
      <c r="B6" s="1068" t="s">
        <v>1109</v>
      </c>
      <c r="C6" s="1068">
        <v>30290</v>
      </c>
      <c r="D6" s="1068">
        <v>29210</v>
      </c>
      <c r="E6" s="1068">
        <v>28860</v>
      </c>
      <c r="F6" s="1079">
        <v>12600</v>
      </c>
      <c r="G6" s="1080" t="s">
        <v>1110</v>
      </c>
      <c r="H6" s="1081">
        <f>SUMPRODUCT((B10:B28=基准地价!I2)*(C3:F3=基准地价!E2)*(C10:F28))</f>
        <v>0</v>
      </c>
      <c r="I6" s="1067" t="s">
        <v>1111</v>
      </c>
      <c r="J6" s="1068" t="s">
        <v>1112</v>
      </c>
      <c r="K6" s="1068" t="s">
        <v>1113</v>
      </c>
      <c r="L6" s="1068" t="s">
        <v>1114</v>
      </c>
      <c r="M6" s="1068" t="s">
        <v>1115</v>
      </c>
      <c r="N6" s="1068" t="s">
        <v>1116</v>
      </c>
      <c r="O6" s="1068" t="s">
        <v>1117</v>
      </c>
      <c r="P6" s="1068" t="s">
        <v>1118</v>
      </c>
      <c r="Q6" s="1068" t="s">
        <v>1119</v>
      </c>
      <c r="R6" s="1068" t="s">
        <v>1120</v>
      </c>
      <c r="S6" s="1068" t="s">
        <v>1121</v>
      </c>
      <c r="T6" s="1068" t="s">
        <v>1122</v>
      </c>
    </row>
    <row r="7" spans="1:20" ht="14.25" customHeight="1" thickBot="1">
      <c r="A7" s="1074" t="s">
        <v>1096</v>
      </c>
      <c r="B7" s="1082" t="s">
        <v>1084</v>
      </c>
      <c r="C7" s="1068">
        <v>29350</v>
      </c>
      <c r="D7" s="1068">
        <v>28410</v>
      </c>
      <c r="E7" s="1068">
        <v>27990</v>
      </c>
      <c r="F7" s="1079">
        <v>12300</v>
      </c>
      <c r="G7" s="1080" t="s">
        <v>909</v>
      </c>
      <c r="H7" s="1081">
        <f>SUMPRODUCT((B29:B48=基准地价!I2)*(C3:F3=基准地价!E2)*(C29:F48))</f>
        <v>0</v>
      </c>
      <c r="J7" s="1068" t="s">
        <v>1123</v>
      </c>
      <c r="K7" s="1068" t="s">
        <v>1124</v>
      </c>
      <c r="L7" s="1068" t="s">
        <v>1125</v>
      </c>
      <c r="M7" s="1068" t="s">
        <v>1126</v>
      </c>
      <c r="N7" s="1068" t="s">
        <v>1127</v>
      </c>
      <c r="O7" s="1068" t="s">
        <v>1128</v>
      </c>
      <c r="P7" s="1068" t="s">
        <v>1129</v>
      </c>
      <c r="Q7" s="1068" t="s">
        <v>1130</v>
      </c>
      <c r="R7" s="1068" t="s">
        <v>1131</v>
      </c>
      <c r="S7" s="1068" t="s">
        <v>1132</v>
      </c>
      <c r="T7" s="1082" t="s">
        <v>1133</v>
      </c>
    </row>
    <row r="8" spans="1:20" ht="14.25" customHeight="1" thickBot="1">
      <c r="A8" s="1074" t="s">
        <v>1096</v>
      </c>
      <c r="B8" s="1068" t="s">
        <v>1097</v>
      </c>
      <c r="C8" s="1068">
        <v>30890</v>
      </c>
      <c r="D8" s="1068">
        <v>29780</v>
      </c>
      <c r="E8" s="1068">
        <v>29270</v>
      </c>
      <c r="F8" s="1079">
        <v>11600</v>
      </c>
      <c r="G8" s="1080" t="s">
        <v>910</v>
      </c>
      <c r="H8" s="1081">
        <f>SUMPRODUCT((B49:B75=基准地价!I2)*(C3:F3=基准地价!E2)*(C49:F75))</f>
        <v>0</v>
      </c>
      <c r="J8" s="1068" t="s">
        <v>1134</v>
      </c>
      <c r="K8" s="1068" t="s">
        <v>1135</v>
      </c>
      <c r="L8" s="1068" t="s">
        <v>1136</v>
      </c>
      <c r="M8" s="1068" t="s">
        <v>1137</v>
      </c>
      <c r="N8" s="1068" t="s">
        <v>1138</v>
      </c>
      <c r="O8" s="1068" t="s">
        <v>1139</v>
      </c>
      <c r="P8" s="1068" t="s">
        <v>1140</v>
      </c>
      <c r="Q8" s="1068" t="s">
        <v>1141</v>
      </c>
      <c r="R8" s="1068" t="s">
        <v>1142</v>
      </c>
      <c r="S8" s="1068" t="s">
        <v>1143</v>
      </c>
      <c r="T8" s="1068" t="s">
        <v>1144</v>
      </c>
    </row>
    <row r="9" spans="1:20" ht="14.25" customHeight="1" thickBot="1">
      <c r="A9" s="1074" t="s">
        <v>1096</v>
      </c>
      <c r="B9" s="1083" t="s">
        <v>1111</v>
      </c>
      <c r="C9" s="1084">
        <v>28140</v>
      </c>
      <c r="D9" s="1084"/>
      <c r="E9" s="1084"/>
      <c r="F9" s="1085"/>
      <c r="G9" s="1080" t="s">
        <v>911</v>
      </c>
      <c r="H9" s="1081">
        <f>SUMPRODUCT((B76:B109=基准地价!I2)*(C3:F3=基准地价!E2)*(C76:F109))</f>
        <v>0</v>
      </c>
      <c r="J9" s="1068" t="s">
        <v>1145</v>
      </c>
      <c r="K9" s="1068" t="s">
        <v>1146</v>
      </c>
      <c r="L9" s="1068" t="s">
        <v>1147</v>
      </c>
      <c r="M9" s="1068" t="s">
        <v>1148</v>
      </c>
      <c r="N9" s="1068" t="s">
        <v>1149</v>
      </c>
      <c r="O9" s="1068" t="s">
        <v>1150</v>
      </c>
      <c r="P9" s="1068" t="s">
        <v>1151</v>
      </c>
      <c r="Q9" s="1068" t="s">
        <v>1152</v>
      </c>
      <c r="R9" s="1068" t="s">
        <v>1153</v>
      </c>
      <c r="S9" s="1068" t="s">
        <v>1154</v>
      </c>
    </row>
    <row r="10" spans="1:20" ht="14.25" customHeight="1" thickBot="1">
      <c r="A10" s="1074" t="s">
        <v>1155</v>
      </c>
      <c r="B10" s="1075" t="s">
        <v>1156</v>
      </c>
      <c r="C10" s="1075">
        <v>27450</v>
      </c>
      <c r="D10" s="1075">
        <v>26180</v>
      </c>
      <c r="E10" s="1075">
        <v>25980</v>
      </c>
      <c r="F10" s="1076">
        <v>8910</v>
      </c>
      <c r="G10" s="1080" t="s">
        <v>912</v>
      </c>
      <c r="H10" s="1081">
        <f>SUMPRODUCT((B110:B157=基准地价!I2)*(C3:F3=基准地价!E2)*(C110:F157))</f>
        <v>0</v>
      </c>
      <c r="J10" s="1068" t="s">
        <v>1157</v>
      </c>
      <c r="K10" s="1068" t="s">
        <v>1158</v>
      </c>
      <c r="L10" s="1068" t="s">
        <v>1159</v>
      </c>
      <c r="M10" s="1068" t="s">
        <v>1160</v>
      </c>
      <c r="N10" s="1068" t="s">
        <v>1161</v>
      </c>
      <c r="O10" s="1068" t="s">
        <v>1162</v>
      </c>
      <c r="P10" s="1068" t="s">
        <v>1163</v>
      </c>
      <c r="Q10" s="1068" t="s">
        <v>1164</v>
      </c>
      <c r="R10" s="1068" t="s">
        <v>1165</v>
      </c>
      <c r="S10" s="1068" t="s">
        <v>1166</v>
      </c>
    </row>
    <row r="11" spans="1:20" ht="14.25" customHeight="1" thickBot="1">
      <c r="A11" s="1074" t="s">
        <v>1155</v>
      </c>
      <c r="B11" s="1082" t="s">
        <v>1071</v>
      </c>
      <c r="C11" s="1068">
        <v>22950</v>
      </c>
      <c r="D11" s="1068">
        <v>22630</v>
      </c>
      <c r="E11" s="1068">
        <v>22030</v>
      </c>
      <c r="F11" s="1086">
        <v>8330</v>
      </c>
      <c r="G11" s="1080" t="s">
        <v>913</v>
      </c>
      <c r="H11" s="1081">
        <f>SUMPRODUCT((B158:B205=基准地价!I2)*(C3:F3=基准地价!E2)*(C158:F205))</f>
        <v>0</v>
      </c>
      <c r="J11" s="1068" t="s">
        <v>1167</v>
      </c>
      <c r="K11" s="1068" t="s">
        <v>1168</v>
      </c>
      <c r="L11" s="1068" t="s">
        <v>1169</v>
      </c>
      <c r="M11" s="1068" t="s">
        <v>1170</v>
      </c>
      <c r="N11" s="1068" t="s">
        <v>1171</v>
      </c>
      <c r="O11" s="1068" t="s">
        <v>1172</v>
      </c>
      <c r="P11" s="1068" t="s">
        <v>1173</v>
      </c>
      <c r="Q11" s="1068" t="s">
        <v>1174</v>
      </c>
      <c r="R11" s="1068" t="s">
        <v>1175</v>
      </c>
      <c r="S11" s="1068" t="s">
        <v>1176</v>
      </c>
    </row>
    <row r="12" spans="1:20" ht="14.25" customHeight="1" thickBot="1">
      <c r="A12" s="1074" t="s">
        <v>1155</v>
      </c>
      <c r="B12" s="1082" t="s">
        <v>1085</v>
      </c>
      <c r="C12" s="1068">
        <v>24940</v>
      </c>
      <c r="D12" s="1068">
        <v>23180</v>
      </c>
      <c r="E12" s="1068">
        <v>22910</v>
      </c>
      <c r="F12" s="1086">
        <v>7180</v>
      </c>
      <c r="G12" s="1080" t="s">
        <v>914</v>
      </c>
      <c r="H12" s="1081">
        <f>SUMPRODUCT((B206:B244=基准地价!I2)*(C3:F3=基准地价!E2)*(C206:F244))</f>
        <v>0</v>
      </c>
      <c r="J12" s="1068" t="s">
        <v>1177</v>
      </c>
      <c r="K12" s="1068" t="s">
        <v>1178</v>
      </c>
      <c r="L12" s="1068" t="s">
        <v>1179</v>
      </c>
      <c r="M12" s="1068" t="s">
        <v>1180</v>
      </c>
      <c r="N12" s="1068" t="s">
        <v>1181</v>
      </c>
      <c r="O12" s="1068" t="s">
        <v>1182</v>
      </c>
      <c r="P12" s="1068" t="s">
        <v>1183</v>
      </c>
      <c r="Q12" s="1068" t="s">
        <v>1184</v>
      </c>
      <c r="R12" s="1068" t="s">
        <v>1185</v>
      </c>
      <c r="S12" s="1068" t="s">
        <v>1186</v>
      </c>
    </row>
    <row r="13" spans="1:20" ht="14.25" customHeight="1" thickBot="1">
      <c r="A13" s="1074" t="s">
        <v>1155</v>
      </c>
      <c r="B13" s="1082" t="s">
        <v>1098</v>
      </c>
      <c r="C13" s="1068">
        <v>24140</v>
      </c>
      <c r="D13" s="1068">
        <v>22270</v>
      </c>
      <c r="E13" s="1068">
        <v>21950</v>
      </c>
      <c r="F13" s="1086">
        <v>7600</v>
      </c>
      <c r="G13" s="1080" t="s">
        <v>915</v>
      </c>
      <c r="H13" s="1081">
        <f>SUMPRODUCT((B245:B289=基准地价!I2)*(C3:F3=基准地价!E2)*(C245:F289))</f>
        <v>0</v>
      </c>
      <c r="J13" s="1068" t="s">
        <v>1187</v>
      </c>
      <c r="K13" s="1068" t="s">
        <v>1188</v>
      </c>
      <c r="L13" s="1068" t="s">
        <v>1189</v>
      </c>
      <c r="M13" s="1068" t="s">
        <v>1190</v>
      </c>
      <c r="N13" s="1068" t="s">
        <v>1191</v>
      </c>
      <c r="O13" s="1068" t="s">
        <v>1192</v>
      </c>
      <c r="P13" s="1068" t="s">
        <v>1193</v>
      </c>
      <c r="Q13" s="1068" t="s">
        <v>1194</v>
      </c>
      <c r="R13" s="1068" t="s">
        <v>1195</v>
      </c>
      <c r="S13" s="1068" t="s">
        <v>1196</v>
      </c>
    </row>
    <row r="14" spans="1:20" ht="14.25" customHeight="1" thickBot="1">
      <c r="A14" s="1074" t="s">
        <v>1155</v>
      </c>
      <c r="B14" s="1082" t="s">
        <v>1112</v>
      </c>
      <c r="C14" s="1068">
        <v>25600</v>
      </c>
      <c r="D14" s="1068">
        <v>22260</v>
      </c>
      <c r="E14" s="1068">
        <v>22110</v>
      </c>
      <c r="F14" s="1086">
        <v>7630</v>
      </c>
      <c r="G14" s="1080" t="s">
        <v>916</v>
      </c>
      <c r="H14" s="1081">
        <f>SUMPRODUCT((B290:B316=基准地价!I2)*(C3:F3=基准地价!E2)*(C290:F316))</f>
        <v>0</v>
      </c>
      <c r="J14" s="1068" t="s">
        <v>1197</v>
      </c>
      <c r="K14" s="1068" t="s">
        <v>1198</v>
      </c>
      <c r="L14" s="1068" t="s">
        <v>1199</v>
      </c>
      <c r="M14" s="1068" t="s">
        <v>1200</v>
      </c>
      <c r="N14" s="1068" t="s">
        <v>1201</v>
      </c>
      <c r="O14" s="1068" t="s">
        <v>1202</v>
      </c>
      <c r="P14" s="1068" t="s">
        <v>1203</v>
      </c>
      <c r="Q14" s="1068" t="s">
        <v>1204</v>
      </c>
      <c r="R14" s="1068" t="s">
        <v>1205</v>
      </c>
      <c r="S14" s="1068" t="s">
        <v>1206</v>
      </c>
    </row>
    <row r="15" spans="1:20" ht="14.25" customHeight="1" thickBot="1">
      <c r="A15" s="1074" t="s">
        <v>1155</v>
      </c>
      <c r="B15" s="1082" t="s">
        <v>1123</v>
      </c>
      <c r="C15" s="1068">
        <v>24760</v>
      </c>
      <c r="D15" s="1068">
        <v>24440</v>
      </c>
      <c r="E15" s="1068">
        <v>24130</v>
      </c>
      <c r="F15" s="1086">
        <v>9480</v>
      </c>
      <c r="G15" s="1080" t="s">
        <v>917</v>
      </c>
      <c r="H15" s="1081">
        <f>SUMPRODUCT((B317:B337=基准地价!I2)*(C3:F3=基准地价!E2)*(C317:F337))</f>
        <v>0</v>
      </c>
      <c r="J15" s="1068" t="s">
        <v>1207</v>
      </c>
      <c r="K15" s="1068" t="s">
        <v>1208</v>
      </c>
      <c r="L15" s="1068" t="s">
        <v>1209</v>
      </c>
      <c r="M15" s="1068" t="s">
        <v>1210</v>
      </c>
      <c r="N15" s="1068" t="s">
        <v>1211</v>
      </c>
      <c r="O15" s="1068" t="s">
        <v>1212</v>
      </c>
      <c r="P15" s="1068" t="s">
        <v>1213</v>
      </c>
      <c r="Q15" s="1068" t="s">
        <v>1214</v>
      </c>
      <c r="R15" s="1068" t="s">
        <v>1215</v>
      </c>
      <c r="S15" s="1068" t="s">
        <v>1216</v>
      </c>
    </row>
    <row r="16" spans="1:20" ht="14.25" customHeight="1" thickBot="1">
      <c r="A16" s="1074" t="s">
        <v>1155</v>
      </c>
      <c r="B16" s="1082" t="s">
        <v>1134</v>
      </c>
      <c r="C16" s="1068">
        <v>22220</v>
      </c>
      <c r="D16" s="1068">
        <v>22310</v>
      </c>
      <c r="E16" s="1068">
        <v>22000</v>
      </c>
      <c r="F16" s="1086">
        <v>8900</v>
      </c>
      <c r="G16" s="1087" t="s">
        <v>918</v>
      </c>
      <c r="H16" s="1088">
        <f>SUMPRODUCT((B338:B344=基准地价!I2)*(C3:F3=基准地价!E2)*(C338:F344))</f>
        <v>0</v>
      </c>
      <c r="J16" s="1068" t="s">
        <v>1217</v>
      </c>
      <c r="K16" s="1068" t="s">
        <v>1218</v>
      </c>
      <c r="L16" s="1068" t="s">
        <v>1219</v>
      </c>
      <c r="M16" s="1068" t="s">
        <v>1220</v>
      </c>
      <c r="N16" s="1068" t="s">
        <v>1221</v>
      </c>
      <c r="O16" s="1068" t="s">
        <v>1222</v>
      </c>
      <c r="P16" s="1068" t="s">
        <v>1223</v>
      </c>
      <c r="Q16" s="1068" t="s">
        <v>1224</v>
      </c>
      <c r="R16" s="1068" t="s">
        <v>1225</v>
      </c>
      <c r="S16" s="1068" t="s">
        <v>1226</v>
      </c>
    </row>
    <row r="17" spans="1:19" ht="14.25" customHeight="1" thickBot="1">
      <c r="A17" s="1074" t="s">
        <v>1155</v>
      </c>
      <c r="B17" s="1082" t="s">
        <v>1145</v>
      </c>
      <c r="C17" s="1068">
        <v>24700</v>
      </c>
      <c r="D17" s="1068">
        <v>25150</v>
      </c>
      <c r="E17" s="1068">
        <v>24700</v>
      </c>
      <c r="F17" s="1089"/>
      <c r="H17" s="1090"/>
      <c r="J17" s="1068" t="s">
        <v>1227</v>
      </c>
      <c r="K17" s="1068" t="s">
        <v>1228</v>
      </c>
      <c r="L17" s="1068" t="s">
        <v>1229</v>
      </c>
      <c r="M17" s="1068" t="s">
        <v>1230</v>
      </c>
      <c r="N17" s="1068" t="s">
        <v>1231</v>
      </c>
      <c r="O17" s="1068" t="s">
        <v>1232</v>
      </c>
      <c r="P17" s="1068" t="s">
        <v>1233</v>
      </c>
      <c r="Q17" s="1068" t="s">
        <v>1234</v>
      </c>
      <c r="R17" s="1068" t="s">
        <v>1235</v>
      </c>
      <c r="S17" s="1068" t="s">
        <v>1236</v>
      </c>
    </row>
    <row r="18" spans="1:19" ht="14.25" customHeight="1" thickBot="1">
      <c r="A18" s="1074" t="s">
        <v>1155</v>
      </c>
      <c r="B18" s="1082" t="s">
        <v>1157</v>
      </c>
      <c r="C18" s="1068">
        <v>22350</v>
      </c>
      <c r="D18" s="1068">
        <v>24340</v>
      </c>
      <c r="E18" s="1068">
        <v>24100</v>
      </c>
      <c r="F18" s="1089"/>
      <c r="H18" s="1090"/>
      <c r="J18" s="1068" t="s">
        <v>1237</v>
      </c>
      <c r="K18" s="1068" t="s">
        <v>1238</v>
      </c>
      <c r="L18" s="1068" t="s">
        <v>1239</v>
      </c>
      <c r="M18" s="1068" t="s">
        <v>1240</v>
      </c>
      <c r="N18" s="1068" t="s">
        <v>1241</v>
      </c>
      <c r="O18" s="1068" t="s">
        <v>1242</v>
      </c>
      <c r="P18" s="1068" t="s">
        <v>1243</v>
      </c>
      <c r="Q18" s="1068" t="s">
        <v>1244</v>
      </c>
      <c r="R18" s="1068" t="s">
        <v>1245</v>
      </c>
      <c r="S18" s="1068" t="s">
        <v>1246</v>
      </c>
    </row>
    <row r="19" spans="1:19" ht="14.25" customHeight="1" thickBot="1">
      <c r="A19" s="1074" t="s">
        <v>1155</v>
      </c>
      <c r="B19" s="1082" t="s">
        <v>1167</v>
      </c>
      <c r="C19" s="1068">
        <v>23430</v>
      </c>
      <c r="D19" s="1068">
        <v>21580</v>
      </c>
      <c r="E19" s="1068">
        <v>21350</v>
      </c>
      <c r="F19" s="1089"/>
      <c r="H19" s="1090"/>
      <c r="J19" s="1068" t="s">
        <v>1247</v>
      </c>
      <c r="K19" s="1068" t="s">
        <v>1248</v>
      </c>
      <c r="L19" s="1068" t="s">
        <v>1249</v>
      </c>
      <c r="M19" s="1068" t="s">
        <v>1250</v>
      </c>
      <c r="N19" s="1068" t="s">
        <v>1251</v>
      </c>
      <c r="O19" s="1068" t="s">
        <v>1252</v>
      </c>
      <c r="P19" s="1068" t="s">
        <v>1253</v>
      </c>
      <c r="Q19" s="1068" t="s">
        <v>1254</v>
      </c>
      <c r="R19" s="1068" t="s">
        <v>1255</v>
      </c>
      <c r="S19" s="1068" t="s">
        <v>1256</v>
      </c>
    </row>
    <row r="20" spans="1:19" ht="14.25" customHeight="1" thickBot="1">
      <c r="A20" s="1074" t="s">
        <v>1155</v>
      </c>
      <c r="B20" s="1082" t="s">
        <v>1177</v>
      </c>
      <c r="C20" s="1068">
        <v>27660</v>
      </c>
      <c r="D20" s="1068">
        <v>24240</v>
      </c>
      <c r="E20" s="1068">
        <v>24020</v>
      </c>
      <c r="F20" s="1089"/>
      <c r="J20" s="1068" t="s">
        <v>1257</v>
      </c>
      <c r="K20" s="1068" t="s">
        <v>1258</v>
      </c>
      <c r="L20" s="1068" t="s">
        <v>1259</v>
      </c>
      <c r="M20" s="1068" t="s">
        <v>1260</v>
      </c>
      <c r="N20" s="1068" t="s">
        <v>1261</v>
      </c>
      <c r="O20" s="1068" t="s">
        <v>1262</v>
      </c>
      <c r="P20" s="1068" t="s">
        <v>1263</v>
      </c>
      <c r="Q20" s="1068" t="s">
        <v>1264</v>
      </c>
      <c r="R20" s="1068" t="s">
        <v>1265</v>
      </c>
      <c r="S20" s="1068" t="s">
        <v>1266</v>
      </c>
    </row>
    <row r="21" spans="1:19" ht="14.25" customHeight="1" thickBot="1">
      <c r="A21" s="1074" t="s">
        <v>1155</v>
      </c>
      <c r="B21" s="1082" t="s">
        <v>1187</v>
      </c>
      <c r="C21" s="1068">
        <v>24720</v>
      </c>
      <c r="D21" s="1068">
        <v>21670</v>
      </c>
      <c r="E21" s="1068">
        <v>21510</v>
      </c>
      <c r="F21" s="1089"/>
      <c r="K21" s="1068" t="s">
        <v>1267</v>
      </c>
      <c r="L21" s="1068" t="s">
        <v>1268</v>
      </c>
      <c r="M21" s="1068" t="s">
        <v>1269</v>
      </c>
      <c r="N21" s="1068" t="s">
        <v>1270</v>
      </c>
      <c r="O21" s="1068" t="s">
        <v>1271</v>
      </c>
      <c r="P21" s="1068" t="s">
        <v>1272</v>
      </c>
      <c r="Q21" s="1068" t="s">
        <v>1273</v>
      </c>
      <c r="R21" s="1068" t="s">
        <v>1274</v>
      </c>
      <c r="S21" s="1068" t="s">
        <v>1275</v>
      </c>
    </row>
    <row r="22" spans="1:19" ht="14.25" customHeight="1" thickBot="1">
      <c r="A22" s="1074" t="s">
        <v>1155</v>
      </c>
      <c r="B22" s="1082" t="s">
        <v>1276</v>
      </c>
      <c r="C22" s="1068">
        <v>26530</v>
      </c>
      <c r="D22" s="1068">
        <v>22980</v>
      </c>
      <c r="E22" s="1068">
        <v>22650</v>
      </c>
      <c r="F22" s="1089"/>
      <c r="L22" s="1068" t="s">
        <v>1277</v>
      </c>
      <c r="M22" s="1068" t="s">
        <v>1278</v>
      </c>
      <c r="N22" s="1068" t="s">
        <v>1279</v>
      </c>
      <c r="O22" s="1068" t="s">
        <v>1280</v>
      </c>
      <c r="P22" s="1068" t="s">
        <v>1281</v>
      </c>
      <c r="Q22" s="1068" t="s">
        <v>1282</v>
      </c>
      <c r="R22" s="1068" t="s">
        <v>1283</v>
      </c>
      <c r="S22" s="1082" t="s">
        <v>1284</v>
      </c>
    </row>
    <row r="23" spans="1:19" ht="14.25" customHeight="1" thickBot="1">
      <c r="A23" s="1074" t="s">
        <v>1155</v>
      </c>
      <c r="B23" s="1082" t="s">
        <v>1207</v>
      </c>
      <c r="C23" s="1068">
        <v>24700</v>
      </c>
      <c r="D23" s="1068">
        <v>27290</v>
      </c>
      <c r="E23" s="1068">
        <v>26710</v>
      </c>
      <c r="F23" s="1089"/>
      <c r="L23" s="1068" t="s">
        <v>1285</v>
      </c>
      <c r="M23" s="1068" t="s">
        <v>1286</v>
      </c>
      <c r="N23" s="1068" t="s">
        <v>1287</v>
      </c>
      <c r="O23" s="1068" t="s">
        <v>1288</v>
      </c>
      <c r="P23" s="1068" t="s">
        <v>1289</v>
      </c>
      <c r="Q23" s="1068" t="s">
        <v>1290</v>
      </c>
      <c r="R23" s="1068" t="s">
        <v>1291</v>
      </c>
    </row>
    <row r="24" spans="1:19" ht="14.25" customHeight="1" thickBot="1">
      <c r="A24" s="1074" t="s">
        <v>1155</v>
      </c>
      <c r="B24" s="1082" t="s">
        <v>1217</v>
      </c>
      <c r="C24" s="1068">
        <v>23070</v>
      </c>
      <c r="D24" s="1068">
        <v>24130</v>
      </c>
      <c r="E24" s="1068">
        <v>23860</v>
      </c>
      <c r="F24" s="1089"/>
      <c r="L24" s="1068" t="s">
        <v>1292</v>
      </c>
      <c r="M24" s="1068" t="s">
        <v>1293</v>
      </c>
      <c r="N24" s="1068" t="s">
        <v>1294</v>
      </c>
      <c r="O24" s="1068" t="s">
        <v>1295</v>
      </c>
      <c r="P24" s="1068" t="s">
        <v>1296</v>
      </c>
      <c r="Q24" s="1068" t="s">
        <v>1297</v>
      </c>
      <c r="R24" s="1068" t="s">
        <v>1298</v>
      </c>
    </row>
    <row r="25" spans="1:19" ht="14.25" customHeight="1" thickBot="1">
      <c r="A25" s="1074" t="s">
        <v>1155</v>
      </c>
      <c r="B25" s="1082" t="s">
        <v>1227</v>
      </c>
      <c r="C25" s="1068">
        <v>27550</v>
      </c>
      <c r="D25" s="1068">
        <v>25850</v>
      </c>
      <c r="E25" s="1068">
        <v>25340</v>
      </c>
      <c r="F25" s="1089"/>
      <c r="L25" s="1068" t="s">
        <v>1299</v>
      </c>
      <c r="M25" s="1068" t="s">
        <v>1300</v>
      </c>
      <c r="N25" s="1068" t="s">
        <v>1301</v>
      </c>
      <c r="O25" s="1068" t="s">
        <v>1302</v>
      </c>
      <c r="P25" s="1068" t="s">
        <v>1303</v>
      </c>
      <c r="Q25" s="1068" t="s">
        <v>1304</v>
      </c>
      <c r="R25" s="1068" t="s">
        <v>1305</v>
      </c>
    </row>
    <row r="26" spans="1:19" ht="14.25" customHeight="1" thickBot="1">
      <c r="A26" s="1074" t="s">
        <v>1155</v>
      </c>
      <c r="B26" s="1082" t="s">
        <v>1237</v>
      </c>
      <c r="C26" s="1068"/>
      <c r="D26" s="1068">
        <v>23900</v>
      </c>
      <c r="E26" s="1068">
        <v>23590</v>
      </c>
      <c r="F26" s="1089"/>
      <c r="L26" s="1068" t="s">
        <v>1306</v>
      </c>
      <c r="M26" s="1068" t="s">
        <v>1307</v>
      </c>
      <c r="N26" s="1068" t="s">
        <v>1308</v>
      </c>
      <c r="O26" s="1068" t="s">
        <v>1309</v>
      </c>
      <c r="P26" s="1068" t="s">
        <v>1310</v>
      </c>
      <c r="Q26" s="1068" t="s">
        <v>1311</v>
      </c>
      <c r="R26" s="1068" t="s">
        <v>1312</v>
      </c>
    </row>
    <row r="27" spans="1:19" ht="14.25" customHeight="1" thickBot="1">
      <c r="A27" s="1074" t="s">
        <v>1155</v>
      </c>
      <c r="B27" s="1082" t="s">
        <v>1247</v>
      </c>
      <c r="C27" s="1068"/>
      <c r="D27" s="1068">
        <v>22850</v>
      </c>
      <c r="E27" s="1068">
        <v>21920</v>
      </c>
      <c r="F27" s="1089"/>
      <c r="L27" s="1068" t="s">
        <v>1313</v>
      </c>
      <c r="M27" s="1068" t="s">
        <v>1314</v>
      </c>
      <c r="N27" s="1068" t="s">
        <v>1315</v>
      </c>
      <c r="O27" s="1068" t="s">
        <v>1316</v>
      </c>
      <c r="P27" s="1068" t="s">
        <v>1317</v>
      </c>
      <c r="Q27" s="1068" t="s">
        <v>1318</v>
      </c>
      <c r="R27" s="1068" t="s">
        <v>1319</v>
      </c>
    </row>
    <row r="28" spans="1:19" ht="14.25" customHeight="1" thickBot="1">
      <c r="A28" s="1091" t="s">
        <v>1155</v>
      </c>
      <c r="B28" s="1083" t="s">
        <v>1257</v>
      </c>
      <c r="C28" s="1084"/>
      <c r="D28" s="1084">
        <v>26610</v>
      </c>
      <c r="E28" s="1084">
        <v>26370</v>
      </c>
      <c r="F28" s="1085"/>
      <c r="L28" s="1068" t="s">
        <v>1320</v>
      </c>
      <c r="M28" s="1068" t="s">
        <v>1321</v>
      </c>
      <c r="N28" s="1068" t="s">
        <v>1322</v>
      </c>
      <c r="O28" s="1068" t="s">
        <v>1323</v>
      </c>
      <c r="P28" s="1068" t="s">
        <v>1324</v>
      </c>
      <c r="Q28" s="1068" t="s">
        <v>1325</v>
      </c>
    </row>
    <row r="29" spans="1:19" ht="14.25" customHeight="1" thickBot="1">
      <c r="A29" s="1074" t="s">
        <v>1326</v>
      </c>
      <c r="B29" s="1075" t="s">
        <v>1327</v>
      </c>
      <c r="C29" s="1075">
        <v>22090</v>
      </c>
      <c r="D29" s="1075">
        <v>21860</v>
      </c>
      <c r="E29" s="1075">
        <v>19380</v>
      </c>
      <c r="F29" s="1076">
        <v>6610</v>
      </c>
      <c r="M29" s="1068" t="s">
        <v>1328</v>
      </c>
      <c r="N29" s="1068" t="s">
        <v>1329</v>
      </c>
      <c r="O29" s="1068" t="s">
        <v>1330</v>
      </c>
      <c r="P29" s="1068" t="s">
        <v>1331</v>
      </c>
      <c r="Q29" s="1068" t="s">
        <v>1332</v>
      </c>
    </row>
    <row r="30" spans="1:19" ht="14.25" customHeight="1" thickBot="1">
      <c r="A30" s="1074" t="s">
        <v>1326</v>
      </c>
      <c r="B30" s="1082" t="s">
        <v>1072</v>
      </c>
      <c r="C30" s="1068">
        <v>21380</v>
      </c>
      <c r="D30" s="1068">
        <v>19930</v>
      </c>
      <c r="E30" s="1068">
        <v>19860</v>
      </c>
      <c r="F30" s="1086">
        <v>6010</v>
      </c>
      <c r="H30" s="1090"/>
      <c r="M30" s="1068" t="s">
        <v>1333</v>
      </c>
      <c r="N30" s="1068" t="s">
        <v>1334</v>
      </c>
      <c r="O30" s="1068" t="s">
        <v>1335</v>
      </c>
      <c r="P30" s="1068" t="s">
        <v>2419</v>
      </c>
      <c r="Q30" s="1068" t="s">
        <v>1336</v>
      </c>
    </row>
    <row r="31" spans="1:19" ht="14.25" customHeight="1" thickBot="1">
      <c r="A31" s="1074" t="s">
        <v>1326</v>
      </c>
      <c r="B31" s="1082" t="s">
        <v>1086</v>
      </c>
      <c r="C31" s="1068">
        <v>21670</v>
      </c>
      <c r="D31" s="1068">
        <v>20660</v>
      </c>
      <c r="E31" s="1068">
        <v>20290</v>
      </c>
      <c r="F31" s="1086">
        <v>5840</v>
      </c>
      <c r="H31" s="1090"/>
      <c r="M31" s="1068" t="s">
        <v>1337</v>
      </c>
      <c r="N31" s="1068" t="s">
        <v>1338</v>
      </c>
      <c r="O31" s="1068" t="s">
        <v>1339</v>
      </c>
      <c r="P31" s="1068" t="s">
        <v>1340</v>
      </c>
      <c r="Q31" s="1068" t="s">
        <v>1341</v>
      </c>
    </row>
    <row r="32" spans="1:19" ht="14.25" customHeight="1" thickBot="1">
      <c r="A32" s="1074" t="s">
        <v>1326</v>
      </c>
      <c r="B32" s="1082" t="s">
        <v>1099</v>
      </c>
      <c r="C32" s="1068">
        <v>22280</v>
      </c>
      <c r="D32" s="1068">
        <v>21800</v>
      </c>
      <c r="E32" s="1068">
        <v>17650</v>
      </c>
      <c r="F32" s="1086">
        <v>4690</v>
      </c>
      <c r="H32" s="1090"/>
      <c r="M32" s="1068" t="s">
        <v>1342</v>
      </c>
      <c r="N32" s="1068" t="s">
        <v>1343</v>
      </c>
      <c r="O32" s="1068" t="s">
        <v>1344</v>
      </c>
      <c r="P32" s="1068" t="s">
        <v>1345</v>
      </c>
      <c r="Q32" s="1068" t="s">
        <v>1346</v>
      </c>
    </row>
    <row r="33" spans="1:17" ht="14.25" customHeight="1" thickBot="1">
      <c r="A33" s="1074" t="s">
        <v>1326</v>
      </c>
      <c r="B33" s="1082" t="s">
        <v>1113</v>
      </c>
      <c r="C33" s="1068">
        <v>22130</v>
      </c>
      <c r="D33" s="1068">
        <v>20460</v>
      </c>
      <c r="E33" s="1068">
        <v>18500</v>
      </c>
      <c r="F33" s="1086">
        <v>5340</v>
      </c>
      <c r="H33" s="1090"/>
      <c r="M33" s="1068" t="s">
        <v>1347</v>
      </c>
      <c r="N33" s="1068" t="s">
        <v>1348</v>
      </c>
      <c r="O33" s="1068" t="s">
        <v>1349</v>
      </c>
      <c r="P33" s="1068" t="s">
        <v>1350</v>
      </c>
      <c r="Q33" s="1068" t="s">
        <v>1351</v>
      </c>
    </row>
    <row r="34" spans="1:17" ht="14.25" customHeight="1" thickBot="1">
      <c r="A34" s="1074" t="s">
        <v>1326</v>
      </c>
      <c r="B34" s="1082" t="s">
        <v>1124</v>
      </c>
      <c r="C34" s="1068">
        <v>22070</v>
      </c>
      <c r="D34" s="1068">
        <v>20110</v>
      </c>
      <c r="E34" s="1068">
        <v>18830</v>
      </c>
      <c r="F34" s="1086">
        <v>5190</v>
      </c>
      <c r="H34" s="1090"/>
      <c r="M34" s="1068" t="s">
        <v>1352</v>
      </c>
      <c r="N34" s="1068" t="s">
        <v>1353</v>
      </c>
      <c r="O34" s="1068" t="s">
        <v>1354</v>
      </c>
      <c r="P34" s="1068" t="s">
        <v>1355</v>
      </c>
      <c r="Q34" s="1068" t="s">
        <v>1356</v>
      </c>
    </row>
    <row r="35" spans="1:17" ht="14.25" customHeight="1" thickBot="1">
      <c r="A35" s="1074" t="s">
        <v>1326</v>
      </c>
      <c r="B35" s="1082" t="s">
        <v>1135</v>
      </c>
      <c r="C35" s="1068">
        <v>22240</v>
      </c>
      <c r="D35" s="1068">
        <v>19550</v>
      </c>
      <c r="E35" s="1068">
        <v>19220</v>
      </c>
      <c r="F35" s="1086">
        <v>5800</v>
      </c>
      <c r="H35" s="1090"/>
      <c r="M35" s="1068" t="s">
        <v>1357</v>
      </c>
      <c r="N35" s="1068" t="s">
        <v>1358</v>
      </c>
      <c r="O35" s="1068" t="s">
        <v>1359</v>
      </c>
      <c r="P35" s="1068" t="s">
        <v>1360</v>
      </c>
      <c r="Q35" s="1068" t="s">
        <v>1361</v>
      </c>
    </row>
    <row r="36" spans="1:17" ht="14.25" customHeight="1" thickBot="1">
      <c r="A36" s="1074" t="s">
        <v>1326</v>
      </c>
      <c r="B36" s="1082" t="s">
        <v>1146</v>
      </c>
      <c r="C36" s="1068">
        <v>19750</v>
      </c>
      <c r="D36" s="1068">
        <v>19790</v>
      </c>
      <c r="E36" s="1068">
        <v>18510</v>
      </c>
      <c r="F36" s="1086">
        <v>6520</v>
      </c>
      <c r="H36" s="1090"/>
      <c r="N36" s="1068" t="s">
        <v>1362</v>
      </c>
      <c r="O36" s="1068" t="s">
        <v>1363</v>
      </c>
      <c r="P36" s="1068" t="s">
        <v>1364</v>
      </c>
      <c r="Q36" s="1068" t="s">
        <v>1365</v>
      </c>
    </row>
    <row r="37" spans="1:17" ht="14.25" customHeight="1" thickBot="1">
      <c r="A37" s="1074" t="s">
        <v>1326</v>
      </c>
      <c r="B37" s="1082" t="s">
        <v>1158</v>
      </c>
      <c r="C37" s="1068">
        <v>22380</v>
      </c>
      <c r="D37" s="1068">
        <v>18530</v>
      </c>
      <c r="E37" s="1068">
        <v>17930</v>
      </c>
      <c r="F37" s="1086">
        <v>6270</v>
      </c>
      <c r="H37" s="1092"/>
      <c r="N37" s="1068" t="s">
        <v>1366</v>
      </c>
      <c r="O37" s="1068" t="s">
        <v>1367</v>
      </c>
      <c r="P37" s="1068" t="s">
        <v>1368</v>
      </c>
      <c r="Q37" s="1068" t="s">
        <v>1369</v>
      </c>
    </row>
    <row r="38" spans="1:17" ht="14.25" customHeight="1" thickBot="1">
      <c r="A38" s="1074" t="s">
        <v>1326</v>
      </c>
      <c r="B38" s="1082" t="s">
        <v>1168</v>
      </c>
      <c r="C38" s="1068">
        <v>20200</v>
      </c>
      <c r="D38" s="1068">
        <v>20070</v>
      </c>
      <c r="E38" s="1068">
        <v>19950</v>
      </c>
      <c r="F38" s="1086"/>
      <c r="H38" s="1093"/>
      <c r="N38" s="1068" t="s">
        <v>1370</v>
      </c>
      <c r="O38" s="1068" t="s">
        <v>1371</v>
      </c>
      <c r="P38" s="1068" t="s">
        <v>1372</v>
      </c>
      <c r="Q38" s="1068" t="s">
        <v>1373</v>
      </c>
    </row>
    <row r="39" spans="1:17" ht="14.25" customHeight="1" thickBot="1">
      <c r="A39" s="1074" t="s">
        <v>1326</v>
      </c>
      <c r="B39" s="1082" t="s">
        <v>1178</v>
      </c>
      <c r="C39" s="1068">
        <v>19300</v>
      </c>
      <c r="D39" s="1068">
        <v>20360</v>
      </c>
      <c r="E39" s="1068">
        <v>20230</v>
      </c>
      <c r="F39" s="1086"/>
      <c r="H39" s="1093"/>
      <c r="N39" s="1068" t="s">
        <v>1374</v>
      </c>
      <c r="O39" s="1068" t="s">
        <v>1375</v>
      </c>
      <c r="P39" s="1068" t="s">
        <v>1376</v>
      </c>
      <c r="Q39" s="1068" t="s">
        <v>1377</v>
      </c>
    </row>
    <row r="40" spans="1:17" ht="14.25" customHeight="1" thickBot="1">
      <c r="A40" s="1074" t="s">
        <v>1326</v>
      </c>
      <c r="B40" s="1082" t="s">
        <v>1188</v>
      </c>
      <c r="C40" s="1068">
        <v>20210</v>
      </c>
      <c r="D40" s="1068">
        <v>19060</v>
      </c>
      <c r="E40" s="1068">
        <v>18890</v>
      </c>
      <c r="F40" s="1086"/>
      <c r="H40" s="1093"/>
      <c r="N40" s="1068" t="s">
        <v>1378</v>
      </c>
      <c r="O40" s="1068" t="s">
        <v>1379</v>
      </c>
      <c r="P40" s="1068" t="s">
        <v>1380</v>
      </c>
      <c r="Q40" s="1068" t="s">
        <v>1381</v>
      </c>
    </row>
    <row r="41" spans="1:17" ht="14.25" customHeight="1" thickBot="1">
      <c r="A41" s="1074" t="s">
        <v>1326</v>
      </c>
      <c r="B41" s="1082" t="s">
        <v>1198</v>
      </c>
      <c r="C41" s="1068">
        <v>20560</v>
      </c>
      <c r="D41" s="1068">
        <v>21040</v>
      </c>
      <c r="E41" s="1068">
        <v>20740</v>
      </c>
      <c r="F41" s="1086"/>
      <c r="H41" s="1093"/>
      <c r="N41" s="1082" t="s">
        <v>1382</v>
      </c>
      <c r="O41" s="1082" t="s">
        <v>1383</v>
      </c>
      <c r="Q41" s="1082" t="s">
        <v>1384</v>
      </c>
    </row>
    <row r="42" spans="1:17" ht="14.25" customHeight="1" thickBot="1">
      <c r="A42" s="1074" t="s">
        <v>1326</v>
      </c>
      <c r="B42" s="1082" t="s">
        <v>1208</v>
      </c>
      <c r="C42" s="1068">
        <v>19280</v>
      </c>
      <c r="D42" s="1068">
        <v>22940</v>
      </c>
      <c r="E42" s="1068">
        <v>22500</v>
      </c>
      <c r="F42" s="1086"/>
      <c r="H42" s="1093"/>
      <c r="N42" s="1068" t="s">
        <v>1385</v>
      </c>
      <c r="O42" s="1068" t="s">
        <v>1386</v>
      </c>
      <c r="Q42" s="1068" t="s">
        <v>1387</v>
      </c>
    </row>
    <row r="43" spans="1:17" ht="14.25" customHeight="1" thickBot="1">
      <c r="A43" s="1074" t="s">
        <v>1326</v>
      </c>
      <c r="B43" s="1082" t="s">
        <v>1218</v>
      </c>
      <c r="C43" s="1068">
        <v>21520</v>
      </c>
      <c r="D43" s="1068">
        <v>19230</v>
      </c>
      <c r="E43" s="1068">
        <v>18540</v>
      </c>
      <c r="F43" s="1086"/>
      <c r="H43" s="1093"/>
      <c r="N43" s="1068" t="s">
        <v>1388</v>
      </c>
      <c r="O43" s="1068" t="s">
        <v>1389</v>
      </c>
      <c r="Q43" s="1068" t="s">
        <v>1390</v>
      </c>
    </row>
    <row r="44" spans="1:17" ht="14.25" customHeight="1" thickBot="1">
      <c r="A44" s="1074" t="s">
        <v>1326</v>
      </c>
      <c r="B44" s="1082" t="s">
        <v>1228</v>
      </c>
      <c r="C44" s="1068">
        <v>23260</v>
      </c>
      <c r="D44" s="1068">
        <v>21180</v>
      </c>
      <c r="E44" s="1068">
        <v>20730</v>
      </c>
      <c r="F44" s="1086"/>
      <c r="H44" s="1093"/>
      <c r="N44" s="1068" t="s">
        <v>1391</v>
      </c>
      <c r="O44" s="1068" t="s">
        <v>1392</v>
      </c>
      <c r="Q44" s="1068" t="s">
        <v>1393</v>
      </c>
    </row>
    <row r="45" spans="1:17" ht="14.25" customHeight="1" thickBot="1">
      <c r="A45" s="1074" t="s">
        <v>1326</v>
      </c>
      <c r="B45" s="1082" t="s">
        <v>1238</v>
      </c>
      <c r="C45" s="1068">
        <v>19610</v>
      </c>
      <c r="D45" s="1068">
        <v>18090</v>
      </c>
      <c r="E45" s="1068">
        <v>17970</v>
      </c>
      <c r="F45" s="1086"/>
      <c r="H45" s="1090"/>
      <c r="N45" s="1068" t="s">
        <v>1394</v>
      </c>
      <c r="O45" s="1068" t="s">
        <v>1395</v>
      </c>
      <c r="Q45" s="1068" t="s">
        <v>1396</v>
      </c>
    </row>
    <row r="46" spans="1:17" ht="14.25" customHeight="1" thickBot="1">
      <c r="A46" s="1074" t="s">
        <v>1326</v>
      </c>
      <c r="B46" s="1082" t="s">
        <v>1248</v>
      </c>
      <c r="C46" s="1068">
        <v>21660</v>
      </c>
      <c r="D46" s="1068">
        <v>19190</v>
      </c>
      <c r="E46" s="1068">
        <v>19790</v>
      </c>
      <c r="F46" s="1086"/>
      <c r="H46" s="1093"/>
      <c r="N46" s="1068" t="s">
        <v>1397</v>
      </c>
      <c r="O46" s="1068" t="s">
        <v>1398</v>
      </c>
      <c r="Q46" s="1068" t="s">
        <v>1399</v>
      </c>
    </row>
    <row r="47" spans="1:17" ht="14.25" customHeight="1" thickBot="1">
      <c r="A47" s="1074" t="s">
        <v>1326</v>
      </c>
      <c r="B47" s="1082" t="s">
        <v>1258</v>
      </c>
      <c r="C47" s="1068">
        <v>18220</v>
      </c>
      <c r="D47" s="1068"/>
      <c r="E47" s="1068">
        <v>17220</v>
      </c>
      <c r="F47" s="1086"/>
      <c r="H47" s="1093"/>
      <c r="N47" s="1068" t="s">
        <v>1400</v>
      </c>
      <c r="O47" s="1068" t="s">
        <v>1401</v>
      </c>
    </row>
    <row r="48" spans="1:17" ht="14.25" customHeight="1" thickBot="1">
      <c r="A48" s="1074" t="s">
        <v>1326</v>
      </c>
      <c r="B48" s="1083" t="s">
        <v>1267</v>
      </c>
      <c r="C48" s="1084">
        <v>19430</v>
      </c>
      <c r="D48" s="1084"/>
      <c r="E48" s="1084">
        <v>17830</v>
      </c>
      <c r="F48" s="1094"/>
      <c r="H48" s="1090"/>
      <c r="N48" s="1068" t="s">
        <v>1402</v>
      </c>
      <c r="O48" s="1068" t="s">
        <v>1403</v>
      </c>
    </row>
    <row r="49" spans="1:15" ht="14.25" customHeight="1" thickBot="1">
      <c r="A49" s="1074" t="s">
        <v>925</v>
      </c>
      <c r="B49" s="1075" t="s">
        <v>1404</v>
      </c>
      <c r="C49" s="1075">
        <v>17090</v>
      </c>
      <c r="D49" s="1075">
        <v>16950</v>
      </c>
      <c r="E49" s="1075">
        <v>16310</v>
      </c>
      <c r="F49" s="1076">
        <v>4540</v>
      </c>
      <c r="H49" s="1093"/>
      <c r="N49" s="1068" t="s">
        <v>1405</v>
      </c>
      <c r="O49" s="1068" t="s">
        <v>1406</v>
      </c>
    </row>
    <row r="50" spans="1:15" ht="14.25" customHeight="1" thickBot="1">
      <c r="A50" s="1074" t="s">
        <v>925</v>
      </c>
      <c r="B50" s="1068" t="s">
        <v>1073</v>
      </c>
      <c r="C50" s="1068">
        <v>19040</v>
      </c>
      <c r="D50" s="1068">
        <v>16960</v>
      </c>
      <c r="E50" s="1068">
        <v>14800</v>
      </c>
      <c r="F50" s="1086">
        <v>3940</v>
      </c>
      <c r="H50" s="1093"/>
    </row>
    <row r="51" spans="1:15" ht="14.25" customHeight="1" thickBot="1">
      <c r="A51" s="1074" t="s">
        <v>925</v>
      </c>
      <c r="B51" s="1068" t="s">
        <v>1087</v>
      </c>
      <c r="C51" s="1068">
        <v>17040</v>
      </c>
      <c r="D51" s="1068">
        <v>16930</v>
      </c>
      <c r="E51" s="1068">
        <v>15030</v>
      </c>
      <c r="F51" s="1086">
        <v>4120</v>
      </c>
      <c r="H51" s="1093"/>
    </row>
    <row r="52" spans="1:15" ht="14.25" customHeight="1" thickBot="1">
      <c r="A52" s="1074" t="s">
        <v>925</v>
      </c>
      <c r="B52" s="1068" t="s">
        <v>1100</v>
      </c>
      <c r="C52" s="1068">
        <v>17110</v>
      </c>
      <c r="D52" s="1068">
        <v>17750</v>
      </c>
      <c r="E52" s="1068">
        <v>17310</v>
      </c>
      <c r="F52" s="1086">
        <v>3220</v>
      </c>
      <c r="H52" s="1093"/>
    </row>
    <row r="53" spans="1:15" ht="14.25" customHeight="1" thickBot="1">
      <c r="A53" s="1074" t="s">
        <v>925</v>
      </c>
      <c r="B53" s="1068" t="s">
        <v>1114</v>
      </c>
      <c r="C53" s="1068">
        <v>17810</v>
      </c>
      <c r="D53" s="1068">
        <v>17260</v>
      </c>
      <c r="E53" s="1068">
        <v>17090</v>
      </c>
      <c r="F53" s="1086">
        <v>3520</v>
      </c>
      <c r="H53" s="1093"/>
    </row>
    <row r="54" spans="1:15" ht="14.25" customHeight="1" thickBot="1">
      <c r="A54" s="1074" t="s">
        <v>925</v>
      </c>
      <c r="B54" s="1068" t="s">
        <v>1125</v>
      </c>
      <c r="C54" s="1068">
        <v>17410</v>
      </c>
      <c r="D54" s="1068">
        <v>16780</v>
      </c>
      <c r="E54" s="1068">
        <v>16370</v>
      </c>
      <c r="F54" s="1086">
        <v>3410</v>
      </c>
      <c r="H54" s="1093"/>
    </row>
    <row r="55" spans="1:15" ht="14.25" customHeight="1" thickBot="1">
      <c r="A55" s="1074" t="s">
        <v>925</v>
      </c>
      <c r="B55" s="1068" t="s">
        <v>1136</v>
      </c>
      <c r="C55" s="1068">
        <v>16930</v>
      </c>
      <c r="D55" s="1068">
        <v>14720</v>
      </c>
      <c r="E55" s="1068">
        <v>15000</v>
      </c>
      <c r="F55" s="1086">
        <v>3710</v>
      </c>
      <c r="H55" s="1093"/>
    </row>
    <row r="56" spans="1:15" ht="14.25" customHeight="1" thickBot="1">
      <c r="A56" s="1074" t="s">
        <v>925</v>
      </c>
      <c r="B56" s="1068" t="s">
        <v>1147</v>
      </c>
      <c r="C56" s="1068">
        <v>14930</v>
      </c>
      <c r="D56" s="1068">
        <v>15850</v>
      </c>
      <c r="E56" s="1068">
        <v>14320</v>
      </c>
      <c r="F56" s="1086">
        <v>3960</v>
      </c>
      <c r="H56" s="1093"/>
    </row>
    <row r="57" spans="1:15" ht="14.25" customHeight="1" thickBot="1">
      <c r="A57" s="1074" t="s">
        <v>925</v>
      </c>
      <c r="B57" s="1068" t="s">
        <v>1159</v>
      </c>
      <c r="C57" s="1068">
        <v>16160</v>
      </c>
      <c r="D57" s="1068">
        <v>16190</v>
      </c>
      <c r="E57" s="1068">
        <v>15650</v>
      </c>
      <c r="F57" s="1086">
        <v>4200</v>
      </c>
      <c r="H57" s="1093"/>
    </row>
    <row r="58" spans="1:15" ht="14.25" customHeight="1" thickBot="1">
      <c r="A58" s="1074" t="s">
        <v>925</v>
      </c>
      <c r="B58" s="1068" t="s">
        <v>1169</v>
      </c>
      <c r="C58" s="1068">
        <v>16360</v>
      </c>
      <c r="D58" s="1068">
        <v>14050</v>
      </c>
      <c r="E58" s="1068">
        <v>16070</v>
      </c>
      <c r="F58" s="1086">
        <v>3990</v>
      </c>
      <c r="H58" s="1093"/>
    </row>
    <row r="59" spans="1:15" ht="14.25" customHeight="1" thickBot="1">
      <c r="A59" s="1074" t="s">
        <v>925</v>
      </c>
      <c r="B59" s="1068" t="s">
        <v>1179</v>
      </c>
      <c r="C59" s="1068">
        <v>14160</v>
      </c>
      <c r="D59" s="1068">
        <v>16620</v>
      </c>
      <c r="E59" s="1068">
        <v>13940</v>
      </c>
      <c r="F59" s="1086">
        <v>4260</v>
      </c>
      <c r="H59" s="1093"/>
    </row>
    <row r="60" spans="1:15" ht="14.25" customHeight="1" thickBot="1">
      <c r="A60" s="1074" t="s">
        <v>925</v>
      </c>
      <c r="B60" s="1068" t="s">
        <v>1189</v>
      </c>
      <c r="C60" s="1068">
        <v>16750</v>
      </c>
      <c r="D60" s="1068">
        <v>13910</v>
      </c>
      <c r="E60" s="1068">
        <v>16550</v>
      </c>
      <c r="F60" s="1086">
        <v>4550</v>
      </c>
      <c r="H60" s="1093"/>
    </row>
    <row r="61" spans="1:15" ht="14.25" customHeight="1" thickBot="1">
      <c r="A61" s="1074" t="s">
        <v>925</v>
      </c>
      <c r="B61" s="1068" t="s">
        <v>1199</v>
      </c>
      <c r="C61" s="1068">
        <v>14000</v>
      </c>
      <c r="D61" s="1068">
        <v>14550</v>
      </c>
      <c r="E61" s="1068">
        <v>13860</v>
      </c>
      <c r="F61" s="1095"/>
      <c r="H61" s="1093"/>
    </row>
    <row r="62" spans="1:15" ht="14.25" customHeight="1" thickBot="1">
      <c r="A62" s="1074" t="s">
        <v>925</v>
      </c>
      <c r="B62" s="1068" t="s">
        <v>1209</v>
      </c>
      <c r="C62" s="1068">
        <v>14660</v>
      </c>
      <c r="D62" s="1068">
        <v>17450</v>
      </c>
      <c r="E62" s="1068">
        <v>14470</v>
      </c>
      <c r="F62" s="1095"/>
      <c r="H62" s="1093"/>
    </row>
    <row r="63" spans="1:15" ht="14.25" customHeight="1" thickBot="1">
      <c r="A63" s="1074" t="s">
        <v>925</v>
      </c>
      <c r="B63" s="1068" t="s">
        <v>1219</v>
      </c>
      <c r="C63" s="1068">
        <v>17610</v>
      </c>
      <c r="D63" s="1068">
        <v>16500</v>
      </c>
      <c r="E63" s="1068">
        <v>17330</v>
      </c>
      <c r="F63" s="1095"/>
      <c r="H63" s="1093"/>
    </row>
    <row r="64" spans="1:15" ht="14.25" customHeight="1" thickBot="1">
      <c r="A64" s="1074" t="s">
        <v>925</v>
      </c>
      <c r="B64" s="1068" t="s">
        <v>1229</v>
      </c>
      <c r="C64" s="1068">
        <v>16590</v>
      </c>
      <c r="D64" s="1068">
        <v>15130</v>
      </c>
      <c r="E64" s="1068">
        <v>16420</v>
      </c>
      <c r="F64" s="1095"/>
      <c r="H64" s="1093"/>
    </row>
    <row r="65" spans="1:8" s="1062" customFormat="1" ht="14.25" customHeight="1" thickBot="1">
      <c r="A65" s="1074" t="s">
        <v>925</v>
      </c>
      <c r="B65" s="1068" t="s">
        <v>1239</v>
      </c>
      <c r="C65" s="1068">
        <v>15220</v>
      </c>
      <c r="D65" s="1068">
        <v>14660</v>
      </c>
      <c r="E65" s="1068">
        <v>15060</v>
      </c>
      <c r="F65" s="1086"/>
      <c r="H65" s="1093"/>
    </row>
    <row r="66" spans="1:8" s="1062" customFormat="1" ht="14.25" customHeight="1" thickBot="1">
      <c r="A66" s="1074" t="s">
        <v>925</v>
      </c>
      <c r="B66" s="1068" t="s">
        <v>1249</v>
      </c>
      <c r="C66" s="1068">
        <v>14720</v>
      </c>
      <c r="D66" s="1068">
        <v>15970</v>
      </c>
      <c r="E66" s="1068">
        <v>14610</v>
      </c>
      <c r="F66" s="1086"/>
      <c r="H66" s="1093"/>
    </row>
    <row r="67" spans="1:8" s="1062" customFormat="1" ht="14.25" customHeight="1" thickBot="1">
      <c r="A67" s="1074" t="s">
        <v>925</v>
      </c>
      <c r="B67" s="1068" t="s">
        <v>1259</v>
      </c>
      <c r="C67" s="1068">
        <v>16080</v>
      </c>
      <c r="D67" s="1068">
        <v>14840</v>
      </c>
      <c r="E67" s="1068">
        <v>15630</v>
      </c>
      <c r="F67" s="1086"/>
      <c r="H67" s="1093"/>
    </row>
    <row r="68" spans="1:8" s="1062" customFormat="1" ht="14.25" customHeight="1" thickBot="1">
      <c r="A68" s="1074" t="s">
        <v>925</v>
      </c>
      <c r="B68" s="1068" t="s">
        <v>1268</v>
      </c>
      <c r="C68" s="1068">
        <v>14940</v>
      </c>
      <c r="D68" s="1068">
        <v>18000</v>
      </c>
      <c r="E68" s="1068">
        <v>14040</v>
      </c>
      <c r="F68" s="1086"/>
      <c r="H68" s="1093"/>
    </row>
    <row r="69" spans="1:8" s="1062" customFormat="1" ht="14.25" customHeight="1" thickBot="1">
      <c r="A69" s="1074" t="s">
        <v>925</v>
      </c>
      <c r="B69" s="1068" t="s">
        <v>1277</v>
      </c>
      <c r="C69" s="1068">
        <v>18810</v>
      </c>
      <c r="D69" s="1068">
        <v>15100</v>
      </c>
      <c r="E69" s="1068">
        <v>14710</v>
      </c>
      <c r="F69" s="1086"/>
      <c r="H69" s="1093"/>
    </row>
    <row r="70" spans="1:8" s="1062" customFormat="1" ht="14.25" customHeight="1" thickBot="1">
      <c r="A70" s="1074" t="s">
        <v>925</v>
      </c>
      <c r="B70" s="1068" t="s">
        <v>1285</v>
      </c>
      <c r="C70" s="1068">
        <v>18270</v>
      </c>
      <c r="D70" s="1068"/>
      <c r="E70" s="1068"/>
      <c r="F70" s="1086"/>
      <c r="H70" s="1093"/>
    </row>
    <row r="71" spans="1:8" s="1062" customFormat="1" ht="14.25" customHeight="1" thickBot="1">
      <c r="A71" s="1074" t="s">
        <v>925</v>
      </c>
      <c r="B71" s="1068" t="s">
        <v>1292</v>
      </c>
      <c r="C71" s="1068">
        <v>15230</v>
      </c>
      <c r="D71" s="1068"/>
      <c r="E71" s="1068"/>
      <c r="F71" s="1086"/>
      <c r="H71" s="1093"/>
    </row>
    <row r="72" spans="1:8" s="1062" customFormat="1" ht="14.25" customHeight="1" thickBot="1">
      <c r="A72" s="1074" t="s">
        <v>925</v>
      </c>
      <c r="B72" s="1068" t="s">
        <v>1299</v>
      </c>
      <c r="C72" s="1068"/>
      <c r="D72" s="1068"/>
      <c r="E72" s="1068"/>
      <c r="F72" s="1086">
        <v>4120</v>
      </c>
      <c r="H72" s="1093"/>
    </row>
    <row r="73" spans="1:8" s="1062" customFormat="1" ht="14.25" customHeight="1" thickBot="1">
      <c r="A73" s="1074" t="s">
        <v>925</v>
      </c>
      <c r="B73" s="1068" t="s">
        <v>1306</v>
      </c>
      <c r="C73" s="1068"/>
      <c r="D73" s="1068"/>
      <c r="E73" s="1068"/>
      <c r="F73" s="1086">
        <v>3930</v>
      </c>
      <c r="H73" s="1093"/>
    </row>
    <row r="74" spans="1:8" s="1062" customFormat="1" ht="14.25" customHeight="1" thickBot="1">
      <c r="A74" s="1074" t="s">
        <v>925</v>
      </c>
      <c r="B74" s="1068" t="s">
        <v>1313</v>
      </c>
      <c r="C74" s="1068"/>
      <c r="D74" s="1068"/>
      <c r="E74" s="1068"/>
      <c r="F74" s="1086">
        <v>4060</v>
      </c>
      <c r="H74" s="1093"/>
    </row>
    <row r="75" spans="1:8" s="1062" customFormat="1" ht="14.25" customHeight="1" thickBot="1">
      <c r="A75" s="1074" t="s">
        <v>925</v>
      </c>
      <c r="B75" s="1084" t="s">
        <v>1320</v>
      </c>
      <c r="C75" s="1084"/>
      <c r="D75" s="1084"/>
      <c r="E75" s="1084"/>
      <c r="F75" s="1094">
        <v>3750</v>
      </c>
      <c r="H75" s="1093"/>
    </row>
    <row r="76" spans="1:8" s="1062" customFormat="1" ht="14.25" customHeight="1" thickBot="1">
      <c r="A76" s="1074" t="s">
        <v>1407</v>
      </c>
      <c r="B76" s="1075" t="s">
        <v>1408</v>
      </c>
      <c r="C76" s="1075">
        <v>14690</v>
      </c>
      <c r="D76" s="1075">
        <v>14640</v>
      </c>
      <c r="E76" s="1075">
        <v>14590</v>
      </c>
      <c r="F76" s="1076">
        <v>3060</v>
      </c>
      <c r="H76" s="1093"/>
    </row>
    <row r="77" spans="1:8" s="1062" customFormat="1" ht="14.25" customHeight="1" thickBot="1">
      <c r="A77" s="1074" t="s">
        <v>1407</v>
      </c>
      <c r="B77" s="1068" t="s">
        <v>1074</v>
      </c>
      <c r="C77" s="1068">
        <v>12550</v>
      </c>
      <c r="D77" s="1068">
        <v>12480</v>
      </c>
      <c r="E77" s="1068">
        <v>12450</v>
      </c>
      <c r="F77" s="1086">
        <v>2590</v>
      </c>
      <c r="H77" s="1093"/>
    </row>
    <row r="78" spans="1:8" s="1062" customFormat="1" ht="14.25" customHeight="1" thickBot="1">
      <c r="A78" s="1074" t="s">
        <v>1407</v>
      </c>
      <c r="B78" s="1068" t="s">
        <v>1088</v>
      </c>
      <c r="C78" s="1068">
        <v>14360</v>
      </c>
      <c r="D78" s="1068">
        <v>14320</v>
      </c>
      <c r="E78" s="1068">
        <v>12510</v>
      </c>
      <c r="F78" s="1086">
        <v>2700</v>
      </c>
      <c r="H78" s="1093"/>
    </row>
    <row r="79" spans="1:8" s="1062" customFormat="1" ht="14.25" customHeight="1" thickBot="1">
      <c r="A79" s="1074" t="s">
        <v>1407</v>
      </c>
      <c r="B79" s="1068" t="s">
        <v>1101</v>
      </c>
      <c r="C79" s="1068">
        <v>12590</v>
      </c>
      <c r="D79" s="1068">
        <v>12540</v>
      </c>
      <c r="E79" s="1068">
        <v>12350</v>
      </c>
      <c r="F79" s="1086">
        <v>2740</v>
      </c>
      <c r="H79" s="1093"/>
    </row>
    <row r="80" spans="1:8" s="1062" customFormat="1" ht="14.25" customHeight="1" thickBot="1">
      <c r="A80" s="1074" t="s">
        <v>1407</v>
      </c>
      <c r="B80" s="1068" t="s">
        <v>1115</v>
      </c>
      <c r="C80" s="1068">
        <v>12450</v>
      </c>
      <c r="D80" s="1068">
        <v>12370</v>
      </c>
      <c r="E80" s="1068">
        <v>10790</v>
      </c>
      <c r="F80" s="1086">
        <v>2290</v>
      </c>
      <c r="H80" s="1093"/>
    </row>
    <row r="81" spans="1:8" s="1062" customFormat="1" ht="14.25" customHeight="1" thickBot="1">
      <c r="A81" s="1074" t="s">
        <v>1407</v>
      </c>
      <c r="B81" s="1068" t="s">
        <v>1126</v>
      </c>
      <c r="C81" s="1068">
        <v>14210</v>
      </c>
      <c r="D81" s="1068">
        <v>14150</v>
      </c>
      <c r="E81" s="1068">
        <v>12730</v>
      </c>
      <c r="F81" s="1086">
        <v>2240</v>
      </c>
      <c r="H81" s="1093"/>
    </row>
    <row r="82" spans="1:8" s="1062" customFormat="1" ht="14.25" customHeight="1" thickBot="1">
      <c r="A82" s="1074" t="s">
        <v>1407</v>
      </c>
      <c r="B82" s="1068" t="s">
        <v>1137</v>
      </c>
      <c r="C82" s="1068">
        <v>10860</v>
      </c>
      <c r="D82" s="1068">
        <v>10820</v>
      </c>
      <c r="E82" s="1068">
        <v>14720</v>
      </c>
      <c r="F82" s="1086">
        <v>2490</v>
      </c>
      <c r="H82" s="1093"/>
    </row>
    <row r="83" spans="1:8" s="1062" customFormat="1" ht="14.25" customHeight="1" thickBot="1">
      <c r="A83" s="1074" t="s">
        <v>1407</v>
      </c>
      <c r="B83" s="1068" t="s">
        <v>1148</v>
      </c>
      <c r="C83" s="1068">
        <v>12810</v>
      </c>
      <c r="D83" s="1068">
        <v>12760</v>
      </c>
      <c r="E83" s="1068">
        <v>14830</v>
      </c>
      <c r="F83" s="1086">
        <v>2450</v>
      </c>
      <c r="H83" s="1093"/>
    </row>
    <row r="84" spans="1:8" s="1062" customFormat="1" ht="14.25" customHeight="1" thickBot="1">
      <c r="A84" s="1074" t="s">
        <v>1407</v>
      </c>
      <c r="B84" s="1068" t="s">
        <v>1160</v>
      </c>
      <c r="C84" s="1068">
        <v>14950</v>
      </c>
      <c r="D84" s="1068">
        <v>14810</v>
      </c>
      <c r="E84" s="1068">
        <v>12590</v>
      </c>
      <c r="F84" s="1086">
        <v>2540</v>
      </c>
      <c r="H84" s="1093"/>
    </row>
    <row r="85" spans="1:8" s="1062" customFormat="1" ht="14.25" customHeight="1" thickBot="1">
      <c r="A85" s="1074" t="s">
        <v>1407</v>
      </c>
      <c r="B85" s="1068" t="s">
        <v>1170</v>
      </c>
      <c r="C85" s="1068">
        <v>14960</v>
      </c>
      <c r="D85" s="1068">
        <v>14890</v>
      </c>
      <c r="E85" s="1068">
        <v>12840</v>
      </c>
      <c r="F85" s="1086">
        <v>2840</v>
      </c>
      <c r="H85" s="1093"/>
    </row>
    <row r="86" spans="1:8" s="1062" customFormat="1" ht="14.25" customHeight="1" thickBot="1">
      <c r="A86" s="1074" t="s">
        <v>1407</v>
      </c>
      <c r="B86" s="1068" t="s">
        <v>1180</v>
      </c>
      <c r="C86" s="1068">
        <v>12730</v>
      </c>
      <c r="D86" s="1068">
        <v>12660</v>
      </c>
      <c r="E86" s="1068">
        <v>13310</v>
      </c>
      <c r="F86" s="1086">
        <v>3140</v>
      </c>
      <c r="H86" s="1093"/>
    </row>
    <row r="87" spans="1:8" s="1062" customFormat="1" ht="14.25" customHeight="1" thickBot="1">
      <c r="A87" s="1074" t="s">
        <v>1407</v>
      </c>
      <c r="B87" s="1068" t="s">
        <v>1190</v>
      </c>
      <c r="C87" s="1068">
        <v>12940</v>
      </c>
      <c r="D87" s="1068">
        <v>12890</v>
      </c>
      <c r="E87" s="1068">
        <v>11580</v>
      </c>
      <c r="F87" s="1095"/>
      <c r="H87" s="1093"/>
    </row>
    <row r="88" spans="1:8" s="1062" customFormat="1" ht="14.25" customHeight="1" thickBot="1">
      <c r="A88" s="1074" t="s">
        <v>1407</v>
      </c>
      <c r="B88" s="1068" t="s">
        <v>1200</v>
      </c>
      <c r="C88" s="1068">
        <v>13430</v>
      </c>
      <c r="D88" s="1068">
        <v>13360</v>
      </c>
      <c r="E88" s="1068">
        <v>12790</v>
      </c>
      <c r="F88" s="1095"/>
      <c r="H88" s="1093"/>
    </row>
    <row r="89" spans="1:8" s="1062" customFormat="1" ht="14.25" customHeight="1" thickBot="1">
      <c r="A89" s="1074" t="s">
        <v>1407</v>
      </c>
      <c r="B89" s="1068" t="s">
        <v>1210</v>
      </c>
      <c r="C89" s="1068">
        <v>11680</v>
      </c>
      <c r="D89" s="1068">
        <v>11630</v>
      </c>
      <c r="E89" s="1068">
        <v>11320</v>
      </c>
      <c r="F89" s="1095"/>
      <c r="H89" s="1093"/>
    </row>
    <row r="90" spans="1:8" s="1062" customFormat="1" ht="14.25" customHeight="1" thickBot="1">
      <c r="A90" s="1074" t="s">
        <v>1407</v>
      </c>
      <c r="B90" s="1068" t="s">
        <v>1220</v>
      </c>
      <c r="C90" s="1068">
        <v>12890</v>
      </c>
      <c r="D90" s="1068">
        <v>12820</v>
      </c>
      <c r="E90" s="1068">
        <v>12710</v>
      </c>
      <c r="F90" s="1095"/>
      <c r="H90" s="1093"/>
    </row>
    <row r="91" spans="1:8" s="1062" customFormat="1" ht="14.25" customHeight="1" thickBot="1">
      <c r="A91" s="1074" t="s">
        <v>1407</v>
      </c>
      <c r="B91" s="1068" t="s">
        <v>1230</v>
      </c>
      <c r="C91" s="1068">
        <v>11410</v>
      </c>
      <c r="D91" s="1068">
        <v>11360</v>
      </c>
      <c r="E91" s="1068">
        <v>12670</v>
      </c>
      <c r="F91" s="1095"/>
      <c r="H91" s="1093"/>
    </row>
    <row r="92" spans="1:8" s="1062" customFormat="1" ht="14.25" customHeight="1" thickBot="1">
      <c r="A92" s="1074" t="s">
        <v>1407</v>
      </c>
      <c r="B92" s="1068" t="s">
        <v>1240</v>
      </c>
      <c r="C92" s="1068">
        <v>12770</v>
      </c>
      <c r="D92" s="1068">
        <v>12740</v>
      </c>
      <c r="E92" s="1068">
        <v>11970</v>
      </c>
      <c r="F92" s="1095"/>
      <c r="H92" s="1093"/>
    </row>
    <row r="93" spans="1:8" s="1062" customFormat="1" ht="14.25" customHeight="1" thickBot="1">
      <c r="A93" s="1074" t="s">
        <v>1407</v>
      </c>
      <c r="B93" s="1068" t="s">
        <v>1250</v>
      </c>
      <c r="C93" s="1068">
        <v>12740</v>
      </c>
      <c r="D93" s="1068">
        <v>12700</v>
      </c>
      <c r="E93" s="1068">
        <v>12540</v>
      </c>
      <c r="F93" s="1095"/>
      <c r="H93" s="1093"/>
    </row>
    <row r="94" spans="1:8" s="1062" customFormat="1" ht="14.25" customHeight="1" thickBot="1">
      <c r="A94" s="1074" t="s">
        <v>1407</v>
      </c>
      <c r="B94" s="1068" t="s">
        <v>1260</v>
      </c>
      <c r="C94" s="1068">
        <v>12020</v>
      </c>
      <c r="D94" s="1068">
        <v>11990</v>
      </c>
      <c r="E94" s="1068">
        <v>13110</v>
      </c>
      <c r="F94" s="1095"/>
      <c r="H94" s="1093"/>
    </row>
    <row r="95" spans="1:8" s="1062" customFormat="1" ht="14.25" customHeight="1" thickBot="1">
      <c r="A95" s="1074" t="s">
        <v>1407</v>
      </c>
      <c r="B95" s="1068" t="s">
        <v>1269</v>
      </c>
      <c r="C95" s="1068">
        <v>12620</v>
      </c>
      <c r="D95" s="1068">
        <v>12580</v>
      </c>
      <c r="E95" s="1068">
        <v>13160</v>
      </c>
      <c r="F95" s="1086"/>
      <c r="H95" s="1093"/>
    </row>
    <row r="96" spans="1:8" s="1062" customFormat="1" ht="14.25" customHeight="1" thickBot="1">
      <c r="A96" s="1074" t="s">
        <v>1407</v>
      </c>
      <c r="B96" s="1068" t="s">
        <v>1278</v>
      </c>
      <c r="C96" s="1068">
        <v>13200</v>
      </c>
      <c r="D96" s="1068">
        <v>13150</v>
      </c>
      <c r="E96" s="1068">
        <v>12900</v>
      </c>
      <c r="F96" s="1086"/>
      <c r="H96" s="1093"/>
    </row>
    <row r="97" spans="1:8" s="1062" customFormat="1" ht="14.25" customHeight="1" thickBot="1">
      <c r="A97" s="1074" t="s">
        <v>1407</v>
      </c>
      <c r="B97" s="1068" t="s">
        <v>1286</v>
      </c>
      <c r="C97" s="1068">
        <v>13270</v>
      </c>
      <c r="D97" s="1068">
        <v>13210</v>
      </c>
      <c r="E97" s="1068">
        <v>11080</v>
      </c>
      <c r="F97" s="1086"/>
      <c r="H97" s="1093"/>
    </row>
    <row r="98" spans="1:8" s="1062" customFormat="1" ht="14.25" customHeight="1" thickBot="1">
      <c r="A98" s="1074" t="s">
        <v>1407</v>
      </c>
      <c r="B98" s="1068" t="s">
        <v>1293</v>
      </c>
      <c r="C98" s="1068">
        <v>13010</v>
      </c>
      <c r="D98" s="1068">
        <v>12930</v>
      </c>
      <c r="E98" s="1068">
        <v>12840</v>
      </c>
      <c r="F98" s="1086"/>
      <c r="H98" s="1093"/>
    </row>
    <row r="99" spans="1:8" s="1062" customFormat="1" ht="14.25" customHeight="1" thickBot="1">
      <c r="A99" s="1074" t="s">
        <v>1407</v>
      </c>
      <c r="B99" s="1068" t="s">
        <v>1300</v>
      </c>
      <c r="C99" s="1068">
        <v>11190</v>
      </c>
      <c r="D99" s="1068">
        <v>11130</v>
      </c>
      <c r="E99" s="1068"/>
      <c r="F99" s="1086"/>
      <c r="H99" s="1093"/>
    </row>
    <row r="100" spans="1:8" s="1062" customFormat="1" ht="14.25" customHeight="1" thickBot="1">
      <c r="A100" s="1074" t="s">
        <v>1407</v>
      </c>
      <c r="B100" s="1068" t="s">
        <v>1307</v>
      </c>
      <c r="C100" s="1068">
        <v>14280</v>
      </c>
      <c r="D100" s="1068">
        <v>14180</v>
      </c>
      <c r="E100" s="1068"/>
      <c r="F100" s="1086"/>
      <c r="H100" s="1093"/>
    </row>
    <row r="101" spans="1:8" s="1062" customFormat="1" ht="14.25" customHeight="1" thickBot="1">
      <c r="A101" s="1074" t="s">
        <v>1407</v>
      </c>
      <c r="B101" s="1068" t="s">
        <v>1314</v>
      </c>
      <c r="C101" s="1068">
        <v>12960</v>
      </c>
      <c r="D101" s="1068">
        <v>12890</v>
      </c>
      <c r="E101" s="1068"/>
      <c r="F101" s="1086"/>
      <c r="H101" s="1093"/>
    </row>
    <row r="102" spans="1:8" s="1062" customFormat="1" ht="14.25" customHeight="1" thickBot="1">
      <c r="A102" s="1074" t="s">
        <v>1407</v>
      </c>
      <c r="B102" s="1068" t="s">
        <v>1321</v>
      </c>
      <c r="C102" s="1068"/>
      <c r="D102" s="1068"/>
      <c r="E102" s="1068"/>
      <c r="F102" s="1086">
        <v>3100</v>
      </c>
      <c r="H102" s="1093"/>
    </row>
    <row r="103" spans="1:8" s="1062" customFormat="1" ht="14.25" customHeight="1" thickBot="1">
      <c r="A103" s="1074" t="s">
        <v>1407</v>
      </c>
      <c r="B103" s="1068" t="s">
        <v>1328</v>
      </c>
      <c r="C103" s="1068"/>
      <c r="D103" s="1068"/>
      <c r="E103" s="1068"/>
      <c r="F103" s="1086">
        <v>2320</v>
      </c>
      <c r="H103" s="1093"/>
    </row>
    <row r="104" spans="1:8" s="1062" customFormat="1" ht="14.25" customHeight="1" thickBot="1">
      <c r="A104" s="1074" t="s">
        <v>1407</v>
      </c>
      <c r="B104" s="1068" t="s">
        <v>1333</v>
      </c>
      <c r="C104" s="1068"/>
      <c r="D104" s="1068"/>
      <c r="E104" s="1068"/>
      <c r="F104" s="1086">
        <v>2320</v>
      </c>
      <c r="H104" s="1093"/>
    </row>
    <row r="105" spans="1:8" s="1062" customFormat="1" ht="14.25" customHeight="1" thickBot="1">
      <c r="A105" s="1074" t="s">
        <v>1407</v>
      </c>
      <c r="B105" s="1068" t="s">
        <v>1337</v>
      </c>
      <c r="C105" s="1068"/>
      <c r="D105" s="1068"/>
      <c r="E105" s="1068"/>
      <c r="F105" s="1086">
        <v>2320</v>
      </c>
      <c r="H105" s="1093"/>
    </row>
    <row r="106" spans="1:8" s="1062" customFormat="1" ht="14.25" customHeight="1" thickBot="1">
      <c r="A106" s="1074" t="s">
        <v>1407</v>
      </c>
      <c r="B106" s="1068" t="s">
        <v>1342</v>
      </c>
      <c r="C106" s="1068"/>
      <c r="D106" s="1068"/>
      <c r="E106" s="1068"/>
      <c r="F106" s="1086">
        <v>2320</v>
      </c>
      <c r="H106" s="1093"/>
    </row>
    <row r="107" spans="1:8" s="1062" customFormat="1" ht="14.25" customHeight="1" thickBot="1">
      <c r="A107" s="1074" t="s">
        <v>1407</v>
      </c>
      <c r="B107" s="1068" t="s">
        <v>1347</v>
      </c>
      <c r="C107" s="1068"/>
      <c r="D107" s="1068"/>
      <c r="E107" s="1068"/>
      <c r="F107" s="1086">
        <v>2280</v>
      </c>
      <c r="H107" s="1093"/>
    </row>
    <row r="108" spans="1:8" s="1062" customFormat="1" ht="14.25" customHeight="1" thickBot="1">
      <c r="A108" s="1074" t="s">
        <v>1407</v>
      </c>
      <c r="B108" s="1068" t="s">
        <v>1352</v>
      </c>
      <c r="C108" s="1068"/>
      <c r="D108" s="1068"/>
      <c r="E108" s="1068"/>
      <c r="F108" s="1086">
        <v>2280</v>
      </c>
      <c r="H108" s="1093"/>
    </row>
    <row r="109" spans="1:8" s="1062" customFormat="1" ht="14.25" customHeight="1" thickBot="1">
      <c r="A109" s="1074" t="s">
        <v>1407</v>
      </c>
      <c r="B109" s="1084" t="s">
        <v>1357</v>
      </c>
      <c r="C109" s="1084"/>
      <c r="D109" s="1084"/>
      <c r="E109" s="1084"/>
      <c r="F109" s="1094">
        <v>2280</v>
      </c>
      <c r="H109" s="1093"/>
    </row>
    <row r="110" spans="1:8" s="1062" customFormat="1" ht="14.25" customHeight="1" thickBot="1">
      <c r="A110" s="1074" t="s">
        <v>1409</v>
      </c>
      <c r="B110" s="1075" t="s">
        <v>1410</v>
      </c>
      <c r="C110" s="1075">
        <v>10520</v>
      </c>
      <c r="D110" s="1075">
        <v>10490</v>
      </c>
      <c r="E110" s="1075">
        <v>10760</v>
      </c>
      <c r="F110" s="1076">
        <v>2160</v>
      </c>
      <c r="H110" s="1093"/>
    </row>
    <row r="111" spans="1:8" s="1062" customFormat="1" ht="14.25" customHeight="1" thickBot="1">
      <c r="A111" s="1074" t="s">
        <v>1409</v>
      </c>
      <c r="B111" s="1068" t="s">
        <v>1075</v>
      </c>
      <c r="C111" s="1068">
        <v>10090</v>
      </c>
      <c r="D111" s="1068">
        <v>10060</v>
      </c>
      <c r="E111" s="1068">
        <v>10300</v>
      </c>
      <c r="F111" s="1086">
        <v>2010</v>
      </c>
      <c r="H111" s="1093"/>
    </row>
    <row r="112" spans="1:8" s="1062" customFormat="1" ht="14.25" customHeight="1" thickBot="1">
      <c r="A112" s="1074" t="s">
        <v>1409</v>
      </c>
      <c r="B112" s="1068" t="s">
        <v>1089</v>
      </c>
      <c r="C112" s="1068">
        <v>9910</v>
      </c>
      <c r="D112" s="1068">
        <v>9850</v>
      </c>
      <c r="E112" s="1068">
        <v>9960</v>
      </c>
      <c r="F112" s="1086">
        <v>2090</v>
      </c>
      <c r="H112" s="1093"/>
    </row>
    <row r="113" spans="1:8" s="1062" customFormat="1" ht="14.25" customHeight="1" thickBot="1">
      <c r="A113" s="1074" t="s">
        <v>1409</v>
      </c>
      <c r="B113" s="1068" t="s">
        <v>1102</v>
      </c>
      <c r="C113" s="1068">
        <v>11430</v>
      </c>
      <c r="D113" s="1068">
        <v>11400</v>
      </c>
      <c r="E113" s="1068">
        <v>11710</v>
      </c>
      <c r="F113" s="1086">
        <v>2050</v>
      </c>
      <c r="H113" s="1093"/>
    </row>
    <row r="114" spans="1:8" s="1062" customFormat="1" ht="14.25" customHeight="1" thickBot="1">
      <c r="A114" s="1074" t="s">
        <v>1409</v>
      </c>
      <c r="B114" s="1068" t="s">
        <v>1116</v>
      </c>
      <c r="C114" s="1068">
        <v>11390</v>
      </c>
      <c r="D114" s="1068">
        <v>11350</v>
      </c>
      <c r="E114" s="1068">
        <v>11640</v>
      </c>
      <c r="F114" s="1086">
        <v>1620</v>
      </c>
      <c r="H114" s="1093"/>
    </row>
    <row r="115" spans="1:8" s="1062" customFormat="1" ht="14.25" customHeight="1" thickBot="1">
      <c r="A115" s="1074" t="s">
        <v>1409</v>
      </c>
      <c r="B115" s="1068" t="s">
        <v>1127</v>
      </c>
      <c r="C115" s="1068">
        <v>9930</v>
      </c>
      <c r="D115" s="1068">
        <v>9900</v>
      </c>
      <c r="E115" s="1068">
        <v>10160</v>
      </c>
      <c r="F115" s="1086">
        <v>1580</v>
      </c>
      <c r="H115" s="1093"/>
    </row>
    <row r="116" spans="1:8" s="1062" customFormat="1" ht="14.25" customHeight="1" thickBot="1">
      <c r="A116" s="1074" t="s">
        <v>1409</v>
      </c>
      <c r="B116" s="1068" t="s">
        <v>1138</v>
      </c>
      <c r="C116" s="1068">
        <v>9150</v>
      </c>
      <c r="D116" s="1068">
        <v>9120</v>
      </c>
      <c r="E116" s="1068">
        <v>9380</v>
      </c>
      <c r="F116" s="1086">
        <v>1750</v>
      </c>
      <c r="H116" s="1093"/>
    </row>
    <row r="117" spans="1:8" s="1062" customFormat="1" ht="14.25" customHeight="1" thickBot="1">
      <c r="A117" s="1074" t="s">
        <v>1409</v>
      </c>
      <c r="B117" s="1068" t="s">
        <v>1149</v>
      </c>
      <c r="C117" s="1068">
        <v>10680</v>
      </c>
      <c r="D117" s="1068">
        <v>10650</v>
      </c>
      <c r="E117" s="1068">
        <v>10970</v>
      </c>
      <c r="F117" s="1086">
        <v>1730</v>
      </c>
      <c r="H117" s="1093"/>
    </row>
    <row r="118" spans="1:8" s="1062" customFormat="1" ht="14.25" customHeight="1" thickBot="1">
      <c r="A118" s="1074" t="s">
        <v>1409</v>
      </c>
      <c r="B118" s="1068" t="s">
        <v>1161</v>
      </c>
      <c r="C118" s="1068">
        <v>10080</v>
      </c>
      <c r="D118" s="1068">
        <v>10050</v>
      </c>
      <c r="E118" s="1068">
        <v>10350</v>
      </c>
      <c r="F118" s="1086">
        <v>1920</v>
      </c>
      <c r="H118" s="1093"/>
    </row>
    <row r="119" spans="1:8" s="1062" customFormat="1" ht="14.25" customHeight="1" thickBot="1">
      <c r="A119" s="1074" t="s">
        <v>1409</v>
      </c>
      <c r="B119" s="1068" t="s">
        <v>1171</v>
      </c>
      <c r="C119" s="1068">
        <v>9450</v>
      </c>
      <c r="D119" s="1068">
        <v>9410</v>
      </c>
      <c r="E119" s="1068">
        <v>9680</v>
      </c>
      <c r="F119" s="1086">
        <v>1880</v>
      </c>
      <c r="H119" s="1093"/>
    </row>
    <row r="120" spans="1:8" s="1062" customFormat="1" ht="14.25" customHeight="1" thickBot="1">
      <c r="A120" s="1074" t="s">
        <v>1409</v>
      </c>
      <c r="B120" s="1068" t="s">
        <v>1181</v>
      </c>
      <c r="C120" s="1068">
        <v>8730</v>
      </c>
      <c r="D120" s="1068">
        <v>8700</v>
      </c>
      <c r="E120" s="1068">
        <v>8950</v>
      </c>
      <c r="F120" s="1086">
        <v>1830</v>
      </c>
      <c r="H120" s="1093"/>
    </row>
    <row r="121" spans="1:8" s="1062" customFormat="1" ht="14.25" customHeight="1" thickBot="1">
      <c r="A121" s="1074" t="s">
        <v>1409</v>
      </c>
      <c r="B121" s="1068" t="s">
        <v>1191</v>
      </c>
      <c r="C121" s="1068">
        <v>10070</v>
      </c>
      <c r="D121" s="1068">
        <v>10040</v>
      </c>
      <c r="E121" s="1068">
        <v>10270</v>
      </c>
      <c r="F121" s="1086">
        <v>1960</v>
      </c>
      <c r="H121" s="1093"/>
    </row>
    <row r="122" spans="1:8" s="1062" customFormat="1" ht="14.25" customHeight="1" thickBot="1">
      <c r="A122" s="1074" t="s">
        <v>1409</v>
      </c>
      <c r="B122" s="1068" t="s">
        <v>1201</v>
      </c>
      <c r="C122" s="1068">
        <v>10500</v>
      </c>
      <c r="D122" s="1068">
        <v>10470</v>
      </c>
      <c r="E122" s="1068">
        <v>10780</v>
      </c>
      <c r="F122" s="1086">
        <v>2180</v>
      </c>
      <c r="H122" s="1093"/>
    </row>
    <row r="123" spans="1:8" s="1062" customFormat="1" ht="14.25" customHeight="1" thickBot="1">
      <c r="A123" s="1074" t="s">
        <v>1409</v>
      </c>
      <c r="B123" s="1068" t="s">
        <v>1211</v>
      </c>
      <c r="C123" s="1068">
        <v>10390</v>
      </c>
      <c r="D123" s="1068">
        <v>10360</v>
      </c>
      <c r="E123" s="1068">
        <v>10660</v>
      </c>
      <c r="F123" s="1086">
        <v>2040</v>
      </c>
      <c r="H123" s="1093"/>
    </row>
    <row r="124" spans="1:8" s="1062" customFormat="1" ht="14.25" customHeight="1" thickBot="1">
      <c r="A124" s="1074" t="s">
        <v>1409</v>
      </c>
      <c r="B124" s="1068" t="s">
        <v>1221</v>
      </c>
      <c r="C124" s="1068">
        <v>10390</v>
      </c>
      <c r="D124" s="1068">
        <v>10360</v>
      </c>
      <c r="E124" s="1068">
        <v>10680</v>
      </c>
      <c r="F124" s="1095"/>
      <c r="H124" s="1093"/>
    </row>
    <row r="125" spans="1:8" s="1062" customFormat="1" ht="14.25" customHeight="1" thickBot="1">
      <c r="A125" s="1074" t="s">
        <v>1409</v>
      </c>
      <c r="B125" s="1068" t="s">
        <v>1231</v>
      </c>
      <c r="C125" s="1068">
        <v>10440</v>
      </c>
      <c r="D125" s="1068">
        <v>10410</v>
      </c>
      <c r="E125" s="1068">
        <v>10710</v>
      </c>
      <c r="F125" s="1095"/>
      <c r="H125" s="1093"/>
    </row>
    <row r="126" spans="1:8" s="1062" customFormat="1" ht="14.25" customHeight="1" thickBot="1">
      <c r="A126" s="1074" t="s">
        <v>1409</v>
      </c>
      <c r="B126" s="1068" t="s">
        <v>1241</v>
      </c>
      <c r="C126" s="1068">
        <v>10780</v>
      </c>
      <c r="D126" s="1068">
        <v>10750</v>
      </c>
      <c r="E126" s="1068">
        <v>11080</v>
      </c>
      <c r="F126" s="1095"/>
      <c r="H126" s="1093"/>
    </row>
    <row r="127" spans="1:8" s="1062" customFormat="1" ht="14.25" customHeight="1" thickBot="1">
      <c r="A127" s="1074" t="s">
        <v>1409</v>
      </c>
      <c r="B127" s="1068" t="s">
        <v>1251</v>
      </c>
      <c r="C127" s="1068">
        <v>10100</v>
      </c>
      <c r="D127" s="1068">
        <v>10070</v>
      </c>
      <c r="E127" s="1068">
        <v>10350</v>
      </c>
      <c r="F127" s="1095"/>
      <c r="H127" s="1093"/>
    </row>
    <row r="128" spans="1:8" s="1062" customFormat="1" ht="14.25" customHeight="1" thickBot="1">
      <c r="A128" s="1074" t="s">
        <v>1409</v>
      </c>
      <c r="B128" s="1068" t="s">
        <v>1261</v>
      </c>
      <c r="C128" s="1068">
        <v>9200</v>
      </c>
      <c r="D128" s="1068">
        <v>9160</v>
      </c>
      <c r="E128" s="1068">
        <v>9660</v>
      </c>
      <c r="F128" s="1095"/>
      <c r="H128" s="1093"/>
    </row>
    <row r="129" spans="1:8" s="1062" customFormat="1" ht="14.25" customHeight="1" thickBot="1">
      <c r="A129" s="1074" t="s">
        <v>1409</v>
      </c>
      <c r="B129" s="1068" t="s">
        <v>1270</v>
      </c>
      <c r="C129" s="1068">
        <v>10340</v>
      </c>
      <c r="D129" s="1068">
        <v>10310</v>
      </c>
      <c r="E129" s="1068">
        <v>10580</v>
      </c>
      <c r="F129" s="1095"/>
      <c r="H129" s="1093"/>
    </row>
    <row r="130" spans="1:8" s="1062" customFormat="1" ht="14.25" customHeight="1" thickBot="1">
      <c r="A130" s="1074" t="s">
        <v>1409</v>
      </c>
      <c r="B130" s="1068" t="s">
        <v>1279</v>
      </c>
      <c r="C130" s="1068">
        <v>9680</v>
      </c>
      <c r="D130" s="1068">
        <v>9660</v>
      </c>
      <c r="E130" s="1068">
        <v>9950</v>
      </c>
      <c r="F130" s="1095"/>
      <c r="H130" s="1093"/>
    </row>
    <row r="131" spans="1:8" s="1062" customFormat="1" ht="14.25" customHeight="1" thickBot="1">
      <c r="A131" s="1074" t="s">
        <v>1409</v>
      </c>
      <c r="B131" s="1068" t="s">
        <v>1287</v>
      </c>
      <c r="C131" s="1068">
        <v>9540</v>
      </c>
      <c r="D131" s="1068">
        <v>9510</v>
      </c>
      <c r="E131" s="1068">
        <v>9790</v>
      </c>
      <c r="F131" s="1095"/>
      <c r="H131" s="1093"/>
    </row>
    <row r="132" spans="1:8" s="1062" customFormat="1" ht="14.25" customHeight="1" thickBot="1">
      <c r="A132" s="1074" t="s">
        <v>1409</v>
      </c>
      <c r="B132" s="1068" t="s">
        <v>1294</v>
      </c>
      <c r="C132" s="1068">
        <v>9320</v>
      </c>
      <c r="D132" s="1068">
        <v>9290</v>
      </c>
      <c r="E132" s="1068">
        <v>9570</v>
      </c>
      <c r="F132" s="1095"/>
      <c r="H132" s="1093"/>
    </row>
    <row r="133" spans="1:8" s="1062" customFormat="1" ht="14.25" customHeight="1" thickBot="1">
      <c r="A133" s="1074" t="s">
        <v>1409</v>
      </c>
      <c r="B133" s="1068" t="s">
        <v>1301</v>
      </c>
      <c r="C133" s="1068">
        <v>10310</v>
      </c>
      <c r="D133" s="1068">
        <v>10280</v>
      </c>
      <c r="E133" s="1068">
        <v>10530</v>
      </c>
      <c r="F133" s="1095"/>
      <c r="H133" s="1093"/>
    </row>
    <row r="134" spans="1:8" s="1062" customFormat="1" ht="14.25" customHeight="1" thickBot="1">
      <c r="A134" s="1074" t="s">
        <v>1409</v>
      </c>
      <c r="B134" s="1068" t="s">
        <v>1308</v>
      </c>
      <c r="C134" s="1068">
        <v>10370</v>
      </c>
      <c r="D134" s="1068">
        <v>10310</v>
      </c>
      <c r="E134" s="1068">
        <v>10240</v>
      </c>
      <c r="F134" s="1086">
        <v>2060</v>
      </c>
      <c r="H134" s="1093"/>
    </row>
    <row r="135" spans="1:8" s="1062" customFormat="1" ht="14.25" customHeight="1" thickBot="1">
      <c r="A135" s="1074" t="s">
        <v>1409</v>
      </c>
      <c r="B135" s="1068" t="s">
        <v>1315</v>
      </c>
      <c r="C135" s="1068">
        <v>9300</v>
      </c>
      <c r="D135" s="1068">
        <v>9270</v>
      </c>
      <c r="E135" s="1068">
        <v>9350</v>
      </c>
      <c r="F135" s="1095"/>
      <c r="H135" s="1093"/>
    </row>
    <row r="136" spans="1:8" s="1062" customFormat="1" ht="14.25" customHeight="1" thickBot="1">
      <c r="A136" s="1074" t="s">
        <v>1409</v>
      </c>
      <c r="B136" s="1068" t="s">
        <v>1322</v>
      </c>
      <c r="C136" s="1068">
        <v>10160</v>
      </c>
      <c r="D136" s="1068">
        <v>10110</v>
      </c>
      <c r="E136" s="1068">
        <v>10080</v>
      </c>
      <c r="F136" s="1095"/>
      <c r="H136" s="1093"/>
    </row>
    <row r="137" spans="1:8" s="1062" customFormat="1" ht="14.25" customHeight="1" thickBot="1">
      <c r="A137" s="1074" t="s">
        <v>1409</v>
      </c>
      <c r="B137" s="1068" t="s">
        <v>1329</v>
      </c>
      <c r="C137" s="1068">
        <v>9200</v>
      </c>
      <c r="D137" s="1068">
        <v>9170</v>
      </c>
      <c r="E137" s="1068">
        <v>9450</v>
      </c>
      <c r="F137" s="1095"/>
      <c r="H137" s="1093"/>
    </row>
    <row r="138" spans="1:8" s="1062" customFormat="1" ht="14.25" customHeight="1" thickBot="1">
      <c r="A138" s="1074" t="s">
        <v>1409</v>
      </c>
      <c r="B138" s="1068" t="s">
        <v>1334</v>
      </c>
      <c r="C138" s="1068">
        <v>9690</v>
      </c>
      <c r="D138" s="1068">
        <v>9660</v>
      </c>
      <c r="E138" s="1068">
        <v>9840</v>
      </c>
      <c r="F138" s="1095"/>
      <c r="H138" s="1093"/>
    </row>
    <row r="139" spans="1:8" s="1062" customFormat="1" ht="14.25" customHeight="1" thickBot="1">
      <c r="A139" s="1074" t="s">
        <v>1409</v>
      </c>
      <c r="B139" s="1068" t="s">
        <v>1338</v>
      </c>
      <c r="C139" s="1068">
        <v>10290</v>
      </c>
      <c r="D139" s="1068">
        <v>10260</v>
      </c>
      <c r="E139" s="1068">
        <v>10550</v>
      </c>
      <c r="F139" s="1086">
        <v>1700</v>
      </c>
      <c r="H139" s="1093"/>
    </row>
    <row r="140" spans="1:8" s="1062" customFormat="1" ht="14.25" customHeight="1" thickBot="1">
      <c r="A140" s="1074" t="s">
        <v>1409</v>
      </c>
      <c r="B140" s="1068" t="s">
        <v>1343</v>
      </c>
      <c r="C140" s="1068">
        <v>9740</v>
      </c>
      <c r="D140" s="1068">
        <v>9710</v>
      </c>
      <c r="E140" s="1068">
        <v>10000</v>
      </c>
      <c r="F140" s="1086">
        <v>2000</v>
      </c>
      <c r="H140" s="1093"/>
    </row>
    <row r="141" spans="1:8" s="1062" customFormat="1" ht="14.25" customHeight="1" thickBot="1">
      <c r="A141" s="1074" t="s">
        <v>1409</v>
      </c>
      <c r="B141" s="1068" t="s">
        <v>1348</v>
      </c>
      <c r="C141" s="1068">
        <v>9810</v>
      </c>
      <c r="D141" s="1068">
        <v>9770</v>
      </c>
      <c r="E141" s="1068">
        <v>10060</v>
      </c>
      <c r="F141" s="1095"/>
      <c r="H141" s="1093"/>
    </row>
    <row r="142" spans="1:8" s="1062" customFormat="1" ht="14.25" customHeight="1" thickBot="1">
      <c r="A142" s="1074" t="s">
        <v>1409</v>
      </c>
      <c r="B142" s="1068" t="s">
        <v>1353</v>
      </c>
      <c r="C142" s="1068">
        <v>9300</v>
      </c>
      <c r="D142" s="1068">
        <v>9270</v>
      </c>
      <c r="E142" s="1068">
        <v>9530</v>
      </c>
      <c r="F142" s="1095"/>
      <c r="H142" s="1093"/>
    </row>
    <row r="143" spans="1:8" s="1062" customFormat="1" ht="14.25" customHeight="1" thickBot="1">
      <c r="A143" s="1074" t="s">
        <v>1409</v>
      </c>
      <c r="B143" s="1068" t="s">
        <v>1358</v>
      </c>
      <c r="C143" s="1068">
        <v>10080</v>
      </c>
      <c r="D143" s="1068">
        <v>10050</v>
      </c>
      <c r="E143" s="1068">
        <v>10340</v>
      </c>
      <c r="F143" s="1095"/>
      <c r="H143" s="1093"/>
    </row>
    <row r="144" spans="1:8" s="1062" customFormat="1" ht="14.25" customHeight="1" thickBot="1">
      <c r="A144" s="1074" t="s">
        <v>1409</v>
      </c>
      <c r="B144" s="1068" t="s">
        <v>1362</v>
      </c>
      <c r="C144" s="1068">
        <v>9820</v>
      </c>
      <c r="D144" s="1068">
        <v>9750</v>
      </c>
      <c r="E144" s="1068">
        <v>9900</v>
      </c>
      <c r="F144" s="1095"/>
      <c r="H144" s="1093"/>
    </row>
    <row r="145" spans="1:8" s="1062" customFormat="1" ht="14.25" customHeight="1" thickBot="1">
      <c r="A145" s="1074" t="s">
        <v>1409</v>
      </c>
      <c r="B145" s="1068" t="s">
        <v>1366</v>
      </c>
      <c r="C145" s="1068"/>
      <c r="D145" s="1068"/>
      <c r="E145" s="1068"/>
      <c r="F145" s="1086">
        <v>1740</v>
      </c>
      <c r="H145" s="1093"/>
    </row>
    <row r="146" spans="1:8" s="1062" customFormat="1" ht="14.25" customHeight="1" thickBot="1">
      <c r="A146" s="1074" t="s">
        <v>1409</v>
      </c>
      <c r="B146" s="1068" t="s">
        <v>1370</v>
      </c>
      <c r="C146" s="1068"/>
      <c r="D146" s="1068"/>
      <c r="E146" s="1068"/>
      <c r="F146" s="1086">
        <v>1740</v>
      </c>
      <c r="H146" s="1093"/>
    </row>
    <row r="147" spans="1:8" s="1062" customFormat="1" ht="14.25" customHeight="1" thickBot="1">
      <c r="A147" s="1074" t="s">
        <v>1409</v>
      </c>
      <c r="B147" s="1068" t="s">
        <v>1374</v>
      </c>
      <c r="C147" s="1068"/>
      <c r="D147" s="1068"/>
      <c r="E147" s="1068"/>
      <c r="F147" s="1086">
        <v>1740</v>
      </c>
      <c r="H147" s="1093"/>
    </row>
    <row r="148" spans="1:8" s="1062" customFormat="1" ht="14.25" customHeight="1" thickBot="1">
      <c r="A148" s="1074" t="s">
        <v>1409</v>
      </c>
      <c r="B148" s="1068" t="s">
        <v>1378</v>
      </c>
      <c r="C148" s="1068"/>
      <c r="D148" s="1068"/>
      <c r="E148" s="1068"/>
      <c r="F148" s="1086">
        <v>1740</v>
      </c>
      <c r="H148" s="1093"/>
    </row>
    <row r="149" spans="1:8" s="1062" customFormat="1" ht="14.25" customHeight="1" thickBot="1">
      <c r="A149" s="1074" t="s">
        <v>1409</v>
      </c>
      <c r="B149" s="1068" t="s">
        <v>1382</v>
      </c>
      <c r="C149" s="1068"/>
      <c r="D149" s="1068"/>
      <c r="E149" s="1068"/>
      <c r="F149" s="1086">
        <v>1740</v>
      </c>
      <c r="H149" s="1093"/>
    </row>
    <row r="150" spans="1:8" s="1062" customFormat="1" ht="14.25" customHeight="1" thickBot="1">
      <c r="A150" s="1074" t="s">
        <v>1409</v>
      </c>
      <c r="B150" s="1068" t="s">
        <v>1385</v>
      </c>
      <c r="C150" s="1068"/>
      <c r="D150" s="1068"/>
      <c r="E150" s="1068"/>
      <c r="F150" s="1086">
        <v>1610</v>
      </c>
      <c r="H150" s="1093"/>
    </row>
    <row r="151" spans="1:8" s="1062" customFormat="1" ht="14.25" customHeight="1" thickBot="1">
      <c r="A151" s="1074" t="s">
        <v>1409</v>
      </c>
      <c r="B151" s="1068" t="s">
        <v>1388</v>
      </c>
      <c r="C151" s="1068"/>
      <c r="D151" s="1068"/>
      <c r="E151" s="1068"/>
      <c r="F151" s="1086">
        <v>1610</v>
      </c>
      <c r="H151" s="1093"/>
    </row>
    <row r="152" spans="1:8" s="1062" customFormat="1" ht="14.25" customHeight="1" thickBot="1">
      <c r="A152" s="1074" t="s">
        <v>1409</v>
      </c>
      <c r="B152" s="1068" t="s">
        <v>1391</v>
      </c>
      <c r="C152" s="1068"/>
      <c r="D152" s="1068"/>
      <c r="E152" s="1068"/>
      <c r="F152" s="1086">
        <v>1610</v>
      </c>
      <c r="H152" s="1093"/>
    </row>
    <row r="153" spans="1:8" s="1062" customFormat="1" ht="14.25" customHeight="1" thickBot="1">
      <c r="A153" s="1074" t="s">
        <v>1409</v>
      </c>
      <c r="B153" s="1068" t="s">
        <v>1394</v>
      </c>
      <c r="C153" s="1068"/>
      <c r="D153" s="1068"/>
      <c r="E153" s="1068"/>
      <c r="F153" s="1086">
        <v>1610</v>
      </c>
      <c r="H153" s="1093"/>
    </row>
    <row r="154" spans="1:8" s="1062" customFormat="1" ht="14.25" customHeight="1" thickBot="1">
      <c r="A154" s="1074" t="s">
        <v>1409</v>
      </c>
      <c r="B154" s="1068" t="s">
        <v>1397</v>
      </c>
      <c r="C154" s="1068"/>
      <c r="D154" s="1068"/>
      <c r="E154" s="1068"/>
      <c r="F154" s="1086">
        <v>1610</v>
      </c>
      <c r="H154" s="1093"/>
    </row>
    <row r="155" spans="1:8" s="1062" customFormat="1" ht="14.25" customHeight="1" thickBot="1">
      <c r="A155" s="1074" t="s">
        <v>1409</v>
      </c>
      <c r="B155" s="1068" t="s">
        <v>1400</v>
      </c>
      <c r="C155" s="1068"/>
      <c r="D155" s="1068"/>
      <c r="E155" s="1068"/>
      <c r="F155" s="1086">
        <v>1800</v>
      </c>
      <c r="H155" s="1093"/>
    </row>
    <row r="156" spans="1:8" s="1062" customFormat="1" ht="14.25" customHeight="1" thickBot="1">
      <c r="A156" s="1074" t="s">
        <v>1409</v>
      </c>
      <c r="B156" s="1068" t="s">
        <v>1402</v>
      </c>
      <c r="C156" s="1068"/>
      <c r="D156" s="1068"/>
      <c r="E156" s="1068"/>
      <c r="F156" s="1086">
        <v>1910</v>
      </c>
      <c r="H156" s="1093"/>
    </row>
    <row r="157" spans="1:8" s="1062" customFormat="1" ht="14.25" customHeight="1" thickBot="1">
      <c r="A157" s="1074" t="s">
        <v>1409</v>
      </c>
      <c r="B157" s="1084" t="s">
        <v>1405</v>
      </c>
      <c r="C157" s="1084"/>
      <c r="D157" s="1084"/>
      <c r="E157" s="1084"/>
      <c r="F157" s="1094">
        <v>1500</v>
      </c>
      <c r="H157" s="1093"/>
    </row>
    <row r="158" spans="1:8" s="1062" customFormat="1" ht="14.25" customHeight="1" thickBot="1">
      <c r="A158" s="1074" t="s">
        <v>1411</v>
      </c>
      <c r="B158" s="1075" t="s">
        <v>1412</v>
      </c>
      <c r="C158" s="1075">
        <v>8170</v>
      </c>
      <c r="D158" s="1075">
        <v>8140</v>
      </c>
      <c r="E158" s="1075">
        <v>8590</v>
      </c>
      <c r="F158" s="1076">
        <v>1450</v>
      </c>
      <c r="H158" s="1093"/>
    </row>
    <row r="159" spans="1:8" s="1062" customFormat="1" ht="14.25" customHeight="1" thickBot="1">
      <c r="A159" s="1074" t="s">
        <v>1411</v>
      </c>
      <c r="B159" s="1068" t="s">
        <v>1076</v>
      </c>
      <c r="C159" s="1068">
        <v>7410</v>
      </c>
      <c r="D159" s="1068">
        <v>7370</v>
      </c>
      <c r="E159" s="1068">
        <v>8030</v>
      </c>
      <c r="F159" s="1086">
        <v>1510</v>
      </c>
      <c r="H159" s="1093"/>
    </row>
    <row r="160" spans="1:8" s="1062" customFormat="1" ht="14.25" customHeight="1" thickBot="1">
      <c r="A160" s="1074" t="s">
        <v>1411</v>
      </c>
      <c r="B160" s="1068" t="s">
        <v>1090</v>
      </c>
      <c r="C160" s="1068">
        <v>7240</v>
      </c>
      <c r="D160" s="1068">
        <v>7210</v>
      </c>
      <c r="E160" s="1068">
        <v>7860</v>
      </c>
      <c r="F160" s="1086">
        <v>1370</v>
      </c>
      <c r="H160" s="1093"/>
    </row>
    <row r="161" spans="1:8" s="1062" customFormat="1" ht="14.25" customHeight="1" thickBot="1">
      <c r="A161" s="1074" t="s">
        <v>1411</v>
      </c>
      <c r="B161" s="1068" t="s">
        <v>1103</v>
      </c>
      <c r="C161" s="1068">
        <v>7720</v>
      </c>
      <c r="D161" s="1068">
        <v>7690</v>
      </c>
      <c r="E161" s="1068">
        <v>8200</v>
      </c>
      <c r="F161" s="1086">
        <v>1190</v>
      </c>
      <c r="H161" s="1093"/>
    </row>
    <row r="162" spans="1:8" s="1062" customFormat="1" ht="14.25" customHeight="1" thickBot="1">
      <c r="A162" s="1074" t="s">
        <v>1411</v>
      </c>
      <c r="B162" s="1068" t="s">
        <v>1117</v>
      </c>
      <c r="C162" s="1068">
        <v>6900</v>
      </c>
      <c r="D162" s="1068">
        <v>6870</v>
      </c>
      <c r="E162" s="1068">
        <v>7500</v>
      </c>
      <c r="F162" s="1086">
        <v>1390</v>
      </c>
      <c r="H162" s="1093"/>
    </row>
    <row r="163" spans="1:8" s="1062" customFormat="1" ht="14.25" customHeight="1" thickBot="1">
      <c r="A163" s="1074" t="s">
        <v>1411</v>
      </c>
      <c r="B163" s="1068" t="s">
        <v>1128</v>
      </c>
      <c r="C163" s="1068">
        <v>7120</v>
      </c>
      <c r="D163" s="1068">
        <v>7090</v>
      </c>
      <c r="E163" s="1068">
        <v>7690</v>
      </c>
      <c r="F163" s="1086">
        <v>1230</v>
      </c>
      <c r="H163" s="1093"/>
    </row>
    <row r="164" spans="1:8" s="1062" customFormat="1" ht="14.25" customHeight="1" thickBot="1">
      <c r="A164" s="1074" t="s">
        <v>1411</v>
      </c>
      <c r="B164" s="1068" t="s">
        <v>1139</v>
      </c>
      <c r="C164" s="1068">
        <v>6560</v>
      </c>
      <c r="D164" s="1068">
        <v>6530</v>
      </c>
      <c r="E164" s="1068">
        <v>7110</v>
      </c>
      <c r="F164" s="1086">
        <v>1340</v>
      </c>
      <c r="H164" s="1093"/>
    </row>
    <row r="165" spans="1:8" s="1062" customFormat="1" ht="14.25" customHeight="1" thickBot="1">
      <c r="A165" s="1074" t="s">
        <v>1411</v>
      </c>
      <c r="B165" s="1068" t="s">
        <v>1150</v>
      </c>
      <c r="C165" s="1068">
        <v>7450</v>
      </c>
      <c r="D165" s="1068">
        <v>7430</v>
      </c>
      <c r="E165" s="1068">
        <v>8110</v>
      </c>
      <c r="F165" s="1086">
        <v>1290</v>
      </c>
      <c r="H165" s="1093"/>
    </row>
    <row r="166" spans="1:8" s="1062" customFormat="1" ht="14.25" customHeight="1" thickBot="1">
      <c r="A166" s="1074" t="s">
        <v>1411</v>
      </c>
      <c r="B166" s="1068" t="s">
        <v>1162</v>
      </c>
      <c r="C166" s="1068">
        <v>7490</v>
      </c>
      <c r="D166" s="1068">
        <v>7460</v>
      </c>
      <c r="E166" s="1068">
        <v>8150</v>
      </c>
      <c r="F166" s="1086">
        <v>1350</v>
      </c>
      <c r="H166" s="1093"/>
    </row>
    <row r="167" spans="1:8" s="1062" customFormat="1" ht="14.25" customHeight="1" thickBot="1">
      <c r="A167" s="1074" t="s">
        <v>1411</v>
      </c>
      <c r="B167" s="1068" t="s">
        <v>1172</v>
      </c>
      <c r="C167" s="1068">
        <v>7540</v>
      </c>
      <c r="D167" s="1068">
        <v>7510</v>
      </c>
      <c r="E167" s="1068">
        <v>8030</v>
      </c>
      <c r="F167" s="1095"/>
      <c r="H167" s="1093"/>
    </row>
    <row r="168" spans="1:8" s="1062" customFormat="1" ht="14.25" customHeight="1" thickBot="1">
      <c r="A168" s="1074" t="s">
        <v>1411</v>
      </c>
      <c r="B168" s="1068" t="s">
        <v>1182</v>
      </c>
      <c r="C168" s="1068">
        <v>7210</v>
      </c>
      <c r="D168" s="1068">
        <v>7180</v>
      </c>
      <c r="E168" s="1068">
        <v>7830</v>
      </c>
      <c r="F168" s="1095"/>
      <c r="H168" s="1093"/>
    </row>
    <row r="169" spans="1:8" s="1062" customFormat="1" ht="14.25" customHeight="1" thickBot="1">
      <c r="A169" s="1074" t="s">
        <v>1411</v>
      </c>
      <c r="B169" s="1068" t="s">
        <v>1192</v>
      </c>
      <c r="C169" s="1068">
        <v>7040</v>
      </c>
      <c r="D169" s="1068">
        <v>7020</v>
      </c>
      <c r="E169" s="1068">
        <v>7670</v>
      </c>
      <c r="F169" s="1095"/>
      <c r="H169" s="1093"/>
    </row>
    <row r="170" spans="1:8" s="1062" customFormat="1" ht="14.25" customHeight="1" thickBot="1">
      <c r="A170" s="1074" t="s">
        <v>1411</v>
      </c>
      <c r="B170" s="1068" t="s">
        <v>1202</v>
      </c>
      <c r="C170" s="1068">
        <v>8040</v>
      </c>
      <c r="D170" s="1068">
        <v>7190</v>
      </c>
      <c r="E170" s="1068">
        <v>7850</v>
      </c>
      <c r="F170" s="1095"/>
      <c r="H170" s="1093"/>
    </row>
    <row r="171" spans="1:8" s="1062" customFormat="1" ht="14.25" customHeight="1" thickBot="1">
      <c r="A171" s="1074" t="s">
        <v>1411</v>
      </c>
      <c r="B171" s="1068" t="s">
        <v>1212</v>
      </c>
      <c r="C171" s="1068">
        <v>7860</v>
      </c>
      <c r="D171" s="1068">
        <v>7720</v>
      </c>
      <c r="E171" s="1068">
        <v>8150</v>
      </c>
      <c r="F171" s="1086">
        <v>1110</v>
      </c>
      <c r="H171" s="1093"/>
    </row>
    <row r="172" spans="1:8" s="1062" customFormat="1" ht="14.25" customHeight="1" thickBot="1">
      <c r="A172" s="1074" t="s">
        <v>1411</v>
      </c>
      <c r="B172" s="1068" t="s">
        <v>1222</v>
      </c>
      <c r="C172" s="1068">
        <v>7210</v>
      </c>
      <c r="D172" s="1068">
        <v>7170</v>
      </c>
      <c r="E172" s="1068">
        <v>7320</v>
      </c>
      <c r="F172" s="1095"/>
      <c r="H172" s="1093"/>
    </row>
    <row r="173" spans="1:8" s="1062" customFormat="1" ht="14.25" customHeight="1" thickBot="1">
      <c r="A173" s="1074" t="s">
        <v>1411</v>
      </c>
      <c r="B173" s="1068" t="s">
        <v>1232</v>
      </c>
      <c r="C173" s="1068">
        <v>6860</v>
      </c>
      <c r="D173" s="1068">
        <v>6810</v>
      </c>
      <c r="E173" s="1068">
        <v>7440</v>
      </c>
      <c r="F173" s="1095"/>
      <c r="H173" s="1093"/>
    </row>
    <row r="174" spans="1:8" s="1062" customFormat="1" ht="14.25" customHeight="1" thickBot="1">
      <c r="A174" s="1074" t="s">
        <v>1411</v>
      </c>
      <c r="B174" s="1068" t="s">
        <v>1242</v>
      </c>
      <c r="C174" s="1068">
        <v>7120</v>
      </c>
      <c r="D174" s="1068">
        <v>7090</v>
      </c>
      <c r="E174" s="1068">
        <v>7500</v>
      </c>
      <c r="F174" s="1086">
        <v>1490</v>
      </c>
      <c r="H174" s="1093"/>
    </row>
    <row r="175" spans="1:8" s="1062" customFormat="1" ht="14.25" customHeight="1" thickBot="1">
      <c r="A175" s="1074" t="s">
        <v>1411</v>
      </c>
      <c r="B175" s="1068" t="s">
        <v>1252</v>
      </c>
      <c r="C175" s="1068">
        <v>7850</v>
      </c>
      <c r="D175" s="1068">
        <v>7820</v>
      </c>
      <c r="E175" s="1068">
        <v>8120</v>
      </c>
      <c r="F175" s="1086">
        <v>1530</v>
      </c>
      <c r="H175" s="1093"/>
    </row>
    <row r="176" spans="1:8" s="1062" customFormat="1" ht="14.25" customHeight="1" thickBot="1">
      <c r="A176" s="1074" t="s">
        <v>1411</v>
      </c>
      <c r="B176" s="1068" t="s">
        <v>1262</v>
      </c>
      <c r="C176" s="1068">
        <v>7620</v>
      </c>
      <c r="D176" s="1068">
        <v>7570</v>
      </c>
      <c r="E176" s="1068">
        <v>7990</v>
      </c>
      <c r="F176" s="1086">
        <v>1480</v>
      </c>
      <c r="H176" s="1093"/>
    </row>
    <row r="177" spans="1:8" s="1062" customFormat="1" ht="14.25" customHeight="1" thickBot="1">
      <c r="A177" s="1074" t="s">
        <v>1411</v>
      </c>
      <c r="B177" s="1068" t="s">
        <v>1271</v>
      </c>
      <c r="C177" s="1068">
        <v>8590</v>
      </c>
      <c r="D177" s="1068">
        <v>8570</v>
      </c>
      <c r="E177" s="1068">
        <v>8740</v>
      </c>
      <c r="F177" s="1086">
        <v>1540</v>
      </c>
      <c r="H177" s="1093"/>
    </row>
    <row r="178" spans="1:8" s="1062" customFormat="1" ht="14.25" customHeight="1" thickBot="1">
      <c r="A178" s="1074" t="s">
        <v>1411</v>
      </c>
      <c r="B178" s="1068" t="s">
        <v>1280</v>
      </c>
      <c r="C178" s="1068">
        <v>7510</v>
      </c>
      <c r="D178" s="1068">
        <v>7470</v>
      </c>
      <c r="E178" s="1068">
        <v>8090</v>
      </c>
      <c r="F178" s="1086">
        <v>1320</v>
      </c>
      <c r="H178" s="1093"/>
    </row>
    <row r="179" spans="1:8" s="1062" customFormat="1" ht="14.25" customHeight="1" thickBot="1">
      <c r="A179" s="1074" t="s">
        <v>1411</v>
      </c>
      <c r="B179" s="1068" t="s">
        <v>1288</v>
      </c>
      <c r="C179" s="1068">
        <v>6380</v>
      </c>
      <c r="D179" s="1068">
        <v>6340</v>
      </c>
      <c r="E179" s="1068">
        <v>6810</v>
      </c>
      <c r="F179" s="1095"/>
      <c r="H179" s="1093"/>
    </row>
    <row r="180" spans="1:8" s="1062" customFormat="1" ht="14.25" customHeight="1" thickBot="1">
      <c r="A180" s="1074" t="s">
        <v>1411</v>
      </c>
      <c r="B180" s="1068" t="s">
        <v>1295</v>
      </c>
      <c r="C180" s="1068">
        <v>7830</v>
      </c>
      <c r="D180" s="1068">
        <v>7800</v>
      </c>
      <c r="E180" s="1068">
        <v>7780</v>
      </c>
      <c r="F180" s="1086">
        <v>1440</v>
      </c>
      <c r="H180" s="1093"/>
    </row>
    <row r="181" spans="1:8" s="1062" customFormat="1" ht="14.25" customHeight="1" thickBot="1">
      <c r="A181" s="1074" t="s">
        <v>1411</v>
      </c>
      <c r="B181" s="1068" t="s">
        <v>1302</v>
      </c>
      <c r="C181" s="1068">
        <v>7110</v>
      </c>
      <c r="D181" s="1068">
        <v>7080</v>
      </c>
      <c r="E181" s="1068">
        <v>7730</v>
      </c>
      <c r="F181" s="1086">
        <v>1350</v>
      </c>
      <c r="H181" s="1093"/>
    </row>
    <row r="182" spans="1:8" s="1062" customFormat="1" ht="14.25" customHeight="1" thickBot="1">
      <c r="A182" s="1074" t="s">
        <v>1411</v>
      </c>
      <c r="B182" s="1068" t="s">
        <v>1309</v>
      </c>
      <c r="C182" s="1068">
        <v>7310</v>
      </c>
      <c r="D182" s="1068">
        <v>7280</v>
      </c>
      <c r="E182" s="1068">
        <v>7950</v>
      </c>
      <c r="F182" s="1086">
        <v>1220</v>
      </c>
      <c r="H182" s="1093"/>
    </row>
    <row r="183" spans="1:8" s="1062" customFormat="1" ht="14.25" customHeight="1" thickBot="1">
      <c r="A183" s="1074" t="s">
        <v>1411</v>
      </c>
      <c r="B183" s="1068" t="s">
        <v>1316</v>
      </c>
      <c r="C183" s="1068">
        <v>7470</v>
      </c>
      <c r="D183" s="1068">
        <v>7440</v>
      </c>
      <c r="E183" s="1068">
        <v>7880</v>
      </c>
      <c r="F183" s="1095"/>
      <c r="H183" s="1093"/>
    </row>
    <row r="184" spans="1:8" s="1062" customFormat="1" ht="14.25" customHeight="1" thickBot="1">
      <c r="A184" s="1074" t="s">
        <v>1411</v>
      </c>
      <c r="B184" s="1068" t="s">
        <v>1323</v>
      </c>
      <c r="C184" s="1068">
        <v>6960</v>
      </c>
      <c r="D184" s="1068">
        <v>6930</v>
      </c>
      <c r="E184" s="1068">
        <v>7570</v>
      </c>
      <c r="F184" s="1095"/>
      <c r="H184" s="1093"/>
    </row>
    <row r="185" spans="1:8" s="1062" customFormat="1" ht="14.25" customHeight="1" thickBot="1">
      <c r="A185" s="1074" t="s">
        <v>1411</v>
      </c>
      <c r="B185" s="1068" t="s">
        <v>1330</v>
      </c>
      <c r="C185" s="1068">
        <v>7260</v>
      </c>
      <c r="D185" s="1068">
        <v>7230</v>
      </c>
      <c r="E185" s="1068">
        <v>7710</v>
      </c>
      <c r="F185" s="1086">
        <v>1360</v>
      </c>
      <c r="H185" s="1093"/>
    </row>
    <row r="186" spans="1:8" s="1062" customFormat="1" ht="14.25" customHeight="1" thickBot="1">
      <c r="A186" s="1074" t="s">
        <v>1411</v>
      </c>
      <c r="B186" s="1068" t="s">
        <v>1335</v>
      </c>
      <c r="C186" s="1068"/>
      <c r="D186" s="1068"/>
      <c r="E186" s="1068"/>
      <c r="F186" s="1086">
        <v>1560</v>
      </c>
      <c r="H186" s="1093"/>
    </row>
    <row r="187" spans="1:8" s="1062" customFormat="1" ht="14.25" customHeight="1" thickBot="1">
      <c r="A187" s="1074" t="s">
        <v>1411</v>
      </c>
      <c r="B187" s="1068" t="s">
        <v>1339</v>
      </c>
      <c r="C187" s="1068"/>
      <c r="D187" s="1068"/>
      <c r="E187" s="1068"/>
      <c r="F187" s="1086">
        <v>1560</v>
      </c>
      <c r="H187" s="1093"/>
    </row>
    <row r="188" spans="1:8" s="1062" customFormat="1" ht="14.25" customHeight="1" thickBot="1">
      <c r="A188" s="1074" t="s">
        <v>1411</v>
      </c>
      <c r="B188" s="1068" t="s">
        <v>1344</v>
      </c>
      <c r="C188" s="1068"/>
      <c r="D188" s="1068"/>
      <c r="E188" s="1068"/>
      <c r="F188" s="1086">
        <v>1560</v>
      </c>
      <c r="H188" s="1093"/>
    </row>
    <row r="189" spans="1:8" s="1062" customFormat="1" ht="14.25" customHeight="1" thickBot="1">
      <c r="A189" s="1074" t="s">
        <v>1411</v>
      </c>
      <c r="B189" s="1068" t="s">
        <v>1349</v>
      </c>
      <c r="C189" s="1068"/>
      <c r="D189" s="1068"/>
      <c r="E189" s="1068"/>
      <c r="F189" s="1086">
        <v>1320</v>
      </c>
      <c r="H189" s="1093"/>
    </row>
    <row r="190" spans="1:8" s="1062" customFormat="1" ht="14.25" customHeight="1" thickBot="1">
      <c r="A190" s="1074" t="s">
        <v>1411</v>
      </c>
      <c r="B190" s="1068" t="s">
        <v>1354</v>
      </c>
      <c r="C190" s="1068"/>
      <c r="D190" s="1068"/>
      <c r="E190" s="1068"/>
      <c r="F190" s="1086">
        <v>1320</v>
      </c>
      <c r="H190" s="1093"/>
    </row>
    <row r="191" spans="1:8" s="1062" customFormat="1" ht="14.25" customHeight="1" thickBot="1">
      <c r="A191" s="1074" t="s">
        <v>1411</v>
      </c>
      <c r="B191" s="1068" t="s">
        <v>1359</v>
      </c>
      <c r="C191" s="1068"/>
      <c r="D191" s="1068"/>
      <c r="E191" s="1068"/>
      <c r="F191" s="1086">
        <v>1320</v>
      </c>
      <c r="H191" s="1093"/>
    </row>
    <row r="192" spans="1:8" s="1062" customFormat="1" ht="14.25" customHeight="1" thickBot="1">
      <c r="A192" s="1074" t="s">
        <v>1411</v>
      </c>
      <c r="B192" s="1068" t="s">
        <v>1363</v>
      </c>
      <c r="C192" s="1068"/>
      <c r="D192" s="1068"/>
      <c r="E192" s="1068"/>
      <c r="F192" s="1086">
        <v>1100</v>
      </c>
      <c r="H192" s="1093"/>
    </row>
    <row r="193" spans="1:8" s="1062" customFormat="1" ht="14.25" customHeight="1" thickBot="1">
      <c r="A193" s="1074" t="s">
        <v>1411</v>
      </c>
      <c r="B193" s="1068" t="s">
        <v>1367</v>
      </c>
      <c r="C193" s="1068"/>
      <c r="D193" s="1068"/>
      <c r="E193" s="1068"/>
      <c r="F193" s="1086">
        <v>1100</v>
      </c>
      <c r="H193" s="1093"/>
    </row>
    <row r="194" spans="1:8" s="1062" customFormat="1" ht="14.25" customHeight="1" thickBot="1">
      <c r="A194" s="1074" t="s">
        <v>1411</v>
      </c>
      <c r="B194" s="1068" t="s">
        <v>1371</v>
      </c>
      <c r="C194" s="1068"/>
      <c r="D194" s="1068"/>
      <c r="E194" s="1068"/>
      <c r="F194" s="1086">
        <v>1080</v>
      </c>
      <c r="H194" s="1093"/>
    </row>
    <row r="195" spans="1:8" s="1062" customFormat="1" ht="14.25" customHeight="1" thickBot="1">
      <c r="A195" s="1074" t="s">
        <v>1411</v>
      </c>
      <c r="B195" s="1068" t="s">
        <v>1375</v>
      </c>
      <c r="C195" s="1068"/>
      <c r="D195" s="1068"/>
      <c r="E195" s="1068"/>
      <c r="F195" s="1086">
        <v>1270</v>
      </c>
      <c r="H195" s="1093"/>
    </row>
    <row r="196" spans="1:8" s="1062" customFormat="1" ht="14.25" customHeight="1" thickBot="1">
      <c r="A196" s="1074" t="s">
        <v>1411</v>
      </c>
      <c r="B196" s="1068" t="s">
        <v>1379</v>
      </c>
      <c r="C196" s="1068"/>
      <c r="D196" s="1068"/>
      <c r="E196" s="1068"/>
      <c r="F196" s="1086">
        <v>1150</v>
      </c>
      <c r="H196" s="1093"/>
    </row>
    <row r="197" spans="1:8" s="1062" customFormat="1" ht="14.25" customHeight="1" thickBot="1">
      <c r="A197" s="1074" t="s">
        <v>1411</v>
      </c>
      <c r="B197" s="1068" t="s">
        <v>1383</v>
      </c>
      <c r="C197" s="1068"/>
      <c r="D197" s="1068"/>
      <c r="E197" s="1068"/>
      <c r="F197" s="1086">
        <v>1330</v>
      </c>
      <c r="H197" s="1093"/>
    </row>
    <row r="198" spans="1:8" s="1062" customFormat="1" ht="14.25" customHeight="1" thickBot="1">
      <c r="A198" s="1074" t="s">
        <v>1411</v>
      </c>
      <c r="B198" s="1068" t="s">
        <v>1386</v>
      </c>
      <c r="C198" s="1068"/>
      <c r="D198" s="1068"/>
      <c r="E198" s="1068"/>
      <c r="F198" s="1086">
        <v>1170</v>
      </c>
      <c r="H198" s="1093"/>
    </row>
    <row r="199" spans="1:8" s="1062" customFormat="1" ht="14.25" customHeight="1" thickBot="1">
      <c r="A199" s="1074" t="s">
        <v>1411</v>
      </c>
      <c r="B199" s="1068" t="s">
        <v>1389</v>
      </c>
      <c r="C199" s="1068"/>
      <c r="D199" s="1068"/>
      <c r="E199" s="1068"/>
      <c r="F199" s="1086">
        <v>1120</v>
      </c>
      <c r="H199" s="1093"/>
    </row>
    <row r="200" spans="1:8" s="1062" customFormat="1" ht="14.25" customHeight="1" thickBot="1">
      <c r="A200" s="1074" t="s">
        <v>1411</v>
      </c>
      <c r="B200" s="1068" t="s">
        <v>1392</v>
      </c>
      <c r="C200" s="1068"/>
      <c r="D200" s="1068"/>
      <c r="E200" s="1068"/>
      <c r="F200" s="1086">
        <v>1120</v>
      </c>
      <c r="H200" s="1093"/>
    </row>
    <row r="201" spans="1:8" s="1062" customFormat="1" ht="14.25" customHeight="1" thickBot="1">
      <c r="A201" s="1074" t="s">
        <v>1411</v>
      </c>
      <c r="B201" s="1068" t="s">
        <v>1395</v>
      </c>
      <c r="C201" s="1068"/>
      <c r="D201" s="1068"/>
      <c r="E201" s="1068"/>
      <c r="F201" s="1086">
        <v>1540</v>
      </c>
      <c r="H201" s="1093"/>
    </row>
    <row r="202" spans="1:8" s="1062" customFormat="1" ht="14.25" customHeight="1" thickBot="1">
      <c r="A202" s="1074" t="s">
        <v>1411</v>
      </c>
      <c r="B202" s="1068" t="s">
        <v>1398</v>
      </c>
      <c r="C202" s="1068"/>
      <c r="D202" s="1068"/>
      <c r="E202" s="1068"/>
      <c r="F202" s="1086">
        <v>1310</v>
      </c>
      <c r="H202" s="1093"/>
    </row>
    <row r="203" spans="1:8" s="1062" customFormat="1" ht="14.25" customHeight="1" thickBot="1">
      <c r="A203" s="1074" t="s">
        <v>1411</v>
      </c>
      <c r="B203" s="1068" t="s">
        <v>1401</v>
      </c>
      <c r="C203" s="1068"/>
      <c r="D203" s="1068"/>
      <c r="E203" s="1068"/>
      <c r="F203" s="1086">
        <v>1310</v>
      </c>
      <c r="H203" s="1093"/>
    </row>
    <row r="204" spans="1:8" s="1062" customFormat="1" ht="14.25" customHeight="1" thickBot="1">
      <c r="A204" s="1074" t="s">
        <v>1411</v>
      </c>
      <c r="B204" s="1068" t="s">
        <v>1403</v>
      </c>
      <c r="C204" s="1068"/>
      <c r="D204" s="1068"/>
      <c r="E204" s="1068"/>
      <c r="F204" s="1086">
        <v>1080</v>
      </c>
      <c r="H204" s="1093"/>
    </row>
    <row r="205" spans="1:8" s="1062" customFormat="1" ht="14.25" customHeight="1" thickBot="1">
      <c r="A205" s="1074" t="s">
        <v>1411</v>
      </c>
      <c r="B205" s="1068" t="s">
        <v>1406</v>
      </c>
      <c r="C205" s="1068"/>
      <c r="D205" s="1068"/>
      <c r="E205" s="1068"/>
      <c r="F205" s="1086">
        <v>1080</v>
      </c>
      <c r="H205" s="1093"/>
    </row>
    <row r="206" spans="1:8" s="1062" customFormat="1" ht="14.25" customHeight="1" thickBot="1">
      <c r="A206" s="1074" t="s">
        <v>1413</v>
      </c>
      <c r="B206" s="1075" t="s">
        <v>1414</v>
      </c>
      <c r="C206" s="1075">
        <v>5450</v>
      </c>
      <c r="D206" s="1075">
        <v>5430</v>
      </c>
      <c r="E206" s="1075">
        <v>5700</v>
      </c>
      <c r="F206" s="1076">
        <v>1020</v>
      </c>
      <c r="H206" s="1093"/>
    </row>
    <row r="207" spans="1:8" s="1062" customFormat="1" ht="14.25" customHeight="1" thickBot="1">
      <c r="A207" s="1074" t="s">
        <v>1413</v>
      </c>
      <c r="B207" s="1068" t="s">
        <v>1077</v>
      </c>
      <c r="C207" s="1068">
        <v>5860</v>
      </c>
      <c r="D207" s="1068">
        <v>5820</v>
      </c>
      <c r="E207" s="1068">
        <v>6050</v>
      </c>
      <c r="F207" s="1086">
        <v>1080</v>
      </c>
      <c r="H207" s="1093"/>
    </row>
    <row r="208" spans="1:8" s="1062" customFormat="1" ht="14.25" customHeight="1" thickBot="1">
      <c r="A208" s="1074" t="s">
        <v>1413</v>
      </c>
      <c r="B208" s="1068" t="s">
        <v>1091</v>
      </c>
      <c r="C208" s="1068">
        <v>4630</v>
      </c>
      <c r="D208" s="1068">
        <v>4600</v>
      </c>
      <c r="E208" s="1068">
        <v>4840</v>
      </c>
      <c r="F208" s="1086">
        <v>900</v>
      </c>
      <c r="H208" s="1093"/>
    </row>
    <row r="209" spans="1:8" s="1062" customFormat="1" ht="14.25" customHeight="1" thickBot="1">
      <c r="A209" s="1074" t="s">
        <v>1413</v>
      </c>
      <c r="B209" s="1068" t="s">
        <v>1104</v>
      </c>
      <c r="C209" s="1068">
        <v>5320</v>
      </c>
      <c r="D209" s="1068">
        <v>5270</v>
      </c>
      <c r="E209" s="1068">
        <v>5540</v>
      </c>
      <c r="F209" s="1086">
        <v>980</v>
      </c>
      <c r="H209" s="1093"/>
    </row>
    <row r="210" spans="1:8" s="1062" customFormat="1" ht="14.25" customHeight="1" thickBot="1">
      <c r="A210" s="1074" t="s">
        <v>1413</v>
      </c>
      <c r="B210" s="1068" t="s">
        <v>1118</v>
      </c>
      <c r="C210" s="1068">
        <v>5760</v>
      </c>
      <c r="D210" s="1068">
        <v>5710</v>
      </c>
      <c r="E210" s="1068">
        <v>6010</v>
      </c>
      <c r="F210" s="1086">
        <v>870</v>
      </c>
      <c r="H210" s="1093"/>
    </row>
    <row r="211" spans="1:8" s="1062" customFormat="1" ht="14.25" customHeight="1" thickBot="1">
      <c r="A211" s="1074" t="s">
        <v>1413</v>
      </c>
      <c r="B211" s="1068" t="s">
        <v>1129</v>
      </c>
      <c r="C211" s="1068">
        <v>4160</v>
      </c>
      <c r="D211" s="1068">
        <v>4100</v>
      </c>
      <c r="E211" s="1068">
        <v>4270</v>
      </c>
      <c r="F211" s="1086">
        <v>790</v>
      </c>
      <c r="H211" s="1093"/>
    </row>
    <row r="212" spans="1:8" s="1062" customFormat="1" ht="14.25" customHeight="1" thickBot="1">
      <c r="A212" s="1074" t="s">
        <v>1413</v>
      </c>
      <c r="B212" s="1068" t="s">
        <v>1140</v>
      </c>
      <c r="C212" s="1068">
        <v>4880</v>
      </c>
      <c r="D212" s="1068">
        <v>4850</v>
      </c>
      <c r="E212" s="1068">
        <v>5110</v>
      </c>
      <c r="F212" s="1086">
        <v>940</v>
      </c>
      <c r="H212" s="1093"/>
    </row>
    <row r="213" spans="1:8" s="1062" customFormat="1" ht="14.25" customHeight="1" thickBot="1">
      <c r="A213" s="1074" t="s">
        <v>1413</v>
      </c>
      <c r="B213" s="1068" t="s">
        <v>1151</v>
      </c>
      <c r="C213" s="1068">
        <v>4640</v>
      </c>
      <c r="D213" s="1068">
        <v>4590</v>
      </c>
      <c r="E213" s="1068">
        <v>4700</v>
      </c>
      <c r="F213" s="1086">
        <v>1030</v>
      </c>
      <c r="H213" s="1093"/>
    </row>
    <row r="214" spans="1:8" s="1062" customFormat="1" ht="14.25" customHeight="1" thickBot="1">
      <c r="A214" s="1074" t="s">
        <v>1413</v>
      </c>
      <c r="B214" s="1068" t="s">
        <v>1163</v>
      </c>
      <c r="C214" s="1068">
        <v>4540</v>
      </c>
      <c r="D214" s="1068">
        <v>4490</v>
      </c>
      <c r="E214" s="1068">
        <v>4610</v>
      </c>
      <c r="F214" s="1095"/>
      <c r="H214" s="1093"/>
    </row>
    <row r="215" spans="1:8" s="1062" customFormat="1" ht="14.25" customHeight="1" thickBot="1">
      <c r="A215" s="1074" t="s">
        <v>1413</v>
      </c>
      <c r="B215" s="1068" t="s">
        <v>1173</v>
      </c>
      <c r="C215" s="1068">
        <v>5280</v>
      </c>
      <c r="D215" s="1068">
        <v>5250</v>
      </c>
      <c r="E215" s="1068">
        <v>5520</v>
      </c>
      <c r="F215" s="1086">
        <v>1000</v>
      </c>
      <c r="H215" s="1093"/>
    </row>
    <row r="216" spans="1:8" s="1062" customFormat="1" ht="14.25" customHeight="1" thickBot="1">
      <c r="A216" s="1074" t="s">
        <v>1413</v>
      </c>
      <c r="B216" s="1068" t="s">
        <v>1183</v>
      </c>
      <c r="C216" s="1068">
        <v>5100</v>
      </c>
      <c r="D216" s="1068">
        <v>5050</v>
      </c>
      <c r="E216" s="1068">
        <v>5300</v>
      </c>
      <c r="F216" s="1086">
        <v>950</v>
      </c>
      <c r="H216" s="1093"/>
    </row>
    <row r="217" spans="1:8" s="1062" customFormat="1" ht="14.25" customHeight="1" thickBot="1">
      <c r="A217" s="1074" t="s">
        <v>1413</v>
      </c>
      <c r="B217" s="1068" t="s">
        <v>1193</v>
      </c>
      <c r="C217" s="1068">
        <v>5370</v>
      </c>
      <c r="D217" s="1068">
        <v>5320</v>
      </c>
      <c r="E217" s="1068">
        <v>5410</v>
      </c>
      <c r="F217" s="1086">
        <v>950</v>
      </c>
      <c r="H217" s="1093"/>
    </row>
    <row r="218" spans="1:8" s="1062" customFormat="1" ht="14.25" customHeight="1" thickBot="1">
      <c r="A218" s="1074" t="s">
        <v>1413</v>
      </c>
      <c r="B218" s="1068" t="s">
        <v>1203</v>
      </c>
      <c r="C218" s="1068">
        <v>5540</v>
      </c>
      <c r="D218" s="1068">
        <v>5480</v>
      </c>
      <c r="E218" s="1068">
        <v>5740</v>
      </c>
      <c r="F218" s="1086">
        <v>1020</v>
      </c>
      <c r="H218" s="1093"/>
    </row>
    <row r="219" spans="1:8" s="1062" customFormat="1" ht="14.25" customHeight="1" thickBot="1">
      <c r="A219" s="1074" t="s">
        <v>1413</v>
      </c>
      <c r="B219" s="1068" t="s">
        <v>1213</v>
      </c>
      <c r="C219" s="1068">
        <v>5140</v>
      </c>
      <c r="D219" s="1068">
        <v>5100</v>
      </c>
      <c r="E219" s="1068">
        <v>5350</v>
      </c>
      <c r="F219" s="1086">
        <v>1120</v>
      </c>
      <c r="H219" s="1093"/>
    </row>
    <row r="220" spans="1:8" s="1062" customFormat="1" ht="14.25" customHeight="1" thickBot="1">
      <c r="A220" s="1074" t="s">
        <v>1413</v>
      </c>
      <c r="B220" s="1068" t="s">
        <v>1223</v>
      </c>
      <c r="C220" s="1068">
        <v>5040</v>
      </c>
      <c r="D220" s="1068">
        <v>5000</v>
      </c>
      <c r="E220" s="1068">
        <v>5240</v>
      </c>
      <c r="F220" s="1086">
        <v>980</v>
      </c>
      <c r="H220" s="1093"/>
    </row>
    <row r="221" spans="1:8" s="1062" customFormat="1" ht="14.25" customHeight="1" thickBot="1">
      <c r="A221" s="1074" t="s">
        <v>1413</v>
      </c>
      <c r="B221" s="1068" t="s">
        <v>1233</v>
      </c>
      <c r="C221" s="1096"/>
      <c r="D221" s="1096"/>
      <c r="E221" s="1096"/>
      <c r="F221" s="1086">
        <v>1070</v>
      </c>
      <c r="H221" s="1093"/>
    </row>
    <row r="222" spans="1:8" s="1062" customFormat="1" ht="14.25" customHeight="1" thickBot="1">
      <c r="A222" s="1074" t="s">
        <v>1413</v>
      </c>
      <c r="B222" s="1068" t="s">
        <v>1243</v>
      </c>
      <c r="C222" s="1096"/>
      <c r="D222" s="1096"/>
      <c r="E222" s="1096"/>
      <c r="F222" s="1086">
        <v>870</v>
      </c>
      <c r="H222" s="1093"/>
    </row>
    <row r="223" spans="1:8" s="1062" customFormat="1" ht="14.25" customHeight="1" thickBot="1">
      <c r="A223" s="1074" t="s">
        <v>1413</v>
      </c>
      <c r="B223" s="1068" t="s">
        <v>1253</v>
      </c>
      <c r="C223" s="1096"/>
      <c r="D223" s="1096"/>
      <c r="E223" s="1096"/>
      <c r="F223" s="1086">
        <v>940</v>
      </c>
      <c r="H223" s="1093"/>
    </row>
    <row r="224" spans="1:8" s="1062" customFormat="1" ht="14.25" customHeight="1" thickBot="1">
      <c r="A224" s="1074" t="s">
        <v>1413</v>
      </c>
      <c r="B224" s="1068" t="s">
        <v>1263</v>
      </c>
      <c r="C224" s="1096"/>
      <c r="D224" s="1096"/>
      <c r="E224" s="1096"/>
      <c r="F224" s="1086">
        <v>990</v>
      </c>
      <c r="H224" s="1093"/>
    </row>
    <row r="225" spans="1:8" s="1062" customFormat="1" ht="14.25" customHeight="1" thickBot="1">
      <c r="A225" s="1074" t="s">
        <v>1413</v>
      </c>
      <c r="B225" s="1068" t="s">
        <v>1272</v>
      </c>
      <c r="C225" s="1068">
        <v>5730</v>
      </c>
      <c r="D225" s="1068">
        <v>5680</v>
      </c>
      <c r="E225" s="1068">
        <v>6020</v>
      </c>
      <c r="F225" s="1086">
        <v>1000</v>
      </c>
      <c r="H225" s="1093"/>
    </row>
    <row r="226" spans="1:8" s="1062" customFormat="1" ht="14.25" customHeight="1" thickBot="1">
      <c r="A226" s="1074" t="s">
        <v>1413</v>
      </c>
      <c r="B226" s="1068" t="s">
        <v>1281</v>
      </c>
      <c r="C226" s="1068">
        <v>4970</v>
      </c>
      <c r="D226" s="1068">
        <v>4940</v>
      </c>
      <c r="E226" s="1068">
        <v>5180</v>
      </c>
      <c r="F226" s="1086">
        <v>960</v>
      </c>
      <c r="H226" s="1093"/>
    </row>
    <row r="227" spans="1:8" s="1062" customFormat="1" ht="14.25" customHeight="1" thickBot="1">
      <c r="A227" s="1074" t="s">
        <v>1413</v>
      </c>
      <c r="B227" s="1068" t="s">
        <v>1289</v>
      </c>
      <c r="C227" s="1068">
        <v>5550</v>
      </c>
      <c r="D227" s="1068">
        <v>5500</v>
      </c>
      <c r="E227" s="1068">
        <v>5780</v>
      </c>
      <c r="F227" s="1086">
        <v>940</v>
      </c>
      <c r="H227" s="1093"/>
    </row>
    <row r="228" spans="1:8" s="1062" customFormat="1" ht="14.25" customHeight="1" thickBot="1">
      <c r="A228" s="1074" t="s">
        <v>1413</v>
      </c>
      <c r="B228" s="1068" t="s">
        <v>1296</v>
      </c>
      <c r="C228" s="1068">
        <v>5460</v>
      </c>
      <c r="D228" s="1068">
        <v>5420</v>
      </c>
      <c r="E228" s="1068">
        <v>5690</v>
      </c>
      <c r="F228" s="1086">
        <v>910</v>
      </c>
      <c r="H228" s="1093"/>
    </row>
    <row r="229" spans="1:8" s="1062" customFormat="1" ht="14.25" customHeight="1" thickBot="1">
      <c r="A229" s="1074" t="s">
        <v>1413</v>
      </c>
      <c r="B229" s="1068" t="s">
        <v>1303</v>
      </c>
      <c r="C229" s="1068">
        <v>5310</v>
      </c>
      <c r="D229" s="1068">
        <v>5270</v>
      </c>
      <c r="E229" s="1068">
        <v>5510</v>
      </c>
      <c r="F229" s="1095"/>
      <c r="H229" s="1093"/>
    </row>
    <row r="230" spans="1:8" s="1062" customFormat="1" ht="14.25" customHeight="1" thickBot="1">
      <c r="A230" s="1074" t="s">
        <v>1413</v>
      </c>
      <c r="B230" s="1068" t="s">
        <v>1310</v>
      </c>
      <c r="C230" s="1068">
        <v>4540</v>
      </c>
      <c r="D230" s="1068">
        <v>4500</v>
      </c>
      <c r="E230" s="1068">
        <v>4730</v>
      </c>
      <c r="F230" s="1095"/>
      <c r="H230" s="1093"/>
    </row>
    <row r="231" spans="1:8" s="1062" customFormat="1" ht="14.25" customHeight="1" thickBot="1">
      <c r="A231" s="1074" t="s">
        <v>1413</v>
      </c>
      <c r="B231" s="1068" t="s">
        <v>1317</v>
      </c>
      <c r="C231" s="1068">
        <v>4480</v>
      </c>
      <c r="D231" s="1068">
        <v>4410</v>
      </c>
      <c r="E231" s="1068">
        <v>4640</v>
      </c>
      <c r="F231" s="1095"/>
      <c r="H231" s="1093"/>
    </row>
    <row r="232" spans="1:8" s="1062" customFormat="1" ht="14.25" customHeight="1" thickBot="1">
      <c r="A232" s="1074" t="s">
        <v>1413</v>
      </c>
      <c r="B232" s="1068" t="s">
        <v>1324</v>
      </c>
      <c r="C232" s="1068">
        <v>5670</v>
      </c>
      <c r="D232" s="1068">
        <v>5600</v>
      </c>
      <c r="E232" s="1068">
        <v>5890</v>
      </c>
      <c r="F232" s="1086">
        <v>1150</v>
      </c>
      <c r="H232" s="1093"/>
    </row>
    <row r="233" spans="1:8" s="1062" customFormat="1" ht="14.25" customHeight="1" thickBot="1">
      <c r="A233" s="1074" t="s">
        <v>1413</v>
      </c>
      <c r="B233" s="1068" t="s">
        <v>1331</v>
      </c>
      <c r="C233" s="1068">
        <v>4590</v>
      </c>
      <c r="D233" s="1068">
        <v>4500</v>
      </c>
      <c r="E233" s="1068">
        <v>4600</v>
      </c>
      <c r="F233" s="1095"/>
      <c r="H233" s="1093"/>
    </row>
    <row r="234" spans="1:8" s="1062" customFormat="1" ht="14.25" customHeight="1" thickBot="1">
      <c r="A234" s="1074" t="s">
        <v>1413</v>
      </c>
      <c r="B234" s="1068" t="s">
        <v>2420</v>
      </c>
      <c r="C234" s="1068">
        <v>3990</v>
      </c>
      <c r="D234" s="1068">
        <v>3950</v>
      </c>
      <c r="E234" s="1068">
        <v>4180</v>
      </c>
      <c r="F234" s="1095"/>
      <c r="H234" s="1093"/>
    </row>
    <row r="235" spans="1:8" s="1062" customFormat="1" ht="14.25" customHeight="1" thickBot="1">
      <c r="A235" s="1074" t="s">
        <v>1413</v>
      </c>
      <c r="B235" s="1068" t="s">
        <v>1340</v>
      </c>
      <c r="C235" s="1068">
        <v>5590</v>
      </c>
      <c r="D235" s="1068">
        <v>5540</v>
      </c>
      <c r="E235" s="1068">
        <v>5810</v>
      </c>
      <c r="F235" s="1086">
        <v>970</v>
      </c>
      <c r="H235" s="1093"/>
    </row>
    <row r="236" spans="1:8" s="1062" customFormat="1" ht="14.25" customHeight="1" thickBot="1">
      <c r="A236" s="1074" t="s">
        <v>1413</v>
      </c>
      <c r="B236" s="1068" t="s">
        <v>1345</v>
      </c>
      <c r="C236" s="1068"/>
      <c r="D236" s="1068"/>
      <c r="E236" s="1068"/>
      <c r="F236" s="1086">
        <v>1020</v>
      </c>
      <c r="H236" s="1093"/>
    </row>
    <row r="237" spans="1:8" s="1062" customFormat="1" ht="14.25" customHeight="1" thickBot="1">
      <c r="A237" s="1074" t="s">
        <v>1413</v>
      </c>
      <c r="B237" s="1068" t="s">
        <v>1350</v>
      </c>
      <c r="C237" s="1068"/>
      <c r="D237" s="1068"/>
      <c r="E237" s="1068"/>
      <c r="F237" s="1086">
        <v>960</v>
      </c>
      <c r="H237" s="1093"/>
    </row>
    <row r="238" spans="1:8" s="1062" customFormat="1" ht="14.25" customHeight="1" thickBot="1">
      <c r="A238" s="1074" t="s">
        <v>1413</v>
      </c>
      <c r="B238" s="1068" t="s">
        <v>1355</v>
      </c>
      <c r="C238" s="1068"/>
      <c r="D238" s="1068"/>
      <c r="E238" s="1068"/>
      <c r="F238" s="1086">
        <v>960</v>
      </c>
      <c r="H238" s="1093"/>
    </row>
    <row r="239" spans="1:8" s="1062" customFormat="1" ht="14.25" customHeight="1" thickBot="1">
      <c r="A239" s="1074" t="s">
        <v>1413</v>
      </c>
      <c r="B239" s="1068" t="s">
        <v>1360</v>
      </c>
      <c r="C239" s="1068"/>
      <c r="D239" s="1068"/>
      <c r="E239" s="1068"/>
      <c r="F239" s="1086">
        <v>960</v>
      </c>
      <c r="H239" s="1093"/>
    </row>
    <row r="240" spans="1:8" s="1062" customFormat="1" ht="14.25" customHeight="1" thickBot="1">
      <c r="A240" s="1074" t="s">
        <v>1413</v>
      </c>
      <c r="B240" s="1068" t="s">
        <v>1364</v>
      </c>
      <c r="C240" s="1068"/>
      <c r="D240" s="1068"/>
      <c r="E240" s="1068"/>
      <c r="F240" s="1086">
        <v>990</v>
      </c>
      <c r="H240" s="1093"/>
    </row>
    <row r="241" spans="1:8" s="1062" customFormat="1" ht="14.25" customHeight="1" thickBot="1">
      <c r="A241" s="1074" t="s">
        <v>1413</v>
      </c>
      <c r="B241" s="1068" t="s">
        <v>1368</v>
      </c>
      <c r="C241" s="1068"/>
      <c r="D241" s="1068"/>
      <c r="E241" s="1068"/>
      <c r="F241" s="1086">
        <v>1000</v>
      </c>
      <c r="H241" s="1093"/>
    </row>
    <row r="242" spans="1:8" s="1062" customFormat="1" ht="14.25" customHeight="1" thickBot="1">
      <c r="A242" s="1074" t="s">
        <v>1413</v>
      </c>
      <c r="B242" s="1068" t="s">
        <v>1372</v>
      </c>
      <c r="C242" s="1068"/>
      <c r="D242" s="1068"/>
      <c r="E242" s="1068"/>
      <c r="F242" s="1086">
        <v>980</v>
      </c>
      <c r="H242" s="1093"/>
    </row>
    <row r="243" spans="1:8" s="1062" customFormat="1" ht="14.25" customHeight="1" thickBot="1">
      <c r="A243" s="1074" t="s">
        <v>1413</v>
      </c>
      <c r="B243" s="1068" t="s">
        <v>1376</v>
      </c>
      <c r="C243" s="1068"/>
      <c r="D243" s="1068"/>
      <c r="E243" s="1068"/>
      <c r="F243" s="1086">
        <v>970</v>
      </c>
      <c r="H243" s="1093"/>
    </row>
    <row r="244" spans="1:8" s="1062" customFormat="1" ht="14.25" customHeight="1" thickBot="1">
      <c r="A244" s="1074" t="s">
        <v>1413</v>
      </c>
      <c r="B244" s="1084" t="s">
        <v>1380</v>
      </c>
      <c r="C244" s="1084"/>
      <c r="D244" s="1084"/>
      <c r="E244" s="1084"/>
      <c r="F244" s="1094">
        <v>970</v>
      </c>
      <c r="H244" s="1093"/>
    </row>
    <row r="245" spans="1:8" s="1062" customFormat="1" ht="14.25" customHeight="1" thickBot="1">
      <c r="A245" s="1074" t="s">
        <v>1415</v>
      </c>
      <c r="B245" s="1075" t="s">
        <v>1416</v>
      </c>
      <c r="C245" s="1075">
        <v>4050</v>
      </c>
      <c r="D245" s="1075">
        <v>4020</v>
      </c>
      <c r="E245" s="1075">
        <v>4160</v>
      </c>
      <c r="F245" s="1076">
        <v>840</v>
      </c>
      <c r="H245" s="1093"/>
    </row>
    <row r="246" spans="1:8" s="1062" customFormat="1" ht="14.25" customHeight="1" thickBot="1">
      <c r="A246" s="1074" t="s">
        <v>1415</v>
      </c>
      <c r="B246" s="1068" t="s">
        <v>1078</v>
      </c>
      <c r="C246" s="1068">
        <v>4010</v>
      </c>
      <c r="D246" s="1068">
        <v>3960</v>
      </c>
      <c r="E246" s="1068">
        <v>4130</v>
      </c>
      <c r="F246" s="1086">
        <v>840</v>
      </c>
      <c r="H246" s="1093"/>
    </row>
    <row r="247" spans="1:8" s="1062" customFormat="1" ht="14.25" customHeight="1" thickBot="1">
      <c r="A247" s="1074" t="s">
        <v>1415</v>
      </c>
      <c r="B247" s="1068" t="s">
        <v>1417</v>
      </c>
      <c r="C247" s="1068">
        <v>3170</v>
      </c>
      <c r="D247" s="1068">
        <v>3140</v>
      </c>
      <c r="E247" s="1068">
        <v>3270</v>
      </c>
      <c r="F247" s="1086">
        <v>640</v>
      </c>
      <c r="H247" s="1093"/>
    </row>
    <row r="248" spans="1:8" s="1062" customFormat="1" ht="14.25" customHeight="1" thickBot="1">
      <c r="A248" s="1074" t="s">
        <v>1415</v>
      </c>
      <c r="B248" s="1068" t="s">
        <v>1418</v>
      </c>
      <c r="C248" s="1068">
        <v>3140</v>
      </c>
      <c r="D248" s="1068">
        <v>3120</v>
      </c>
      <c r="E248" s="1068">
        <v>3240</v>
      </c>
      <c r="F248" s="1086">
        <v>620</v>
      </c>
      <c r="H248" s="1093"/>
    </row>
    <row r="249" spans="1:8" s="1062" customFormat="1" ht="14.25" customHeight="1" thickBot="1">
      <c r="A249" s="1074" t="s">
        <v>1415</v>
      </c>
      <c r="B249" s="1068" t="s">
        <v>1119</v>
      </c>
      <c r="C249" s="1068">
        <v>3200</v>
      </c>
      <c r="D249" s="1068">
        <v>3100</v>
      </c>
      <c r="E249" s="1068">
        <v>3230</v>
      </c>
      <c r="F249" s="1086">
        <v>750</v>
      </c>
      <c r="H249" s="1093"/>
    </row>
    <row r="250" spans="1:8" s="1062" customFormat="1" ht="14.25" customHeight="1" thickBot="1">
      <c r="A250" s="1074" t="s">
        <v>1415</v>
      </c>
      <c r="B250" s="1068" t="s">
        <v>1130</v>
      </c>
      <c r="C250" s="1068">
        <v>4060</v>
      </c>
      <c r="D250" s="1068">
        <v>4000</v>
      </c>
      <c r="E250" s="1068">
        <v>4140</v>
      </c>
      <c r="F250" s="1086">
        <v>790</v>
      </c>
      <c r="H250" s="1093"/>
    </row>
    <row r="251" spans="1:8" s="1062" customFormat="1" ht="14.25" customHeight="1" thickBot="1">
      <c r="A251" s="1074" t="s">
        <v>1415</v>
      </c>
      <c r="B251" s="1068" t="s">
        <v>1141</v>
      </c>
      <c r="C251" s="1068">
        <v>3990</v>
      </c>
      <c r="D251" s="1068">
        <v>3970</v>
      </c>
      <c r="E251" s="1068">
        <v>4110</v>
      </c>
      <c r="F251" s="1086">
        <v>730</v>
      </c>
      <c r="H251" s="1093"/>
    </row>
    <row r="252" spans="1:8" s="1062" customFormat="1" ht="14.25" customHeight="1" thickBot="1">
      <c r="A252" s="1074" t="s">
        <v>1415</v>
      </c>
      <c r="B252" s="1068" t="s">
        <v>1152</v>
      </c>
      <c r="C252" s="1068">
        <v>3560</v>
      </c>
      <c r="D252" s="1068">
        <v>3530</v>
      </c>
      <c r="E252" s="1068">
        <v>3650</v>
      </c>
      <c r="F252" s="1086">
        <v>750</v>
      </c>
      <c r="H252" s="1093"/>
    </row>
    <row r="253" spans="1:8" s="1062" customFormat="1" ht="14.25" customHeight="1" thickBot="1">
      <c r="A253" s="1074" t="s">
        <v>1415</v>
      </c>
      <c r="B253" s="1068" t="s">
        <v>1164</v>
      </c>
      <c r="C253" s="1068">
        <v>3780</v>
      </c>
      <c r="D253" s="1068">
        <v>3750</v>
      </c>
      <c r="E253" s="1068">
        <v>3870</v>
      </c>
      <c r="F253" s="1086">
        <v>770</v>
      </c>
      <c r="H253" s="1093"/>
    </row>
    <row r="254" spans="1:8" s="1062" customFormat="1" ht="14.25" customHeight="1" thickBot="1">
      <c r="A254" s="1074" t="s">
        <v>1415</v>
      </c>
      <c r="B254" s="1068" t="s">
        <v>1174</v>
      </c>
      <c r="C254" s="1096"/>
      <c r="D254" s="1096"/>
      <c r="E254" s="1096"/>
      <c r="F254" s="1086">
        <v>740</v>
      </c>
      <c r="H254" s="1093"/>
    </row>
    <row r="255" spans="1:8" s="1062" customFormat="1" ht="14.25" customHeight="1" thickBot="1">
      <c r="A255" s="1074" t="s">
        <v>1415</v>
      </c>
      <c r="B255" s="1068" t="s">
        <v>1184</v>
      </c>
      <c r="C255" s="1096"/>
      <c r="D255" s="1096"/>
      <c r="E255" s="1096"/>
      <c r="F255" s="1086">
        <v>760</v>
      </c>
      <c r="H255" s="1093"/>
    </row>
    <row r="256" spans="1:8" s="1062" customFormat="1" ht="14.25" customHeight="1" thickBot="1">
      <c r="A256" s="1074" t="s">
        <v>1415</v>
      </c>
      <c r="B256" s="1068" t="s">
        <v>1194</v>
      </c>
      <c r="C256" s="1068">
        <v>3760</v>
      </c>
      <c r="D256" s="1068">
        <v>3730</v>
      </c>
      <c r="E256" s="1068">
        <v>3870</v>
      </c>
      <c r="F256" s="1086">
        <v>830</v>
      </c>
      <c r="H256" s="1093"/>
    </row>
    <row r="257" spans="1:8" s="1062" customFormat="1" ht="14.25" customHeight="1" thickBot="1">
      <c r="A257" s="1074" t="s">
        <v>1415</v>
      </c>
      <c r="B257" s="1068" t="s">
        <v>1204</v>
      </c>
      <c r="C257" s="1068">
        <v>3570</v>
      </c>
      <c r="D257" s="1068">
        <v>3540</v>
      </c>
      <c r="E257" s="1068">
        <v>3650</v>
      </c>
      <c r="F257" s="1086">
        <v>790</v>
      </c>
      <c r="H257" s="1093"/>
    </row>
    <row r="258" spans="1:8" s="1062" customFormat="1" ht="14.25" customHeight="1" thickBot="1">
      <c r="A258" s="1074" t="s">
        <v>1415</v>
      </c>
      <c r="B258" s="1068" t="s">
        <v>1214</v>
      </c>
      <c r="C258" s="1068">
        <v>3410</v>
      </c>
      <c r="D258" s="1068">
        <v>3380</v>
      </c>
      <c r="E258" s="1068">
        <v>3500</v>
      </c>
      <c r="F258" s="1086">
        <v>830</v>
      </c>
      <c r="H258" s="1093"/>
    </row>
    <row r="259" spans="1:8" s="1062" customFormat="1" ht="14.25" customHeight="1" thickBot="1">
      <c r="A259" s="1074" t="s">
        <v>1415</v>
      </c>
      <c r="B259" s="1068" t="s">
        <v>1224</v>
      </c>
      <c r="C259" s="1068">
        <v>3870</v>
      </c>
      <c r="D259" s="1068">
        <v>3840</v>
      </c>
      <c r="E259" s="1068">
        <v>3970</v>
      </c>
      <c r="F259" s="1086">
        <v>830</v>
      </c>
      <c r="H259" s="1093"/>
    </row>
    <row r="260" spans="1:8" s="1062" customFormat="1" ht="14.25" customHeight="1" thickBot="1">
      <c r="A260" s="1074" t="s">
        <v>1415</v>
      </c>
      <c r="B260" s="1068" t="s">
        <v>1234</v>
      </c>
      <c r="C260" s="1068">
        <v>3700</v>
      </c>
      <c r="D260" s="1068">
        <v>3660</v>
      </c>
      <c r="E260" s="1068">
        <v>3810</v>
      </c>
      <c r="F260" s="1086">
        <v>790</v>
      </c>
      <c r="H260" s="1093"/>
    </row>
    <row r="261" spans="1:8" s="1062" customFormat="1" ht="14.25" customHeight="1" thickBot="1">
      <c r="A261" s="1074" t="s">
        <v>1415</v>
      </c>
      <c r="B261" s="1068" t="s">
        <v>1244</v>
      </c>
      <c r="C261" s="1068">
        <v>3470</v>
      </c>
      <c r="D261" s="1068">
        <v>3430</v>
      </c>
      <c r="E261" s="1068">
        <v>3640</v>
      </c>
      <c r="F261" s="1086">
        <v>760</v>
      </c>
      <c r="H261" s="1093"/>
    </row>
    <row r="262" spans="1:8" s="1062" customFormat="1" ht="14.25" customHeight="1" thickBot="1">
      <c r="A262" s="1074" t="s">
        <v>1415</v>
      </c>
      <c r="B262" s="1068" t="s">
        <v>1254</v>
      </c>
      <c r="C262" s="1068">
        <v>3510</v>
      </c>
      <c r="D262" s="1068">
        <v>3470</v>
      </c>
      <c r="E262" s="1068">
        <v>3680</v>
      </c>
      <c r="F262" s="1095"/>
      <c r="H262" s="1093"/>
    </row>
    <row r="263" spans="1:8" s="1062" customFormat="1" ht="14.25" customHeight="1" thickBot="1">
      <c r="A263" s="1074" t="s">
        <v>1415</v>
      </c>
      <c r="B263" s="1068" t="s">
        <v>1264</v>
      </c>
      <c r="C263" s="1068">
        <v>3960</v>
      </c>
      <c r="D263" s="1068">
        <v>3930</v>
      </c>
      <c r="E263" s="1068">
        <v>4070</v>
      </c>
      <c r="F263" s="1086">
        <v>830</v>
      </c>
      <c r="H263" s="1093"/>
    </row>
    <row r="264" spans="1:8" s="1062" customFormat="1" ht="14.25" customHeight="1" thickBot="1">
      <c r="A264" s="1074" t="s">
        <v>1415</v>
      </c>
      <c r="B264" s="1068" t="s">
        <v>1273</v>
      </c>
      <c r="C264" s="1068">
        <v>4010</v>
      </c>
      <c r="D264" s="1068">
        <v>3980</v>
      </c>
      <c r="E264" s="1068">
        <v>4150</v>
      </c>
      <c r="F264" s="1086">
        <v>760</v>
      </c>
      <c r="H264" s="1093"/>
    </row>
    <row r="265" spans="1:8" s="1062" customFormat="1" ht="14.25" customHeight="1" thickBot="1">
      <c r="A265" s="1074" t="s">
        <v>1415</v>
      </c>
      <c r="B265" s="1068" t="s">
        <v>1282</v>
      </c>
      <c r="C265" s="1068">
        <v>3910</v>
      </c>
      <c r="D265" s="1068">
        <v>3890</v>
      </c>
      <c r="E265" s="1068">
        <v>4040</v>
      </c>
      <c r="F265" s="1086">
        <v>780</v>
      </c>
      <c r="H265" s="1093"/>
    </row>
    <row r="266" spans="1:8" s="1062" customFormat="1" ht="14.25" customHeight="1" thickBot="1">
      <c r="A266" s="1074" t="s">
        <v>1415</v>
      </c>
      <c r="B266" s="1068" t="s">
        <v>1290</v>
      </c>
      <c r="C266" s="1068">
        <v>3930</v>
      </c>
      <c r="D266" s="1068">
        <v>3900</v>
      </c>
      <c r="E266" s="1068">
        <v>4080</v>
      </c>
      <c r="F266" s="1086">
        <v>770</v>
      </c>
      <c r="H266" s="1093"/>
    </row>
    <row r="267" spans="1:8" s="1062" customFormat="1" ht="14.25" customHeight="1" thickBot="1">
      <c r="A267" s="1074" t="s">
        <v>1415</v>
      </c>
      <c r="B267" s="1068" t="s">
        <v>1297</v>
      </c>
      <c r="C267" s="1068">
        <v>3800</v>
      </c>
      <c r="D267" s="1068">
        <v>3780</v>
      </c>
      <c r="E267" s="1068">
        <v>3930</v>
      </c>
      <c r="F267" s="1095"/>
      <c r="H267" s="1093"/>
    </row>
    <row r="268" spans="1:8" s="1062" customFormat="1" ht="14.25" customHeight="1" thickBot="1">
      <c r="A268" s="1074" t="s">
        <v>1415</v>
      </c>
      <c r="B268" s="1068" t="s">
        <v>1304</v>
      </c>
      <c r="C268" s="1068">
        <v>3460</v>
      </c>
      <c r="D268" s="1068">
        <v>3430</v>
      </c>
      <c r="E268" s="1068">
        <v>3560</v>
      </c>
      <c r="F268" s="1086">
        <v>840</v>
      </c>
      <c r="H268" s="1093"/>
    </row>
    <row r="269" spans="1:8" s="1062" customFormat="1" ht="14.25" customHeight="1" thickBot="1">
      <c r="A269" s="1074" t="s">
        <v>1415</v>
      </c>
      <c r="B269" s="1068" t="s">
        <v>1311</v>
      </c>
      <c r="C269" s="1068">
        <v>3210</v>
      </c>
      <c r="D269" s="1068">
        <v>3190</v>
      </c>
      <c r="E269" s="1068">
        <v>3310</v>
      </c>
      <c r="F269" s="1086">
        <v>730</v>
      </c>
      <c r="H269" s="1093"/>
    </row>
    <row r="270" spans="1:8" s="1062" customFormat="1" ht="14.25" customHeight="1" thickBot="1">
      <c r="A270" s="1074" t="s">
        <v>1415</v>
      </c>
      <c r="B270" s="1068" t="s">
        <v>1318</v>
      </c>
      <c r="C270" s="1068">
        <v>3240</v>
      </c>
      <c r="D270" s="1068">
        <v>3210</v>
      </c>
      <c r="E270" s="1068">
        <v>3390</v>
      </c>
      <c r="F270" s="1086">
        <v>820</v>
      </c>
      <c r="H270" s="1093"/>
    </row>
    <row r="271" spans="1:8" s="1062" customFormat="1" ht="14.25" customHeight="1" thickBot="1">
      <c r="A271" s="1074" t="s">
        <v>1415</v>
      </c>
      <c r="B271" s="1068" t="s">
        <v>1325</v>
      </c>
      <c r="C271" s="1068">
        <v>3300</v>
      </c>
      <c r="D271" s="1068">
        <v>3270</v>
      </c>
      <c r="E271" s="1068">
        <v>3380</v>
      </c>
      <c r="F271" s="1086">
        <v>750</v>
      </c>
      <c r="H271" s="1093"/>
    </row>
    <row r="272" spans="1:8" s="1062" customFormat="1" ht="14.25" customHeight="1" thickBot="1">
      <c r="A272" s="1074" t="s">
        <v>1415</v>
      </c>
      <c r="B272" s="1068" t="s">
        <v>1332</v>
      </c>
      <c r="C272" s="1096"/>
      <c r="D272" s="1096"/>
      <c r="E272" s="1096"/>
      <c r="F272" s="1086">
        <v>740</v>
      </c>
      <c r="H272" s="1093"/>
    </row>
    <row r="273" spans="1:8" s="1062" customFormat="1" ht="14.25" customHeight="1" thickBot="1">
      <c r="A273" s="1074" t="s">
        <v>1415</v>
      </c>
      <c r="B273" s="1068" t="s">
        <v>1336</v>
      </c>
      <c r="C273" s="1068">
        <v>3130</v>
      </c>
      <c r="D273" s="1068">
        <v>3100</v>
      </c>
      <c r="E273" s="1068">
        <v>3230</v>
      </c>
      <c r="F273" s="1086">
        <v>700</v>
      </c>
      <c r="H273" s="1093"/>
    </row>
    <row r="274" spans="1:8" s="1062" customFormat="1" ht="14.25" customHeight="1" thickBot="1">
      <c r="A274" s="1074" t="s">
        <v>1415</v>
      </c>
      <c r="B274" s="1068" t="s">
        <v>1341</v>
      </c>
      <c r="C274" s="1068">
        <v>3460</v>
      </c>
      <c r="D274" s="1068">
        <v>3430</v>
      </c>
      <c r="E274" s="1068">
        <v>3560</v>
      </c>
      <c r="F274" s="1086">
        <v>690</v>
      </c>
      <c r="H274" s="1093"/>
    </row>
    <row r="275" spans="1:8" s="1062" customFormat="1" ht="14.25" customHeight="1" thickBot="1">
      <c r="A275" s="1074" t="s">
        <v>1415</v>
      </c>
      <c r="B275" s="1068" t="s">
        <v>1346</v>
      </c>
      <c r="C275" s="1068">
        <v>4040</v>
      </c>
      <c r="D275" s="1068">
        <v>4020</v>
      </c>
      <c r="E275" s="1068">
        <v>4160</v>
      </c>
      <c r="F275" s="1086">
        <v>820</v>
      </c>
      <c r="H275" s="1093"/>
    </row>
    <row r="276" spans="1:8" s="1062" customFormat="1" ht="14.25" customHeight="1" thickBot="1">
      <c r="A276" s="1074" t="s">
        <v>1415</v>
      </c>
      <c r="B276" s="1068" t="s">
        <v>1351</v>
      </c>
      <c r="C276" s="1068">
        <v>3270</v>
      </c>
      <c r="D276" s="1068">
        <v>3240</v>
      </c>
      <c r="E276" s="1068">
        <v>3350</v>
      </c>
      <c r="F276" s="1086">
        <v>680</v>
      </c>
      <c r="H276" s="1093"/>
    </row>
    <row r="277" spans="1:8" s="1062" customFormat="1" ht="14.25" customHeight="1" thickBot="1">
      <c r="A277" s="1074" t="s">
        <v>1415</v>
      </c>
      <c r="B277" s="1068" t="s">
        <v>1356</v>
      </c>
      <c r="C277" s="1068">
        <v>2930</v>
      </c>
      <c r="D277" s="1068">
        <v>2900</v>
      </c>
      <c r="E277" s="1068">
        <v>3000</v>
      </c>
      <c r="F277" s="1086">
        <v>640</v>
      </c>
      <c r="H277" s="1093"/>
    </row>
    <row r="278" spans="1:8" s="1062" customFormat="1" ht="14.25" customHeight="1" thickBot="1">
      <c r="A278" s="1074" t="s">
        <v>1415</v>
      </c>
      <c r="B278" s="1068" t="s">
        <v>1361</v>
      </c>
      <c r="C278" s="1068">
        <v>4080</v>
      </c>
      <c r="D278" s="1068">
        <v>4030</v>
      </c>
      <c r="E278" s="1068">
        <v>4140</v>
      </c>
      <c r="F278" s="1086">
        <v>850</v>
      </c>
      <c r="H278" s="1093"/>
    </row>
    <row r="279" spans="1:8" s="1062" customFormat="1" ht="14.25" customHeight="1" thickBot="1">
      <c r="A279" s="1074" t="s">
        <v>1415</v>
      </c>
      <c r="B279" s="1068" t="s">
        <v>1365</v>
      </c>
      <c r="C279" s="1068"/>
      <c r="D279" s="1068"/>
      <c r="E279" s="1068"/>
      <c r="F279" s="1086">
        <v>760</v>
      </c>
      <c r="H279" s="1093"/>
    </row>
    <row r="280" spans="1:8" s="1062" customFormat="1" ht="14.25" customHeight="1" thickBot="1">
      <c r="A280" s="1074" t="s">
        <v>1415</v>
      </c>
      <c r="B280" s="1068" t="s">
        <v>1369</v>
      </c>
      <c r="C280" s="1068"/>
      <c r="D280" s="1068"/>
      <c r="E280" s="1068"/>
      <c r="F280" s="1086">
        <v>760</v>
      </c>
      <c r="H280" s="1093"/>
    </row>
    <row r="281" spans="1:8" s="1062" customFormat="1" ht="14.25" customHeight="1" thickBot="1">
      <c r="A281" s="1074" t="s">
        <v>1415</v>
      </c>
      <c r="B281" s="1068" t="s">
        <v>1373</v>
      </c>
      <c r="C281" s="1068"/>
      <c r="D281" s="1068"/>
      <c r="E281" s="1068"/>
      <c r="F281" s="1086">
        <v>780</v>
      </c>
      <c r="H281" s="1093"/>
    </row>
    <row r="282" spans="1:8" s="1062" customFormat="1" ht="14.25" customHeight="1" thickBot="1">
      <c r="A282" s="1074" t="s">
        <v>1415</v>
      </c>
      <c r="B282" s="1068" t="s">
        <v>1377</v>
      </c>
      <c r="C282" s="1068"/>
      <c r="D282" s="1068"/>
      <c r="E282" s="1068"/>
      <c r="F282" s="1086">
        <v>730</v>
      </c>
      <c r="H282" s="1093"/>
    </row>
    <row r="283" spans="1:8" s="1062" customFormat="1" ht="14.25" customHeight="1" thickBot="1">
      <c r="A283" s="1074" t="s">
        <v>1415</v>
      </c>
      <c r="B283" s="1068" t="s">
        <v>1381</v>
      </c>
      <c r="C283" s="1068"/>
      <c r="D283" s="1068"/>
      <c r="E283" s="1068"/>
      <c r="F283" s="1086">
        <v>770</v>
      </c>
      <c r="H283" s="1093"/>
    </row>
    <row r="284" spans="1:8" s="1062" customFormat="1" ht="14.25" customHeight="1" thickBot="1">
      <c r="A284" s="1074" t="s">
        <v>1415</v>
      </c>
      <c r="B284" s="1068" t="s">
        <v>1384</v>
      </c>
      <c r="C284" s="1068"/>
      <c r="D284" s="1068"/>
      <c r="E284" s="1068"/>
      <c r="F284" s="1086">
        <v>640</v>
      </c>
      <c r="H284" s="1093"/>
    </row>
    <row r="285" spans="1:8" s="1062" customFormat="1" ht="14.25" customHeight="1" thickBot="1">
      <c r="A285" s="1074" t="s">
        <v>1415</v>
      </c>
      <c r="B285" s="1068" t="s">
        <v>1387</v>
      </c>
      <c r="C285" s="1068"/>
      <c r="D285" s="1068"/>
      <c r="E285" s="1068"/>
      <c r="F285" s="1086">
        <v>640</v>
      </c>
      <c r="H285" s="1093"/>
    </row>
    <row r="286" spans="1:8" s="1062" customFormat="1" ht="14.25" customHeight="1" thickBot="1">
      <c r="A286" s="1074" t="s">
        <v>1415</v>
      </c>
      <c r="B286" s="1068" t="s">
        <v>1390</v>
      </c>
      <c r="C286" s="1068"/>
      <c r="D286" s="1068"/>
      <c r="E286" s="1068"/>
      <c r="F286" s="1086">
        <v>850</v>
      </c>
      <c r="H286" s="1093"/>
    </row>
    <row r="287" spans="1:8" s="1062" customFormat="1" ht="14.25" customHeight="1" thickBot="1">
      <c r="A287" s="1074" t="s">
        <v>1415</v>
      </c>
      <c r="B287" s="1068" t="s">
        <v>1393</v>
      </c>
      <c r="C287" s="1068"/>
      <c r="D287" s="1068"/>
      <c r="E287" s="1068"/>
      <c r="F287" s="1086">
        <v>760</v>
      </c>
      <c r="H287" s="1093"/>
    </row>
    <row r="288" spans="1:8" s="1062" customFormat="1" ht="14.25" customHeight="1" thickBot="1">
      <c r="A288" s="1074" t="s">
        <v>1415</v>
      </c>
      <c r="B288" s="1068" t="s">
        <v>1396</v>
      </c>
      <c r="C288" s="1068"/>
      <c r="D288" s="1068"/>
      <c r="E288" s="1068"/>
      <c r="F288" s="1086">
        <v>830</v>
      </c>
      <c r="H288" s="1093"/>
    </row>
    <row r="289" spans="1:8" s="1062" customFormat="1" ht="14.25" customHeight="1" thickBot="1">
      <c r="A289" s="1074" t="s">
        <v>1415</v>
      </c>
      <c r="B289" s="1084" t="s">
        <v>1399</v>
      </c>
      <c r="C289" s="1084"/>
      <c r="D289" s="1084"/>
      <c r="E289" s="1084"/>
      <c r="F289" s="1094">
        <v>680</v>
      </c>
      <c r="H289" s="1093"/>
    </row>
    <row r="290" spans="1:8" s="1062" customFormat="1" ht="14.25" customHeight="1" thickBot="1">
      <c r="A290" s="1074" t="s">
        <v>1419</v>
      </c>
      <c r="B290" s="1075" t="s">
        <v>1420</v>
      </c>
      <c r="C290" s="1075">
        <v>2770</v>
      </c>
      <c r="D290" s="1075">
        <v>2740</v>
      </c>
      <c r="E290" s="1075">
        <v>2720</v>
      </c>
      <c r="F290" s="1097"/>
      <c r="H290" s="1093"/>
    </row>
    <row r="291" spans="1:8" s="1062" customFormat="1" ht="14.25" customHeight="1" thickBot="1">
      <c r="A291" s="1074" t="s">
        <v>1419</v>
      </c>
      <c r="B291" s="1068" t="s">
        <v>1079</v>
      </c>
      <c r="C291" s="1068">
        <v>2670</v>
      </c>
      <c r="D291" s="1068">
        <v>2640</v>
      </c>
      <c r="E291" s="1068">
        <v>2620</v>
      </c>
      <c r="F291" s="1095"/>
      <c r="H291" s="1093"/>
    </row>
    <row r="292" spans="1:8" s="1062" customFormat="1" ht="14.25" customHeight="1" thickBot="1">
      <c r="A292" s="1074" t="s">
        <v>1419</v>
      </c>
      <c r="B292" s="1068" t="s">
        <v>1421</v>
      </c>
      <c r="C292" s="1068">
        <v>2180</v>
      </c>
      <c r="D292" s="1068">
        <v>2140</v>
      </c>
      <c r="E292" s="1068">
        <v>2120</v>
      </c>
      <c r="F292" s="1086">
        <v>490</v>
      </c>
      <c r="H292" s="1093"/>
    </row>
    <row r="293" spans="1:8" s="1062" customFormat="1" ht="14.25" customHeight="1" thickBot="1">
      <c r="A293" s="1074" t="s">
        <v>1419</v>
      </c>
      <c r="B293" s="1068" t="s">
        <v>1422</v>
      </c>
      <c r="C293" s="1068"/>
      <c r="D293" s="1068"/>
      <c r="E293" s="1068"/>
      <c r="F293" s="1086">
        <v>470</v>
      </c>
      <c r="H293" s="1093"/>
    </row>
    <row r="294" spans="1:8" s="1062" customFormat="1" ht="14.25" customHeight="1" thickBot="1">
      <c r="A294" s="1074" t="s">
        <v>1419</v>
      </c>
      <c r="B294" s="1068" t="s">
        <v>1423</v>
      </c>
      <c r="C294" s="1068">
        <v>2730</v>
      </c>
      <c r="D294" s="1068">
        <v>2700</v>
      </c>
      <c r="E294" s="1068">
        <v>2680</v>
      </c>
      <c r="F294" s="1086">
        <v>490</v>
      </c>
      <c r="H294" s="1093"/>
    </row>
    <row r="295" spans="1:8" s="1062" customFormat="1" ht="14.25" customHeight="1" thickBot="1">
      <c r="A295" s="1074" t="s">
        <v>1419</v>
      </c>
      <c r="B295" s="1068" t="s">
        <v>1120</v>
      </c>
      <c r="C295" s="1068">
        <v>2380</v>
      </c>
      <c r="D295" s="1068">
        <v>2350</v>
      </c>
      <c r="E295" s="1068">
        <v>2330</v>
      </c>
      <c r="F295" s="1086">
        <v>530</v>
      </c>
      <c r="H295" s="1093"/>
    </row>
    <row r="296" spans="1:8" s="1062" customFormat="1" ht="14.25" customHeight="1" thickBot="1">
      <c r="A296" s="1074" t="s">
        <v>1419</v>
      </c>
      <c r="B296" s="1068" t="s">
        <v>1131</v>
      </c>
      <c r="C296" s="1068">
        <v>2650</v>
      </c>
      <c r="D296" s="1068">
        <v>2620</v>
      </c>
      <c r="E296" s="1068">
        <v>2590</v>
      </c>
      <c r="F296" s="1086">
        <v>590</v>
      </c>
      <c r="H296" s="1093"/>
    </row>
    <row r="297" spans="1:8" s="1062" customFormat="1" ht="14.25" customHeight="1" thickBot="1">
      <c r="A297" s="1074" t="s">
        <v>1419</v>
      </c>
      <c r="B297" s="1068" t="s">
        <v>1142</v>
      </c>
      <c r="C297" s="1068">
        <v>2700</v>
      </c>
      <c r="D297" s="1068">
        <v>2670</v>
      </c>
      <c r="E297" s="1068">
        <v>2650</v>
      </c>
      <c r="F297" s="1086">
        <v>630</v>
      </c>
      <c r="H297" s="1093"/>
    </row>
    <row r="298" spans="1:8" s="1062" customFormat="1" ht="14.25" customHeight="1" thickBot="1">
      <c r="A298" s="1074" t="s">
        <v>1419</v>
      </c>
      <c r="B298" s="1068" t="s">
        <v>1153</v>
      </c>
      <c r="C298" s="1068">
        <v>2650</v>
      </c>
      <c r="D298" s="1068">
        <v>2620</v>
      </c>
      <c r="E298" s="1068">
        <v>2590</v>
      </c>
      <c r="F298" s="1086">
        <v>640</v>
      </c>
      <c r="H298" s="1093"/>
    </row>
    <row r="299" spans="1:8" s="1062" customFormat="1" ht="14.25" customHeight="1" thickBot="1">
      <c r="A299" s="1074" t="s">
        <v>1419</v>
      </c>
      <c r="B299" s="1068" t="s">
        <v>1165</v>
      </c>
      <c r="C299" s="1068">
        <v>2500</v>
      </c>
      <c r="D299" s="1068">
        <v>2480</v>
      </c>
      <c r="E299" s="1068">
        <v>2460</v>
      </c>
      <c r="F299" s="1095"/>
      <c r="H299" s="1093"/>
    </row>
    <row r="300" spans="1:8" s="1062" customFormat="1" ht="14.25" customHeight="1" thickBot="1">
      <c r="A300" s="1074" t="s">
        <v>1419</v>
      </c>
      <c r="B300" s="1068" t="s">
        <v>1175</v>
      </c>
      <c r="C300" s="1068">
        <v>2760</v>
      </c>
      <c r="D300" s="1068">
        <v>2730</v>
      </c>
      <c r="E300" s="1068">
        <v>2700</v>
      </c>
      <c r="F300" s="1086">
        <v>630</v>
      </c>
      <c r="H300" s="1093"/>
    </row>
    <row r="301" spans="1:8" s="1062" customFormat="1" ht="14.25" customHeight="1" thickBot="1">
      <c r="A301" s="1074" t="s">
        <v>1419</v>
      </c>
      <c r="B301" s="1068" t="s">
        <v>1185</v>
      </c>
      <c r="C301" s="1068">
        <v>2510</v>
      </c>
      <c r="D301" s="1068">
        <v>2480</v>
      </c>
      <c r="E301" s="1068">
        <v>2460</v>
      </c>
      <c r="F301" s="1095"/>
      <c r="H301" s="1093"/>
    </row>
    <row r="302" spans="1:8" s="1062" customFormat="1" ht="14.25" customHeight="1" thickBot="1">
      <c r="A302" s="1074" t="s">
        <v>1419</v>
      </c>
      <c r="B302" s="1068" t="s">
        <v>1195</v>
      </c>
      <c r="C302" s="1068">
        <v>2480</v>
      </c>
      <c r="D302" s="1068">
        <v>2450</v>
      </c>
      <c r="E302" s="1068">
        <v>2420</v>
      </c>
      <c r="F302" s="1086">
        <v>600</v>
      </c>
      <c r="H302" s="1093"/>
    </row>
    <row r="303" spans="1:8" s="1062" customFormat="1" ht="14.25" customHeight="1" thickBot="1">
      <c r="A303" s="1074" t="s">
        <v>1419</v>
      </c>
      <c r="B303" s="1068" t="s">
        <v>1205</v>
      </c>
      <c r="C303" s="1068">
        <v>2270</v>
      </c>
      <c r="D303" s="1068">
        <v>2240</v>
      </c>
      <c r="E303" s="1068">
        <v>2210</v>
      </c>
      <c r="F303" s="1086">
        <v>540</v>
      </c>
      <c r="H303" s="1093"/>
    </row>
    <row r="304" spans="1:8" s="1062" customFormat="1" ht="14.25" customHeight="1" thickBot="1">
      <c r="A304" s="1074" t="s">
        <v>1419</v>
      </c>
      <c r="B304" s="1068" t="s">
        <v>1215</v>
      </c>
      <c r="C304" s="1068">
        <v>2310</v>
      </c>
      <c r="D304" s="1068">
        <v>2290</v>
      </c>
      <c r="E304" s="1068">
        <v>2270</v>
      </c>
      <c r="F304" s="1095"/>
      <c r="H304" s="1093"/>
    </row>
    <row r="305" spans="1:8" s="1062" customFormat="1" ht="14.25" customHeight="1" thickBot="1">
      <c r="A305" s="1074" t="s">
        <v>1419</v>
      </c>
      <c r="B305" s="1068" t="s">
        <v>1225</v>
      </c>
      <c r="C305" s="1068">
        <v>2490</v>
      </c>
      <c r="D305" s="1068">
        <v>2470</v>
      </c>
      <c r="E305" s="1068">
        <v>2440</v>
      </c>
      <c r="F305" s="1086">
        <v>560</v>
      </c>
      <c r="H305" s="1093"/>
    </row>
    <row r="306" spans="1:8" s="1062" customFormat="1" ht="14.25" customHeight="1" thickBot="1">
      <c r="A306" s="1074" t="s">
        <v>1419</v>
      </c>
      <c r="B306" s="1068" t="s">
        <v>1235</v>
      </c>
      <c r="C306" s="1068">
        <v>2420</v>
      </c>
      <c r="D306" s="1068">
        <v>2400</v>
      </c>
      <c r="E306" s="1068">
        <v>2380</v>
      </c>
      <c r="F306" s="1095"/>
      <c r="H306" s="1093"/>
    </row>
    <row r="307" spans="1:8" s="1062" customFormat="1" ht="14.25" customHeight="1" thickBot="1">
      <c r="A307" s="1074" t="s">
        <v>1419</v>
      </c>
      <c r="B307" s="1068" t="s">
        <v>1245</v>
      </c>
      <c r="C307" s="1068">
        <v>2770</v>
      </c>
      <c r="D307" s="1068">
        <v>2740</v>
      </c>
      <c r="E307" s="1068">
        <v>2710</v>
      </c>
      <c r="F307" s="1086">
        <v>650</v>
      </c>
      <c r="H307" s="1093"/>
    </row>
    <row r="308" spans="1:8" s="1062" customFormat="1" ht="14.25" customHeight="1" thickBot="1">
      <c r="A308" s="1074" t="s">
        <v>1419</v>
      </c>
      <c r="B308" s="1068" t="s">
        <v>1255</v>
      </c>
      <c r="C308" s="1068">
        <v>2610</v>
      </c>
      <c r="D308" s="1068">
        <v>2580</v>
      </c>
      <c r="E308" s="1068">
        <v>2550</v>
      </c>
      <c r="F308" s="1086">
        <v>580</v>
      </c>
      <c r="H308" s="1093"/>
    </row>
    <row r="309" spans="1:8" s="1062" customFormat="1" ht="14.25" customHeight="1" thickBot="1">
      <c r="A309" s="1074" t="s">
        <v>1419</v>
      </c>
      <c r="B309" s="1068" t="s">
        <v>1265</v>
      </c>
      <c r="C309" s="1068">
        <v>2690</v>
      </c>
      <c r="D309" s="1068">
        <v>2670</v>
      </c>
      <c r="E309" s="1068">
        <v>2650</v>
      </c>
      <c r="F309" s="1095"/>
      <c r="H309" s="1093"/>
    </row>
    <row r="310" spans="1:8" s="1062" customFormat="1" ht="14.25" customHeight="1" thickBot="1">
      <c r="A310" s="1074" t="s">
        <v>1419</v>
      </c>
      <c r="B310" s="1068" t="s">
        <v>1274</v>
      </c>
      <c r="C310" s="1068">
        <v>2360</v>
      </c>
      <c r="D310" s="1068">
        <v>2330</v>
      </c>
      <c r="E310" s="1068">
        <v>2310</v>
      </c>
      <c r="F310" s="1086">
        <v>560</v>
      </c>
      <c r="H310" s="1093"/>
    </row>
    <row r="311" spans="1:8" s="1062" customFormat="1" ht="14.25" customHeight="1" thickBot="1">
      <c r="A311" s="1074" t="s">
        <v>1419</v>
      </c>
      <c r="B311" s="1068" t="s">
        <v>1283</v>
      </c>
      <c r="C311" s="1068">
        <v>1970</v>
      </c>
      <c r="D311" s="1068">
        <v>1950</v>
      </c>
      <c r="E311" s="1068">
        <v>1920</v>
      </c>
      <c r="F311" s="1086">
        <v>470</v>
      </c>
      <c r="H311" s="1093"/>
    </row>
    <row r="312" spans="1:8" s="1062" customFormat="1" ht="14.25" customHeight="1" thickBot="1">
      <c r="A312" s="1074" t="s">
        <v>1419</v>
      </c>
      <c r="B312" s="1068" t="s">
        <v>1291</v>
      </c>
      <c r="C312" s="1068">
        <v>2230</v>
      </c>
      <c r="D312" s="1068">
        <v>2200</v>
      </c>
      <c r="E312" s="1068">
        <v>2170</v>
      </c>
      <c r="F312" s="1086">
        <v>460</v>
      </c>
      <c r="H312" s="1093"/>
    </row>
    <row r="313" spans="1:8" s="1062" customFormat="1" ht="14.25" customHeight="1" thickBot="1">
      <c r="A313" s="1074" t="s">
        <v>1419</v>
      </c>
      <c r="B313" s="1068" t="s">
        <v>1298</v>
      </c>
      <c r="C313" s="1068">
        <v>2770</v>
      </c>
      <c r="D313" s="1068">
        <v>2740</v>
      </c>
      <c r="E313" s="1068">
        <v>2710</v>
      </c>
      <c r="F313" s="1086">
        <v>610</v>
      </c>
      <c r="H313" s="1093"/>
    </row>
    <row r="314" spans="1:8" s="1062" customFormat="1" ht="14.25" customHeight="1" thickBot="1">
      <c r="A314" s="1074" t="s">
        <v>1419</v>
      </c>
      <c r="B314" s="1068" t="s">
        <v>1305</v>
      </c>
      <c r="C314" s="1068"/>
      <c r="D314" s="1068"/>
      <c r="E314" s="1068"/>
      <c r="F314" s="1086">
        <v>490</v>
      </c>
      <c r="H314" s="1093"/>
    </row>
    <row r="315" spans="1:8" s="1062" customFormat="1" ht="14.25" customHeight="1" thickBot="1">
      <c r="A315" s="1074" t="s">
        <v>1419</v>
      </c>
      <c r="B315" s="1068" t="s">
        <v>1312</v>
      </c>
      <c r="C315" s="1068"/>
      <c r="D315" s="1068"/>
      <c r="E315" s="1068"/>
      <c r="F315" s="1086">
        <v>520</v>
      </c>
      <c r="H315" s="1093"/>
    </row>
    <row r="316" spans="1:8" s="1062" customFormat="1" ht="14.25" customHeight="1" thickBot="1">
      <c r="A316" s="1074" t="s">
        <v>1419</v>
      </c>
      <c r="B316" s="1084" t="s">
        <v>1319</v>
      </c>
      <c r="C316" s="1084"/>
      <c r="D316" s="1084"/>
      <c r="E316" s="1084"/>
      <c r="F316" s="1094">
        <v>460</v>
      </c>
      <c r="H316" s="1093"/>
    </row>
    <row r="317" spans="1:8" s="1062" customFormat="1" ht="14.25" customHeight="1" thickBot="1">
      <c r="A317" s="1074" t="s">
        <v>917</v>
      </c>
      <c r="B317" s="1075" t="s">
        <v>1424</v>
      </c>
      <c r="C317" s="1075">
        <v>1200</v>
      </c>
      <c r="D317" s="1075">
        <v>1180</v>
      </c>
      <c r="E317" s="1075">
        <v>1160</v>
      </c>
      <c r="F317" s="1076">
        <v>370</v>
      </c>
      <c r="H317" s="1059"/>
    </row>
    <row r="318" spans="1:8" s="1062" customFormat="1" ht="14.25" customHeight="1" thickBot="1">
      <c r="A318" s="1074" t="s">
        <v>917</v>
      </c>
      <c r="B318" s="1068" t="s">
        <v>1425</v>
      </c>
      <c r="C318" s="1068">
        <v>1090</v>
      </c>
      <c r="D318" s="1068">
        <v>1060</v>
      </c>
      <c r="E318" s="1068">
        <v>1040</v>
      </c>
      <c r="F318" s="1095"/>
      <c r="H318" s="1059"/>
    </row>
    <row r="319" spans="1:8" s="1062" customFormat="1" ht="14.25" customHeight="1" thickBot="1">
      <c r="A319" s="1074" t="s">
        <v>917</v>
      </c>
      <c r="B319" s="1068" t="s">
        <v>1426</v>
      </c>
      <c r="C319" s="1068">
        <v>1520</v>
      </c>
      <c r="D319" s="1068">
        <v>1470</v>
      </c>
      <c r="E319" s="1068">
        <v>1440</v>
      </c>
      <c r="F319" s="1086">
        <v>370</v>
      </c>
      <c r="H319" s="1059"/>
    </row>
    <row r="320" spans="1:8" s="1062" customFormat="1" ht="14.25" customHeight="1" thickBot="1">
      <c r="A320" s="1074" t="s">
        <v>917</v>
      </c>
      <c r="B320" s="1068" t="s">
        <v>1107</v>
      </c>
      <c r="C320" s="1068">
        <v>1360</v>
      </c>
      <c r="D320" s="1068">
        <v>1300</v>
      </c>
      <c r="E320" s="1068">
        <v>1270</v>
      </c>
      <c r="F320" s="1095"/>
      <c r="H320" s="1059"/>
    </row>
    <row r="321" spans="1:8" s="1062" customFormat="1" ht="14.25" customHeight="1" thickBot="1">
      <c r="A321" s="1074" t="s">
        <v>917</v>
      </c>
      <c r="B321" s="1068" t="s">
        <v>1121</v>
      </c>
      <c r="C321" s="1068">
        <v>1750</v>
      </c>
      <c r="D321" s="1068">
        <v>1690</v>
      </c>
      <c r="E321" s="1068">
        <v>1660</v>
      </c>
      <c r="F321" s="1095"/>
      <c r="H321" s="1059"/>
    </row>
    <row r="322" spans="1:8" s="1062" customFormat="1" ht="14.25" customHeight="1" thickBot="1">
      <c r="A322" s="1074" t="s">
        <v>917</v>
      </c>
      <c r="B322" s="1068" t="s">
        <v>1132</v>
      </c>
      <c r="C322" s="1068">
        <v>1650</v>
      </c>
      <c r="D322" s="1068">
        <v>1610</v>
      </c>
      <c r="E322" s="1068">
        <v>1580</v>
      </c>
      <c r="F322" s="1086">
        <v>500</v>
      </c>
      <c r="H322" s="1059"/>
    </row>
    <row r="323" spans="1:8" s="1062" customFormat="1" ht="14.25" customHeight="1" thickBot="1">
      <c r="A323" s="1074" t="s">
        <v>917</v>
      </c>
      <c r="B323" s="1068" t="s">
        <v>1143</v>
      </c>
      <c r="C323" s="1068">
        <v>1780</v>
      </c>
      <c r="D323" s="1068">
        <v>1740</v>
      </c>
      <c r="E323" s="1068">
        <v>1720</v>
      </c>
      <c r="F323" s="1095"/>
      <c r="H323" s="1059"/>
    </row>
    <row r="324" spans="1:8" s="1062" customFormat="1" ht="14.25" customHeight="1" thickBot="1">
      <c r="A324" s="1074" t="s">
        <v>917</v>
      </c>
      <c r="B324" s="1068" t="s">
        <v>1154</v>
      </c>
      <c r="C324" s="1068">
        <v>1650</v>
      </c>
      <c r="D324" s="1068">
        <v>1610</v>
      </c>
      <c r="E324" s="1068">
        <v>1580</v>
      </c>
      <c r="F324" s="1095"/>
      <c r="H324" s="1059"/>
    </row>
    <row r="325" spans="1:8" s="1062" customFormat="1" ht="14.25" customHeight="1" thickBot="1">
      <c r="A325" s="1074" t="s">
        <v>917</v>
      </c>
      <c r="B325" s="1068" t="s">
        <v>1166</v>
      </c>
      <c r="C325" s="1068">
        <v>1330</v>
      </c>
      <c r="D325" s="1068">
        <v>1270</v>
      </c>
      <c r="E325" s="1068">
        <v>1240</v>
      </c>
      <c r="F325" s="1086">
        <v>430</v>
      </c>
      <c r="H325" s="1059"/>
    </row>
    <row r="326" spans="1:8" s="1062" customFormat="1" ht="14.25" customHeight="1" thickBot="1">
      <c r="A326" s="1074" t="s">
        <v>917</v>
      </c>
      <c r="B326" s="1068" t="s">
        <v>1176</v>
      </c>
      <c r="C326" s="1068">
        <v>1470</v>
      </c>
      <c r="D326" s="1068">
        <v>1430</v>
      </c>
      <c r="E326" s="1068">
        <v>1400</v>
      </c>
      <c r="F326" s="1095"/>
      <c r="H326" s="1059"/>
    </row>
    <row r="327" spans="1:8" s="1062" customFormat="1" ht="14.25" customHeight="1" thickBot="1">
      <c r="A327" s="1074" t="s">
        <v>917</v>
      </c>
      <c r="B327" s="1068" t="s">
        <v>1186</v>
      </c>
      <c r="C327" s="1068">
        <v>1420</v>
      </c>
      <c r="D327" s="1068">
        <v>1380</v>
      </c>
      <c r="E327" s="1068">
        <v>1360</v>
      </c>
      <c r="F327" s="1086">
        <v>420</v>
      </c>
      <c r="H327" s="1059"/>
    </row>
    <row r="328" spans="1:8" s="1062" customFormat="1" ht="14.25" customHeight="1" thickBot="1">
      <c r="A328" s="1074" t="s">
        <v>917</v>
      </c>
      <c r="B328" s="1068" t="s">
        <v>1196</v>
      </c>
      <c r="C328" s="1068">
        <v>1400</v>
      </c>
      <c r="D328" s="1068">
        <v>1360</v>
      </c>
      <c r="E328" s="1068">
        <v>1330</v>
      </c>
      <c r="F328" s="1086">
        <v>460</v>
      </c>
      <c r="H328" s="1059"/>
    </row>
    <row r="329" spans="1:8" s="1062" customFormat="1" ht="14.25" customHeight="1" thickBot="1">
      <c r="A329" s="1074" t="s">
        <v>917</v>
      </c>
      <c r="B329" s="1068" t="s">
        <v>1206</v>
      </c>
      <c r="C329" s="1068">
        <v>1640</v>
      </c>
      <c r="D329" s="1068">
        <v>1610</v>
      </c>
      <c r="E329" s="1068">
        <v>1580</v>
      </c>
      <c r="F329" s="1086">
        <v>410</v>
      </c>
      <c r="H329" s="1059"/>
    </row>
    <row r="330" spans="1:8" s="1062" customFormat="1" ht="14.25" customHeight="1" thickBot="1">
      <c r="A330" s="1074" t="s">
        <v>917</v>
      </c>
      <c r="B330" s="1068" t="s">
        <v>1216</v>
      </c>
      <c r="C330" s="1068">
        <v>1260</v>
      </c>
      <c r="D330" s="1068">
        <v>1220</v>
      </c>
      <c r="E330" s="1068">
        <v>1200</v>
      </c>
      <c r="F330" s="1095"/>
      <c r="H330" s="1059"/>
    </row>
    <row r="331" spans="1:8" s="1062" customFormat="1" ht="14.25" customHeight="1" thickBot="1">
      <c r="A331" s="1074" t="s">
        <v>917</v>
      </c>
      <c r="B331" s="1068" t="s">
        <v>1226</v>
      </c>
      <c r="C331" s="1068">
        <v>1620</v>
      </c>
      <c r="D331" s="1068">
        <v>1560</v>
      </c>
      <c r="E331" s="1068">
        <v>1530</v>
      </c>
      <c r="F331" s="1086">
        <v>490</v>
      </c>
      <c r="H331" s="1059"/>
    </row>
    <row r="332" spans="1:8" s="1062" customFormat="1" ht="14.25" customHeight="1" thickBot="1">
      <c r="A332" s="1074" t="s">
        <v>917</v>
      </c>
      <c r="B332" s="1068" t="s">
        <v>1236</v>
      </c>
      <c r="C332" s="1068">
        <v>1520</v>
      </c>
      <c r="D332" s="1068">
        <v>1470</v>
      </c>
      <c r="E332" s="1068">
        <v>1440</v>
      </c>
      <c r="F332" s="1086">
        <v>440</v>
      </c>
      <c r="H332" s="1059"/>
    </row>
    <row r="333" spans="1:8" s="1062" customFormat="1" ht="14.25" customHeight="1" thickBot="1">
      <c r="A333" s="1074" t="s">
        <v>917</v>
      </c>
      <c r="B333" s="1068" t="s">
        <v>1246</v>
      </c>
      <c r="C333" s="1068">
        <v>1370</v>
      </c>
      <c r="D333" s="1068">
        <v>1320</v>
      </c>
      <c r="E333" s="1068">
        <v>1300</v>
      </c>
      <c r="F333" s="1086">
        <v>460</v>
      </c>
      <c r="H333" s="1059"/>
    </row>
    <row r="334" spans="1:8" s="1062" customFormat="1" ht="14.25" customHeight="1" thickBot="1">
      <c r="A334" s="1074" t="s">
        <v>917</v>
      </c>
      <c r="B334" s="1068" t="s">
        <v>1256</v>
      </c>
      <c r="C334" s="1068">
        <v>1410</v>
      </c>
      <c r="D334" s="1068">
        <v>1340</v>
      </c>
      <c r="E334" s="1068">
        <v>1310</v>
      </c>
      <c r="F334" s="1086">
        <v>410</v>
      </c>
      <c r="H334" s="1059"/>
    </row>
    <row r="335" spans="1:8" s="1062" customFormat="1" ht="14.25" customHeight="1" thickBot="1">
      <c r="A335" s="1074" t="s">
        <v>917</v>
      </c>
      <c r="B335" s="1068" t="s">
        <v>1266</v>
      </c>
      <c r="C335" s="1068">
        <v>1260</v>
      </c>
      <c r="D335" s="1068">
        <v>1220</v>
      </c>
      <c r="E335" s="1068">
        <v>1200</v>
      </c>
      <c r="F335" s="1095"/>
      <c r="H335" s="1059"/>
    </row>
    <row r="336" spans="1:8" s="1062" customFormat="1" ht="14.25" customHeight="1" thickBot="1">
      <c r="A336" s="1074" t="s">
        <v>917</v>
      </c>
      <c r="B336" s="1068" t="s">
        <v>1275</v>
      </c>
      <c r="C336" s="1068">
        <v>1160</v>
      </c>
      <c r="D336" s="1068">
        <v>1140</v>
      </c>
      <c r="E336" s="1068">
        <v>1120</v>
      </c>
      <c r="F336" s="1086">
        <v>430</v>
      </c>
      <c r="H336" s="1059"/>
    </row>
    <row r="337" spans="1:8" s="1062" customFormat="1" ht="14.25" customHeight="1" thickBot="1">
      <c r="A337" s="1074" t="s">
        <v>917</v>
      </c>
      <c r="B337" s="1084" t="s">
        <v>1284</v>
      </c>
      <c r="C337" s="1084"/>
      <c r="D337" s="1084"/>
      <c r="E337" s="1084"/>
      <c r="F337" s="1094">
        <v>380</v>
      </c>
      <c r="H337" s="1059"/>
    </row>
    <row r="338" spans="1:8" s="1062" customFormat="1" ht="14.25" customHeight="1" thickBot="1">
      <c r="A338" s="1074" t="s">
        <v>918</v>
      </c>
      <c r="B338" s="1075" t="s">
        <v>1427</v>
      </c>
      <c r="C338" s="1075">
        <v>880</v>
      </c>
      <c r="D338" s="1075">
        <v>850</v>
      </c>
      <c r="E338" s="1075">
        <v>830</v>
      </c>
      <c r="F338" s="1097"/>
      <c r="H338" s="1059"/>
    </row>
    <row r="339" spans="1:8" s="1062" customFormat="1" ht="14.25" customHeight="1" thickBot="1">
      <c r="A339" s="1074" t="s">
        <v>918</v>
      </c>
      <c r="B339" s="1068" t="s">
        <v>1428</v>
      </c>
      <c r="C339" s="1068">
        <v>830</v>
      </c>
      <c r="D339" s="1068">
        <v>800</v>
      </c>
      <c r="E339" s="1068">
        <v>780</v>
      </c>
      <c r="F339" s="1095"/>
      <c r="H339" s="1059"/>
    </row>
    <row r="340" spans="1:8" s="1062" customFormat="1" ht="14.25" customHeight="1" thickBot="1">
      <c r="A340" s="1074" t="s">
        <v>918</v>
      </c>
      <c r="B340" s="1068" t="s">
        <v>1429</v>
      </c>
      <c r="C340" s="1068">
        <v>980</v>
      </c>
      <c r="D340" s="1068">
        <v>950</v>
      </c>
      <c r="E340" s="1068">
        <v>920</v>
      </c>
      <c r="F340" s="1095"/>
      <c r="H340" s="1059"/>
    </row>
    <row r="341" spans="1:8" s="1062" customFormat="1" ht="14.25" customHeight="1" thickBot="1">
      <c r="A341" s="1074" t="s">
        <v>918</v>
      </c>
      <c r="B341" s="1068" t="s">
        <v>1430</v>
      </c>
      <c r="C341" s="1068">
        <v>760</v>
      </c>
      <c r="D341" s="1068">
        <v>720</v>
      </c>
      <c r="E341" s="1068">
        <v>690</v>
      </c>
      <c r="F341" s="1086">
        <v>350</v>
      </c>
      <c r="H341" s="1059"/>
    </row>
    <row r="342" spans="1:8" s="1062" customFormat="1" ht="14.25" customHeight="1" thickBot="1">
      <c r="A342" s="1074" t="s">
        <v>918</v>
      </c>
      <c r="B342" s="1068" t="s">
        <v>1122</v>
      </c>
      <c r="C342" s="1068">
        <v>910</v>
      </c>
      <c r="D342" s="1068">
        <v>870</v>
      </c>
      <c r="E342" s="1068">
        <v>850</v>
      </c>
      <c r="F342" s="1086">
        <v>370</v>
      </c>
      <c r="H342" s="1059"/>
    </row>
    <row r="343" spans="1:8" s="1062" customFormat="1" ht="14.25" customHeight="1" thickBot="1">
      <c r="A343" s="1074" t="s">
        <v>918</v>
      </c>
      <c r="B343" s="1068" t="s">
        <v>1133</v>
      </c>
      <c r="C343" s="1068">
        <v>800</v>
      </c>
      <c r="D343" s="1068">
        <v>760</v>
      </c>
      <c r="E343" s="1068">
        <v>730</v>
      </c>
      <c r="F343" s="1086">
        <v>340</v>
      </c>
      <c r="H343" s="1059"/>
    </row>
    <row r="344" spans="1:8" s="1062" customFormat="1" ht="14.25" customHeight="1" thickBot="1">
      <c r="A344" s="1074" t="s">
        <v>918</v>
      </c>
      <c r="B344" s="1084" t="s">
        <v>1144</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848" t="s">
        <v>2077</v>
      </c>
      <c r="B1" s="3848"/>
    </row>
    <row r="2" spans="1:6" ht="14.25" thickBot="1">
      <c r="A2" s="1834"/>
      <c r="B2" s="1834"/>
    </row>
    <row r="3" spans="1:6" ht="14.25" thickBot="1">
      <c r="A3" s="1834"/>
      <c r="B3" s="1834"/>
      <c r="C3" s="1835" t="s">
        <v>2078</v>
      </c>
      <c r="D3" s="1835" t="s">
        <v>2079</v>
      </c>
      <c r="E3" s="1835" t="s">
        <v>2080</v>
      </c>
      <c r="F3" s="1835" t="s">
        <v>2081</v>
      </c>
    </row>
    <row r="4" spans="1:6" ht="14.25" thickBot="1">
      <c r="A4" s="1836" t="s">
        <v>2082</v>
      </c>
      <c r="B4" s="1837" t="s">
        <v>2083</v>
      </c>
      <c r="C4" s="1835"/>
      <c r="D4" s="1835"/>
      <c r="E4" s="1835"/>
      <c r="F4" s="1835"/>
    </row>
    <row r="5" spans="1:6" ht="14.25" thickBot="1">
      <c r="A5" s="1838" t="s">
        <v>2084</v>
      </c>
      <c r="B5" s="1839" t="s">
        <v>2085</v>
      </c>
      <c r="C5" s="1840">
        <v>8.8999999999999996E-2</v>
      </c>
      <c r="D5" s="1840">
        <v>7.3999999999999996E-2</v>
      </c>
      <c r="E5" s="1840">
        <v>7.4999999999999997E-2</v>
      </c>
      <c r="F5" s="1841">
        <v>0.1</v>
      </c>
    </row>
    <row r="6" spans="1:6" ht="14.25" thickBot="1">
      <c r="A6" s="1838" t="s">
        <v>1096</v>
      </c>
      <c r="B6" s="1842" t="s">
        <v>2086</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2087</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2088</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2089</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2090</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2091</v>
      </c>
      <c r="C72" s="1852"/>
      <c r="D72" s="1852"/>
      <c r="E72" s="1852"/>
      <c r="F72" s="1844">
        <v>0.05</v>
      </c>
    </row>
    <row r="73" spans="1:6" ht="14.25" thickBot="1">
      <c r="A73" s="1838" t="s">
        <v>925</v>
      </c>
      <c r="B73" s="1842" t="s">
        <v>2092</v>
      </c>
      <c r="C73" s="1852"/>
      <c r="D73" s="1852"/>
      <c r="E73" s="1852"/>
      <c r="F73" s="1844">
        <v>0.05</v>
      </c>
    </row>
    <row r="74" spans="1:6" ht="14.25" thickBot="1">
      <c r="A74" s="1838" t="s">
        <v>925</v>
      </c>
      <c r="B74" s="1842" t="s">
        <v>2093</v>
      </c>
      <c r="C74" s="1852"/>
      <c r="D74" s="1852"/>
      <c r="E74" s="1852"/>
      <c r="F74" s="1844">
        <v>0.05</v>
      </c>
    </row>
    <row r="75" spans="1:6" ht="14.25" thickBot="1">
      <c r="A75" s="1846" t="s">
        <v>925</v>
      </c>
      <c r="B75" s="1853" t="s">
        <v>2094</v>
      </c>
      <c r="C75" s="1849"/>
      <c r="D75" s="1849"/>
      <c r="E75" s="1849"/>
      <c r="F75" s="1854">
        <v>0.05</v>
      </c>
    </row>
    <row r="76" spans="1:6" ht="14.25" thickBot="1">
      <c r="A76" s="1838" t="s">
        <v>1407</v>
      </c>
      <c r="B76" s="1839" t="s">
        <v>2095</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2096</v>
      </c>
      <c r="C102" s="1852"/>
      <c r="D102" s="1852"/>
      <c r="E102" s="1852"/>
      <c r="F102" s="1844">
        <v>0.05</v>
      </c>
    </row>
    <row r="103" spans="1:6" ht="24.75" thickBot="1">
      <c r="A103" s="1838" t="s">
        <v>1407</v>
      </c>
      <c r="B103" s="1842" t="s">
        <v>2097</v>
      </c>
      <c r="C103" s="1852"/>
      <c r="D103" s="1852"/>
      <c r="E103" s="1852"/>
      <c r="F103" s="1844">
        <v>0.05</v>
      </c>
    </row>
    <row r="104" spans="1:6" ht="14.25" thickBot="1">
      <c r="A104" s="1838" t="s">
        <v>1407</v>
      </c>
      <c r="B104" s="1842" t="s">
        <v>2098</v>
      </c>
      <c r="C104" s="1852"/>
      <c r="D104" s="1852"/>
      <c r="E104" s="1852"/>
      <c r="F104" s="1844">
        <v>0.05</v>
      </c>
    </row>
    <row r="105" spans="1:6" ht="14.25" thickBot="1">
      <c r="A105" s="1838" t="s">
        <v>1407</v>
      </c>
      <c r="B105" s="1842" t="s">
        <v>2099</v>
      </c>
      <c r="C105" s="1852"/>
      <c r="D105" s="1852"/>
      <c r="E105" s="1852"/>
      <c r="F105" s="1844">
        <v>0.05</v>
      </c>
    </row>
    <row r="106" spans="1:6" ht="14.25" thickBot="1">
      <c r="A106" s="1838" t="s">
        <v>1407</v>
      </c>
      <c r="B106" s="1842" t="s">
        <v>2100</v>
      </c>
      <c r="C106" s="1852"/>
      <c r="D106" s="1852"/>
      <c r="E106" s="1852"/>
      <c r="F106" s="1844">
        <v>0.05</v>
      </c>
    </row>
    <row r="107" spans="1:6" ht="24.75" thickBot="1">
      <c r="A107" s="1838" t="s">
        <v>1407</v>
      </c>
      <c r="B107" s="1842" t="s">
        <v>2101</v>
      </c>
      <c r="C107" s="1852"/>
      <c r="D107" s="1852"/>
      <c r="E107" s="1852"/>
      <c r="F107" s="1844">
        <v>0.05</v>
      </c>
    </row>
    <row r="108" spans="1:6" ht="24.75" thickBot="1">
      <c r="A108" s="1838" t="s">
        <v>1407</v>
      </c>
      <c r="B108" s="1842" t="s">
        <v>2102</v>
      </c>
      <c r="C108" s="1852"/>
      <c r="D108" s="1852"/>
      <c r="E108" s="1852"/>
      <c r="F108" s="1844">
        <v>0.05</v>
      </c>
    </row>
    <row r="109" spans="1:6" ht="24.75" thickBot="1">
      <c r="A109" s="1846" t="s">
        <v>1407</v>
      </c>
      <c r="B109" s="1853" t="s">
        <v>2103</v>
      </c>
      <c r="C109" s="1849"/>
      <c r="D109" s="1849"/>
      <c r="E109" s="1849"/>
      <c r="F109" s="1854">
        <v>0.05</v>
      </c>
    </row>
    <row r="110" spans="1:6" ht="14.25" thickBot="1">
      <c r="A110" s="1838" t="s">
        <v>1409</v>
      </c>
      <c r="B110" s="1839" t="s">
        <v>2104</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2105</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2106</v>
      </c>
      <c r="C138" s="1843">
        <v>0.105</v>
      </c>
      <c r="D138" s="1843">
        <v>0.125</v>
      </c>
      <c r="E138" s="1843">
        <v>0.112</v>
      </c>
      <c r="F138" s="1851"/>
    </row>
    <row r="139" spans="1:6" ht="14.25" thickBot="1">
      <c r="A139" s="1838" t="s">
        <v>1409</v>
      </c>
      <c r="B139" s="1842" t="s">
        <v>2107</v>
      </c>
      <c r="C139" s="1843">
        <v>0.127</v>
      </c>
      <c r="D139" s="1843">
        <v>0.127</v>
      </c>
      <c r="E139" s="1843">
        <v>0.122</v>
      </c>
      <c r="F139" s="1844">
        <v>0.13</v>
      </c>
    </row>
    <row r="140" spans="1:6" ht="14.25" thickBot="1">
      <c r="A140" s="1838" t="s">
        <v>1409</v>
      </c>
      <c r="B140" s="1842" t="s">
        <v>2108</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2109</v>
      </c>
      <c r="C144" s="1856">
        <v>0.126</v>
      </c>
      <c r="D144" s="1856">
        <v>0.126</v>
      </c>
      <c r="E144" s="1856">
        <v>0.121</v>
      </c>
      <c r="F144" s="1851"/>
    </row>
    <row r="145" spans="1:6" ht="14.25" thickBot="1">
      <c r="A145" s="1846" t="s">
        <v>1409</v>
      </c>
      <c r="B145" s="1857" t="s">
        <v>2110</v>
      </c>
      <c r="C145" s="1858"/>
      <c r="D145" s="1858"/>
      <c r="E145" s="1858"/>
      <c r="F145" s="1859">
        <v>0.05</v>
      </c>
    </row>
    <row r="146" spans="1:6" ht="24.75" thickBot="1">
      <c r="A146" s="1860" t="s">
        <v>1409</v>
      </c>
      <c r="B146" s="1845" t="s">
        <v>2111</v>
      </c>
      <c r="C146" s="1852"/>
      <c r="D146" s="1852"/>
      <c r="E146" s="1852"/>
      <c r="F146" s="1861">
        <v>0.05</v>
      </c>
    </row>
    <row r="147" spans="1:6" ht="24.75" thickBot="1">
      <c r="A147" s="1838" t="s">
        <v>1409</v>
      </c>
      <c r="B147" s="1842" t="s">
        <v>2112</v>
      </c>
      <c r="C147" s="1852"/>
      <c r="D147" s="1852"/>
      <c r="E147" s="1852"/>
      <c r="F147" s="1844">
        <v>0.05</v>
      </c>
    </row>
    <row r="148" spans="1:6" ht="24.75" thickBot="1">
      <c r="A148" s="1838" t="s">
        <v>1409</v>
      </c>
      <c r="B148" s="1842" t="s">
        <v>2113</v>
      </c>
      <c r="C148" s="1852"/>
      <c r="D148" s="1852"/>
      <c r="E148" s="1852"/>
      <c r="F148" s="1844">
        <v>0.05</v>
      </c>
    </row>
    <row r="149" spans="1:6" ht="24.75" thickBot="1">
      <c r="A149" s="1838" t="s">
        <v>1409</v>
      </c>
      <c r="B149" s="1842" t="s">
        <v>2114</v>
      </c>
      <c r="C149" s="1852"/>
      <c r="D149" s="1852"/>
      <c r="E149" s="1852"/>
      <c r="F149" s="1844">
        <v>0.05</v>
      </c>
    </row>
    <row r="150" spans="1:6" ht="24.75" thickBot="1">
      <c r="A150" s="1838" t="s">
        <v>1409</v>
      </c>
      <c r="B150" s="1842" t="s">
        <v>2115</v>
      </c>
      <c r="C150" s="1852"/>
      <c r="D150" s="1852"/>
      <c r="E150" s="1852"/>
      <c r="F150" s="1844">
        <v>0.05</v>
      </c>
    </row>
    <row r="151" spans="1:6" ht="24.75" thickBot="1">
      <c r="A151" s="1838" t="s">
        <v>1409</v>
      </c>
      <c r="B151" s="1842" t="s">
        <v>2116</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2117</v>
      </c>
      <c r="C153" s="1852"/>
      <c r="D153" s="1852"/>
      <c r="E153" s="1852"/>
      <c r="F153" s="1844">
        <v>0.05</v>
      </c>
    </row>
    <row r="154" spans="1:6" ht="14.25" thickBot="1">
      <c r="A154" s="1838" t="s">
        <v>1409</v>
      </c>
      <c r="B154" s="1842" t="s">
        <v>2118</v>
      </c>
      <c r="C154" s="1852"/>
      <c r="D154" s="1852"/>
      <c r="E154" s="1852"/>
      <c r="F154" s="1844">
        <v>0.05</v>
      </c>
    </row>
    <row r="155" spans="1:6" ht="24.75" thickBot="1">
      <c r="A155" s="1838" t="s">
        <v>1409</v>
      </c>
      <c r="B155" s="1842" t="s">
        <v>2119</v>
      </c>
      <c r="C155" s="1852"/>
      <c r="D155" s="1852"/>
      <c r="E155" s="1852"/>
      <c r="F155" s="1844">
        <v>0.05</v>
      </c>
    </row>
    <row r="156" spans="1:6" ht="24.75" thickBot="1">
      <c r="A156" s="1838" t="s">
        <v>1409</v>
      </c>
      <c r="B156" s="1842" t="s">
        <v>2120</v>
      </c>
      <c r="C156" s="1852"/>
      <c r="D156" s="1852"/>
      <c r="E156" s="1852"/>
      <c r="F156" s="1844">
        <v>0.05</v>
      </c>
    </row>
    <row r="157" spans="1:6" ht="14.25" thickBot="1">
      <c r="A157" s="1846" t="s">
        <v>1409</v>
      </c>
      <c r="B157" s="1853" t="s">
        <v>2121</v>
      </c>
      <c r="C157" s="1849"/>
      <c r="D157" s="1849"/>
      <c r="E157" s="1849"/>
      <c r="F157" s="1854">
        <v>0.05</v>
      </c>
    </row>
    <row r="158" spans="1:6" ht="14.25" thickBot="1">
      <c r="A158" s="1838" t="s">
        <v>1411</v>
      </c>
      <c r="B158" s="1839" t="s">
        <v>2122</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2123</v>
      </c>
      <c r="C171" s="1843">
        <v>0.127</v>
      </c>
      <c r="D171" s="1843">
        <v>0.126</v>
      </c>
      <c r="E171" s="1843">
        <v>0.126</v>
      </c>
      <c r="F171" s="1844">
        <v>0.11799999999999999</v>
      </c>
    </row>
    <row r="172" spans="1:6" ht="14.25" thickBot="1">
      <c r="A172" s="1838" t="s">
        <v>1411</v>
      </c>
      <c r="B172" s="1842" t="s">
        <v>2124</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2125</v>
      </c>
      <c r="C174" s="1843">
        <v>0.13</v>
      </c>
      <c r="D174" s="1843">
        <v>0.13</v>
      </c>
      <c r="E174" s="1843">
        <v>0.13</v>
      </c>
      <c r="F174" s="1844">
        <v>0.13</v>
      </c>
    </row>
    <row r="175" spans="1:6" ht="14.25" thickBot="1">
      <c r="A175" s="1838" t="s">
        <v>1411</v>
      </c>
      <c r="B175" s="1842" t="s">
        <v>2126</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2127</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2128</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2129</v>
      </c>
      <c r="C185" s="1843">
        <v>0.127</v>
      </c>
      <c r="D185" s="1843">
        <v>0.127</v>
      </c>
      <c r="E185" s="1843">
        <v>0.128</v>
      </c>
      <c r="F185" s="1844">
        <v>0.13</v>
      </c>
    </row>
    <row r="186" spans="1:6" ht="24.75" thickBot="1">
      <c r="A186" s="1838" t="s">
        <v>1411</v>
      </c>
      <c r="B186" s="1842" t="s">
        <v>2130</v>
      </c>
      <c r="C186" s="1852"/>
      <c r="D186" s="1852"/>
      <c r="E186" s="1852"/>
      <c r="F186" s="1844">
        <v>0.05</v>
      </c>
    </row>
    <row r="187" spans="1:6" ht="14.25" thickBot="1">
      <c r="A187" s="1838" t="s">
        <v>1411</v>
      </c>
      <c r="B187" s="1842" t="s">
        <v>2131</v>
      </c>
      <c r="C187" s="1852"/>
      <c r="D187" s="1852"/>
      <c r="E187" s="1852"/>
      <c r="F187" s="1844">
        <v>0.05</v>
      </c>
    </row>
    <row r="188" spans="1:6" ht="14.25" thickBot="1">
      <c r="A188" s="1838" t="s">
        <v>1411</v>
      </c>
      <c r="B188" s="1842" t="s">
        <v>2132</v>
      </c>
      <c r="C188" s="1852"/>
      <c r="D188" s="1852"/>
      <c r="E188" s="1852"/>
      <c r="F188" s="1844">
        <v>0.05</v>
      </c>
    </row>
    <row r="189" spans="1:6" ht="24.75" thickBot="1">
      <c r="A189" s="1838" t="s">
        <v>1411</v>
      </c>
      <c r="B189" s="1842" t="s">
        <v>2133</v>
      </c>
      <c r="C189" s="1852"/>
      <c r="D189" s="1852"/>
      <c r="E189" s="1852"/>
      <c r="F189" s="1844">
        <v>0.05</v>
      </c>
    </row>
    <row r="190" spans="1:6" ht="24.75" thickBot="1">
      <c r="A190" s="1838" t="s">
        <v>1411</v>
      </c>
      <c r="B190" s="1842" t="s">
        <v>2134</v>
      </c>
      <c r="C190" s="1852"/>
      <c r="D190" s="1852"/>
      <c r="E190" s="1852"/>
      <c r="F190" s="1844">
        <v>0.05</v>
      </c>
    </row>
    <row r="191" spans="1:6" ht="24.75" thickBot="1">
      <c r="A191" s="1838" t="s">
        <v>1411</v>
      </c>
      <c r="B191" s="1842" t="s">
        <v>2135</v>
      </c>
      <c r="C191" s="1852"/>
      <c r="D191" s="1852"/>
      <c r="E191" s="1852"/>
      <c r="F191" s="1844">
        <v>0.05</v>
      </c>
    </row>
    <row r="192" spans="1:6" ht="24.75" thickBot="1">
      <c r="A192" s="1838" t="s">
        <v>1411</v>
      </c>
      <c r="B192" s="1842" t="s">
        <v>2136</v>
      </c>
      <c r="C192" s="1852"/>
      <c r="D192" s="1852"/>
      <c r="E192" s="1852"/>
      <c r="F192" s="1844">
        <v>0.05</v>
      </c>
    </row>
    <row r="193" spans="1:6" ht="24.75" thickBot="1">
      <c r="A193" s="1838" t="s">
        <v>1411</v>
      </c>
      <c r="B193" s="1842" t="s">
        <v>2137</v>
      </c>
      <c r="C193" s="1852"/>
      <c r="D193" s="1852"/>
      <c r="E193" s="1852"/>
      <c r="F193" s="1844">
        <v>0.05</v>
      </c>
    </row>
    <row r="194" spans="1:6" ht="24.75" thickBot="1">
      <c r="A194" s="1838" t="s">
        <v>1411</v>
      </c>
      <c r="B194" s="1842" t="s">
        <v>2138</v>
      </c>
      <c r="C194" s="1852"/>
      <c r="D194" s="1852"/>
      <c r="E194" s="1852"/>
      <c r="F194" s="1844">
        <v>0.05</v>
      </c>
    </row>
    <row r="195" spans="1:6" ht="14.25" thickBot="1">
      <c r="A195" s="1838" t="s">
        <v>1411</v>
      </c>
      <c r="B195" s="1842" t="s">
        <v>2139</v>
      </c>
      <c r="C195" s="1852"/>
      <c r="D195" s="1852"/>
      <c r="E195" s="1852"/>
      <c r="F195" s="1844">
        <v>0.05</v>
      </c>
    </row>
    <row r="196" spans="1:6" ht="24.75" thickBot="1">
      <c r="A196" s="1838" t="s">
        <v>1411</v>
      </c>
      <c r="B196" s="1842" t="s">
        <v>2140</v>
      </c>
      <c r="C196" s="1852"/>
      <c r="D196" s="1852"/>
      <c r="E196" s="1852"/>
      <c r="F196" s="1844">
        <v>0.05</v>
      </c>
    </row>
    <row r="197" spans="1:6" ht="24.75" thickBot="1">
      <c r="A197" s="1838" t="s">
        <v>1411</v>
      </c>
      <c r="B197" s="1842" t="s">
        <v>2141</v>
      </c>
      <c r="C197" s="1852"/>
      <c r="D197" s="1852"/>
      <c r="E197" s="1852"/>
      <c r="F197" s="1844">
        <v>0.05</v>
      </c>
    </row>
    <row r="198" spans="1:6" ht="24.75" thickBot="1">
      <c r="A198" s="1838" t="s">
        <v>1411</v>
      </c>
      <c r="B198" s="1842" t="s">
        <v>2142</v>
      </c>
      <c r="C198" s="1852"/>
      <c r="D198" s="1852"/>
      <c r="E198" s="1852"/>
      <c r="F198" s="1844">
        <v>0.05</v>
      </c>
    </row>
    <row r="199" spans="1:6" ht="24.75" thickBot="1">
      <c r="A199" s="1838" t="s">
        <v>1411</v>
      </c>
      <c r="B199" s="1842" t="s">
        <v>2143</v>
      </c>
      <c r="C199" s="1852"/>
      <c r="D199" s="1852"/>
      <c r="E199" s="1852"/>
      <c r="F199" s="1844">
        <v>0.05</v>
      </c>
    </row>
    <row r="200" spans="1:6" ht="24.75" thickBot="1">
      <c r="A200" s="1838" t="s">
        <v>1411</v>
      </c>
      <c r="B200" s="1842" t="s">
        <v>2144</v>
      </c>
      <c r="C200" s="1852"/>
      <c r="D200" s="1852"/>
      <c r="E200" s="1852"/>
      <c r="F200" s="1844">
        <v>0.05</v>
      </c>
    </row>
    <row r="201" spans="1:6" ht="24.75" thickBot="1">
      <c r="A201" s="1838" t="s">
        <v>1411</v>
      </c>
      <c r="B201" s="1842" t="s">
        <v>2145</v>
      </c>
      <c r="C201" s="1852"/>
      <c r="D201" s="1852"/>
      <c r="E201" s="1852"/>
      <c r="F201" s="1844">
        <v>0.05</v>
      </c>
    </row>
    <row r="202" spans="1:6" ht="24.75" thickBot="1">
      <c r="A202" s="1838" t="s">
        <v>1411</v>
      </c>
      <c r="B202" s="1842" t="s">
        <v>2146</v>
      </c>
      <c r="C202" s="1852"/>
      <c r="D202" s="1852"/>
      <c r="E202" s="1852"/>
      <c r="F202" s="1844">
        <v>0.05</v>
      </c>
    </row>
    <row r="203" spans="1:6" ht="24.75" thickBot="1">
      <c r="A203" s="1838" t="s">
        <v>1411</v>
      </c>
      <c r="B203" s="1842" t="s">
        <v>2147</v>
      </c>
      <c r="C203" s="1852"/>
      <c r="D203" s="1852"/>
      <c r="E203" s="1852"/>
      <c r="F203" s="1844">
        <v>0.05</v>
      </c>
    </row>
    <row r="204" spans="1:6" ht="14.25" thickBot="1">
      <c r="A204" s="1838" t="s">
        <v>1411</v>
      </c>
      <c r="B204" s="1842" t="s">
        <v>2148</v>
      </c>
      <c r="C204" s="1852"/>
      <c r="D204" s="1852"/>
      <c r="E204" s="1852"/>
      <c r="F204" s="1844">
        <v>0.05</v>
      </c>
    </row>
    <row r="205" spans="1:6" ht="14.25" thickBot="1">
      <c r="A205" s="1846" t="s">
        <v>1411</v>
      </c>
      <c r="B205" s="1853" t="s">
        <v>2149</v>
      </c>
      <c r="C205" s="1849"/>
      <c r="D205" s="1849"/>
      <c r="E205" s="1849"/>
      <c r="F205" s="1854">
        <v>0.05</v>
      </c>
    </row>
    <row r="206" spans="1:6" ht="14.25" thickBot="1">
      <c r="A206" s="1838" t="s">
        <v>1413</v>
      </c>
      <c r="B206" s="1839" t="s">
        <v>2150</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2151</v>
      </c>
      <c r="C210" s="1843">
        <v>0.15</v>
      </c>
      <c r="D210" s="1843">
        <v>0.15</v>
      </c>
      <c r="E210" s="1843">
        <v>0.15</v>
      </c>
      <c r="F210" s="1844">
        <v>0.13800000000000001</v>
      </c>
    </row>
    <row r="211" spans="1:6" ht="14.25" thickBot="1">
      <c r="A211" s="1838" t="s">
        <v>1413</v>
      </c>
      <c r="B211" s="1842" t="s">
        <v>2152</v>
      </c>
      <c r="C211" s="1843">
        <v>0.13700000000000001</v>
      </c>
      <c r="D211" s="1843">
        <v>0.13500000000000001</v>
      </c>
      <c r="E211" s="1843">
        <v>0.13600000000000001</v>
      </c>
      <c r="F211" s="1844">
        <v>0.1</v>
      </c>
    </row>
    <row r="212" spans="1:6" ht="14.25" thickBot="1">
      <c r="A212" s="1838" t="s">
        <v>1413</v>
      </c>
      <c r="B212" s="1842" t="s">
        <v>2153</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2154</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2155</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2156</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2157</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2158</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2159</v>
      </c>
      <c r="C231" s="1843">
        <v>0.128</v>
      </c>
      <c r="D231" s="1843">
        <v>0.125</v>
      </c>
      <c r="E231" s="1843">
        <v>0.13200000000000001</v>
      </c>
      <c r="F231" s="1851"/>
    </row>
    <row r="232" spans="1:6" ht="14.25" thickBot="1">
      <c r="A232" s="1838" t="s">
        <v>1413</v>
      </c>
      <c r="B232" s="1842" t="s">
        <v>2160</v>
      </c>
      <c r="C232" s="1843">
        <v>0.14499999999999999</v>
      </c>
      <c r="D232" s="1843">
        <v>0.14399999999999999</v>
      </c>
      <c r="E232" s="1843">
        <v>0.14599999999999999</v>
      </c>
      <c r="F232" s="1844">
        <v>0.13800000000000001</v>
      </c>
    </row>
    <row r="233" spans="1:6" ht="14.25" thickBot="1">
      <c r="A233" s="1838" t="s">
        <v>1413</v>
      </c>
      <c r="B233" s="1842" t="s">
        <v>2161</v>
      </c>
      <c r="C233" s="1843">
        <v>0.14499999999999999</v>
      </c>
      <c r="D233" s="1843">
        <v>0.14299999999999999</v>
      </c>
      <c r="E233" s="1843">
        <v>0.14199999999999999</v>
      </c>
      <c r="F233" s="1851"/>
    </row>
    <row r="234" spans="1:6" ht="14.25" thickBot="1">
      <c r="A234" s="1838" t="s">
        <v>1413</v>
      </c>
      <c r="B234" s="1842" t="s">
        <v>2162</v>
      </c>
      <c r="C234" s="1843">
        <v>0.14000000000000001</v>
      </c>
      <c r="D234" s="1843">
        <v>0.14000000000000001</v>
      </c>
      <c r="E234" s="1843">
        <v>0.14399999999999999</v>
      </c>
      <c r="F234" s="1851"/>
    </row>
    <row r="235" spans="1:6" ht="14.25" thickBot="1">
      <c r="A235" s="1838" t="s">
        <v>1413</v>
      </c>
      <c r="B235" s="1842" t="s">
        <v>2163</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2164</v>
      </c>
      <c r="C237" s="1852"/>
      <c r="D237" s="1852"/>
      <c r="E237" s="1852"/>
      <c r="F237" s="1844">
        <v>0.05</v>
      </c>
    </row>
    <row r="238" spans="1:6" ht="24.75" thickBot="1">
      <c r="A238" s="1838" t="s">
        <v>1413</v>
      </c>
      <c r="B238" s="1842" t="s">
        <v>2165</v>
      </c>
      <c r="C238" s="1852"/>
      <c r="D238" s="1852"/>
      <c r="E238" s="1852"/>
      <c r="F238" s="1844">
        <v>0.05</v>
      </c>
    </row>
    <row r="239" spans="1:6" ht="24.75" thickBot="1">
      <c r="A239" s="1838" t="s">
        <v>1413</v>
      </c>
      <c r="B239" s="1842" t="s">
        <v>2166</v>
      </c>
      <c r="C239" s="1852"/>
      <c r="D239" s="1852"/>
      <c r="E239" s="1852"/>
      <c r="F239" s="1844">
        <v>0.05</v>
      </c>
    </row>
    <row r="240" spans="1:6" ht="24.75" thickBot="1">
      <c r="A240" s="1838" t="s">
        <v>1413</v>
      </c>
      <c r="B240" s="1842" t="s">
        <v>2167</v>
      </c>
      <c r="C240" s="1852"/>
      <c r="D240" s="1852"/>
      <c r="E240" s="1852"/>
      <c r="F240" s="1844">
        <v>0.05</v>
      </c>
    </row>
    <row r="241" spans="1:6" ht="24.75" thickBot="1">
      <c r="A241" s="1838" t="s">
        <v>1413</v>
      </c>
      <c r="B241" s="1842" t="s">
        <v>2168</v>
      </c>
      <c r="C241" s="1852"/>
      <c r="D241" s="1852"/>
      <c r="E241" s="1852"/>
      <c r="F241" s="1844">
        <v>0.05</v>
      </c>
    </row>
    <row r="242" spans="1:6" ht="24.75" thickBot="1">
      <c r="A242" s="1838" t="s">
        <v>1413</v>
      </c>
      <c r="B242" s="1842" t="s">
        <v>2169</v>
      </c>
      <c r="C242" s="1852"/>
      <c r="D242" s="1852"/>
      <c r="E242" s="1852"/>
      <c r="F242" s="1844">
        <v>0.05</v>
      </c>
    </row>
    <row r="243" spans="1:6" ht="24.75" thickBot="1">
      <c r="A243" s="1838" t="s">
        <v>1413</v>
      </c>
      <c r="B243" s="1842" t="s">
        <v>2170</v>
      </c>
      <c r="C243" s="1852"/>
      <c r="D243" s="1852"/>
      <c r="E243" s="1852"/>
      <c r="F243" s="1844">
        <v>0.05</v>
      </c>
    </row>
    <row r="244" spans="1:6" ht="24.75" thickBot="1">
      <c r="A244" s="1846" t="s">
        <v>1413</v>
      </c>
      <c r="B244" s="1853" t="s">
        <v>2171</v>
      </c>
      <c r="C244" s="1849"/>
      <c r="D244" s="1849"/>
      <c r="E244" s="1849"/>
      <c r="F244" s="1854">
        <v>0.05</v>
      </c>
    </row>
    <row r="245" spans="1:6" ht="14.25" thickBot="1">
      <c r="A245" s="1838" t="s">
        <v>1415</v>
      </c>
      <c r="B245" s="1839" t="s">
        <v>2172</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2173</v>
      </c>
      <c r="C247" s="1843">
        <v>0.15</v>
      </c>
      <c r="D247" s="1843">
        <v>0.15</v>
      </c>
      <c r="E247" s="1843">
        <v>0.15</v>
      </c>
      <c r="F247" s="1844">
        <v>0.15</v>
      </c>
    </row>
    <row r="248" spans="1:6" ht="14.25" thickBot="1">
      <c r="A248" s="1838" t="s">
        <v>1415</v>
      </c>
      <c r="B248" s="1842" t="s">
        <v>2174</v>
      </c>
      <c r="C248" s="1843">
        <v>0.15</v>
      </c>
      <c r="D248" s="1843">
        <v>0.15</v>
      </c>
      <c r="E248" s="1843">
        <v>0.15</v>
      </c>
      <c r="F248" s="1844">
        <v>0.14000000000000001</v>
      </c>
    </row>
    <row r="249" spans="1:6" ht="14.25" thickBot="1">
      <c r="A249" s="1838" t="s">
        <v>1415</v>
      </c>
      <c r="B249" s="1842" t="s">
        <v>2175</v>
      </c>
      <c r="C249" s="1843">
        <v>0.15</v>
      </c>
      <c r="D249" s="1843">
        <v>0.14899999999999999</v>
      </c>
      <c r="E249" s="1843">
        <v>0.15</v>
      </c>
      <c r="F249" s="1844">
        <v>0.1</v>
      </c>
    </row>
    <row r="250" spans="1:6" ht="14.25" thickBot="1">
      <c r="A250" s="1838" t="s">
        <v>1415</v>
      </c>
      <c r="B250" s="1842" t="s">
        <v>2176</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2177</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2178</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2179</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2180</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2181</v>
      </c>
      <c r="C273" s="1843">
        <v>0.14199999999999999</v>
      </c>
      <c r="D273" s="1843">
        <v>0.14299999999999999</v>
      </c>
      <c r="E273" s="1843">
        <v>0.15</v>
      </c>
      <c r="F273" s="1844">
        <v>0.1</v>
      </c>
    </row>
    <row r="274" spans="1:6" ht="14.25" thickBot="1">
      <c r="A274" s="1838" t="s">
        <v>1415</v>
      </c>
      <c r="B274" s="1842" t="s">
        <v>2182</v>
      </c>
      <c r="C274" s="1843">
        <v>0.14799999999999999</v>
      </c>
      <c r="D274" s="1843">
        <v>0.14799999999999999</v>
      </c>
      <c r="E274" s="1843">
        <v>0.15</v>
      </c>
      <c r="F274" s="1844">
        <v>6.7000000000000004E-2</v>
      </c>
    </row>
    <row r="275" spans="1:6" ht="14.25" thickBot="1">
      <c r="A275" s="1838" t="s">
        <v>1415</v>
      </c>
      <c r="B275" s="1842" t="s">
        <v>2183</v>
      </c>
      <c r="C275" s="1843">
        <v>0.15</v>
      </c>
      <c r="D275" s="1843">
        <v>0.15</v>
      </c>
      <c r="E275" s="1843">
        <v>0.15</v>
      </c>
      <c r="F275" s="1844">
        <v>0.15</v>
      </c>
    </row>
    <row r="276" spans="1:6" ht="14.25" thickBot="1">
      <c r="A276" s="1838" t="s">
        <v>1415</v>
      </c>
      <c r="B276" s="1842" t="s">
        <v>2184</v>
      </c>
      <c r="C276" s="1843">
        <v>0.14499999999999999</v>
      </c>
      <c r="D276" s="1843">
        <v>0.14299999999999999</v>
      </c>
      <c r="E276" s="1843">
        <v>0.15</v>
      </c>
      <c r="F276" s="1844">
        <v>5.8999999999999997E-2</v>
      </c>
    </row>
    <row r="277" spans="1:6" ht="14.25" thickBot="1">
      <c r="A277" s="1838" t="s">
        <v>1415</v>
      </c>
      <c r="B277" s="1842" t="s">
        <v>2185</v>
      </c>
      <c r="C277" s="1843">
        <v>0.15</v>
      </c>
      <c r="D277" s="1843">
        <v>0.15</v>
      </c>
      <c r="E277" s="1843">
        <v>0.15</v>
      </c>
      <c r="F277" s="1844">
        <v>0.121</v>
      </c>
    </row>
    <row r="278" spans="1:6" ht="14.25" thickBot="1">
      <c r="A278" s="1838" t="s">
        <v>1415</v>
      </c>
      <c r="B278" s="1842" t="s">
        <v>2186</v>
      </c>
      <c r="C278" s="1843">
        <v>0.15</v>
      </c>
      <c r="D278" s="1843">
        <v>0.15</v>
      </c>
      <c r="E278" s="1843">
        <v>0.15</v>
      </c>
      <c r="F278" s="1844">
        <v>0.13800000000000001</v>
      </c>
    </row>
    <row r="279" spans="1:6" ht="24.75" thickBot="1">
      <c r="A279" s="1838" t="s">
        <v>1415</v>
      </c>
      <c r="B279" s="1842" t="s">
        <v>2187</v>
      </c>
      <c r="C279" s="1852"/>
      <c r="D279" s="1852"/>
      <c r="E279" s="1852"/>
      <c r="F279" s="1844">
        <v>0.05</v>
      </c>
    </row>
    <row r="280" spans="1:6" ht="24.75" thickBot="1">
      <c r="A280" s="1838" t="s">
        <v>1415</v>
      </c>
      <c r="B280" s="1842" t="s">
        <v>2188</v>
      </c>
      <c r="C280" s="1852"/>
      <c r="D280" s="1852"/>
      <c r="E280" s="1852"/>
      <c r="F280" s="1844">
        <v>0.05</v>
      </c>
    </row>
    <row r="281" spans="1:6" ht="24.75" thickBot="1">
      <c r="A281" s="1838" t="s">
        <v>1415</v>
      </c>
      <c r="B281" s="1842" t="s">
        <v>2189</v>
      </c>
      <c r="C281" s="1852"/>
      <c r="D281" s="1852"/>
      <c r="E281" s="1852"/>
      <c r="F281" s="1844">
        <v>0.05</v>
      </c>
    </row>
    <row r="282" spans="1:6" ht="24.75" thickBot="1">
      <c r="A282" s="1838" t="s">
        <v>1415</v>
      </c>
      <c r="B282" s="1842" t="s">
        <v>2190</v>
      </c>
      <c r="C282" s="1852"/>
      <c r="D282" s="1852"/>
      <c r="E282" s="1852"/>
      <c r="F282" s="1844">
        <v>0.05</v>
      </c>
    </row>
    <row r="283" spans="1:6" ht="24.75" thickBot="1">
      <c r="A283" s="1838" t="s">
        <v>1415</v>
      </c>
      <c r="B283" s="1842" t="s">
        <v>2191</v>
      </c>
      <c r="C283" s="1852"/>
      <c r="D283" s="1852"/>
      <c r="E283" s="1852"/>
      <c r="F283" s="1844">
        <v>0.05</v>
      </c>
    </row>
    <row r="284" spans="1:6" ht="24.75" thickBot="1">
      <c r="A284" s="1838" t="s">
        <v>1415</v>
      </c>
      <c r="B284" s="1842" t="s">
        <v>2192</v>
      </c>
      <c r="C284" s="1852"/>
      <c r="D284" s="1852"/>
      <c r="E284" s="1852"/>
      <c r="F284" s="1844">
        <v>0.05</v>
      </c>
    </row>
    <row r="285" spans="1:6" ht="24.75" thickBot="1">
      <c r="A285" s="1838" t="s">
        <v>1415</v>
      </c>
      <c r="B285" s="1842" t="s">
        <v>2193</v>
      </c>
      <c r="C285" s="1852"/>
      <c r="D285" s="1852"/>
      <c r="E285" s="1852"/>
      <c r="F285" s="1844">
        <v>0.05</v>
      </c>
    </row>
    <row r="286" spans="1:6" ht="24.75" thickBot="1">
      <c r="A286" s="1838" t="s">
        <v>1415</v>
      </c>
      <c r="B286" s="1842" t="s">
        <v>2194</v>
      </c>
      <c r="C286" s="1852"/>
      <c r="D286" s="1852"/>
      <c r="E286" s="1852"/>
      <c r="F286" s="1844">
        <v>0.05</v>
      </c>
    </row>
    <row r="287" spans="1:6" ht="24.75" thickBot="1">
      <c r="A287" s="1838" t="s">
        <v>1415</v>
      </c>
      <c r="B287" s="1842" t="s">
        <v>2195</v>
      </c>
      <c r="C287" s="1852"/>
      <c r="D287" s="1852"/>
      <c r="E287" s="1852"/>
      <c r="F287" s="1844">
        <v>0.05</v>
      </c>
    </row>
    <row r="288" spans="1:6" ht="24.75" thickBot="1">
      <c r="A288" s="1838" t="s">
        <v>1415</v>
      </c>
      <c r="B288" s="1842" t="s">
        <v>2196</v>
      </c>
      <c r="C288" s="1852"/>
      <c r="D288" s="1852"/>
      <c r="E288" s="1852"/>
      <c r="F288" s="1844">
        <v>0.05</v>
      </c>
    </row>
    <row r="289" spans="1:6" ht="24.75" thickBot="1">
      <c r="A289" s="1846" t="s">
        <v>1415</v>
      </c>
      <c r="B289" s="1853" t="s">
        <v>2197</v>
      </c>
      <c r="C289" s="1849"/>
      <c r="D289" s="1849"/>
      <c r="E289" s="1849"/>
      <c r="F289" s="1854">
        <v>0.05</v>
      </c>
    </row>
    <row r="290" spans="1:6" ht="14.25" thickBot="1">
      <c r="A290" s="1838" t="s">
        <v>1419</v>
      </c>
      <c r="B290" s="1839" t="s">
        <v>2198</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2199</v>
      </c>
      <c r="C292" s="1843">
        <v>0.15</v>
      </c>
      <c r="D292" s="1843">
        <v>0.15</v>
      </c>
      <c r="E292" s="1843">
        <v>0.15</v>
      </c>
      <c r="F292" s="1844">
        <v>0.14699999999999999</v>
      </c>
    </row>
    <row r="293" spans="1:6" ht="14.25" thickBot="1">
      <c r="A293" s="1838" t="s">
        <v>1419</v>
      </c>
      <c r="B293" s="1842" t="s">
        <v>2200</v>
      </c>
      <c r="C293" s="1852"/>
      <c r="D293" s="1852"/>
      <c r="E293" s="1852"/>
      <c r="F293" s="1844">
        <v>0.1</v>
      </c>
    </row>
    <row r="294" spans="1:6" ht="14.25" thickBot="1">
      <c r="A294" s="1838" t="s">
        <v>1419</v>
      </c>
      <c r="B294" s="1842" t="s">
        <v>2201</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2202</v>
      </c>
      <c r="C296" s="1843">
        <v>0.15</v>
      </c>
      <c r="D296" s="1843">
        <v>0.15</v>
      </c>
      <c r="E296" s="1843">
        <v>0.15</v>
      </c>
      <c r="F296" s="1844">
        <v>0.15</v>
      </c>
    </row>
    <row r="297" spans="1:6" ht="14.25" thickBot="1">
      <c r="A297" s="1838" t="s">
        <v>1419</v>
      </c>
      <c r="B297" s="1842" t="s">
        <v>2203</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2204</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2205</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2206</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2207</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2208</v>
      </c>
      <c r="C310" s="1843">
        <v>0.15</v>
      </c>
      <c r="D310" s="1843">
        <v>0.15</v>
      </c>
      <c r="E310" s="1843">
        <v>0.15</v>
      </c>
      <c r="F310" s="1844">
        <v>0.13700000000000001</v>
      </c>
    </row>
    <row r="311" spans="1:6" ht="14.25" thickBot="1">
      <c r="A311" s="1838" t="s">
        <v>1419</v>
      </c>
      <c r="B311" s="1842" t="s">
        <v>2209</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2210</v>
      </c>
      <c r="C313" s="1843">
        <v>0.15</v>
      </c>
      <c r="D313" s="1843">
        <v>0.15</v>
      </c>
      <c r="E313" s="1843">
        <v>0.15</v>
      </c>
      <c r="F313" s="1844">
        <v>0.15</v>
      </c>
    </row>
    <row r="314" spans="1:6" ht="24.75" thickBot="1">
      <c r="A314" s="1838" t="s">
        <v>1419</v>
      </c>
      <c r="B314" s="1842" t="s">
        <v>2211</v>
      </c>
      <c r="C314" s="1852"/>
      <c r="D314" s="1852"/>
      <c r="E314" s="1852"/>
      <c r="F314" s="1844">
        <v>0.05</v>
      </c>
    </row>
    <row r="315" spans="1:6" ht="24.75" thickBot="1">
      <c r="A315" s="1838" t="s">
        <v>1419</v>
      </c>
      <c r="B315" s="1842" t="s">
        <v>2212</v>
      </c>
      <c r="C315" s="1852"/>
      <c r="D315" s="1852"/>
      <c r="E315" s="1852"/>
      <c r="F315" s="1844">
        <v>0.05</v>
      </c>
    </row>
    <row r="316" spans="1:6" ht="24.75" thickBot="1">
      <c r="A316" s="1846" t="s">
        <v>1419</v>
      </c>
      <c r="B316" s="1853" t="s">
        <v>2213</v>
      </c>
      <c r="C316" s="1849"/>
      <c r="D316" s="1849"/>
      <c r="E316" s="1849"/>
      <c r="F316" s="1854">
        <v>0.05</v>
      </c>
    </row>
    <row r="317" spans="1:6" ht="14.25" thickBot="1">
      <c r="A317" s="1838" t="s">
        <v>2214</v>
      </c>
      <c r="B317" s="1839" t="s">
        <v>2215</v>
      </c>
      <c r="C317" s="1840">
        <v>0.15</v>
      </c>
      <c r="D317" s="1840">
        <v>0.15</v>
      </c>
      <c r="E317" s="1840">
        <v>0.15</v>
      </c>
      <c r="F317" s="1841">
        <v>0.15</v>
      </c>
    </row>
    <row r="318" spans="1:6" ht="14.25" thickBot="1">
      <c r="A318" s="1838" t="s">
        <v>2214</v>
      </c>
      <c r="B318" s="1842" t="s">
        <v>2216</v>
      </c>
      <c r="C318" s="1843">
        <v>0.107</v>
      </c>
      <c r="D318" s="1843">
        <v>0.11</v>
      </c>
      <c r="E318" s="1843">
        <v>0.112</v>
      </c>
      <c r="F318" s="1851"/>
    </row>
    <row r="319" spans="1:6" ht="14.25" thickBot="1">
      <c r="A319" s="1838" t="s">
        <v>2214</v>
      </c>
      <c r="B319" s="1842" t="s">
        <v>2217</v>
      </c>
      <c r="C319" s="1843">
        <v>0.15</v>
      </c>
      <c r="D319" s="1843">
        <v>0.15</v>
      </c>
      <c r="E319" s="1843">
        <v>0.15</v>
      </c>
      <c r="F319" s="1844">
        <v>0.15</v>
      </c>
    </row>
    <row r="320" spans="1:6" ht="14.25" thickBot="1">
      <c r="A320" s="1838" t="s">
        <v>2214</v>
      </c>
      <c r="B320" s="1842" t="s">
        <v>1107</v>
      </c>
      <c r="C320" s="1843">
        <v>0.15</v>
      </c>
      <c r="D320" s="1843">
        <v>0.15</v>
      </c>
      <c r="E320" s="1843">
        <v>0.15</v>
      </c>
      <c r="F320" s="1851"/>
    </row>
    <row r="321" spans="1:6" ht="14.25" thickBot="1">
      <c r="A321" s="1838" t="s">
        <v>2214</v>
      </c>
      <c r="B321" s="1842" t="s">
        <v>2218</v>
      </c>
      <c r="C321" s="1843">
        <v>0.15</v>
      </c>
      <c r="D321" s="1843">
        <v>0.15</v>
      </c>
      <c r="E321" s="1843">
        <v>0.15</v>
      </c>
      <c r="F321" s="1851"/>
    </row>
    <row r="322" spans="1:6" ht="14.25" thickBot="1">
      <c r="A322" s="1838" t="s">
        <v>2214</v>
      </c>
      <c r="B322" s="1842" t="s">
        <v>2219</v>
      </c>
      <c r="C322" s="1843">
        <v>0.15</v>
      </c>
      <c r="D322" s="1843">
        <v>0.15</v>
      </c>
      <c r="E322" s="1843">
        <v>0.15</v>
      </c>
      <c r="F322" s="1844">
        <v>0.15</v>
      </c>
    </row>
    <row r="323" spans="1:6" ht="14.25" thickBot="1">
      <c r="A323" s="1838" t="s">
        <v>2214</v>
      </c>
      <c r="B323" s="1842" t="s">
        <v>2220</v>
      </c>
      <c r="C323" s="1843">
        <v>0.15</v>
      </c>
      <c r="D323" s="1843">
        <v>0.15</v>
      </c>
      <c r="E323" s="1843">
        <v>0.15</v>
      </c>
      <c r="F323" s="1851"/>
    </row>
    <row r="324" spans="1:6" ht="14.25" thickBot="1">
      <c r="A324" s="1838" t="s">
        <v>2214</v>
      </c>
      <c r="B324" s="1842" t="s">
        <v>2221</v>
      </c>
      <c r="C324" s="1843">
        <v>0.15</v>
      </c>
      <c r="D324" s="1843">
        <v>0.15</v>
      </c>
      <c r="E324" s="1843">
        <v>0.15</v>
      </c>
      <c r="F324" s="1851"/>
    </row>
    <row r="325" spans="1:6" ht="14.25" thickBot="1">
      <c r="A325" s="1838" t="s">
        <v>2214</v>
      </c>
      <c r="B325" s="1842" t="s">
        <v>2222</v>
      </c>
      <c r="C325" s="1843">
        <v>0.15</v>
      </c>
      <c r="D325" s="1843">
        <v>0.15</v>
      </c>
      <c r="E325" s="1843">
        <v>0.15</v>
      </c>
      <c r="F325" s="1844">
        <v>0.14699999999999999</v>
      </c>
    </row>
    <row r="326" spans="1:6" ht="14.25" thickBot="1">
      <c r="A326" s="1838" t="s">
        <v>2214</v>
      </c>
      <c r="B326" s="1842" t="s">
        <v>1176</v>
      </c>
      <c r="C326" s="1843">
        <v>0.15</v>
      </c>
      <c r="D326" s="1843">
        <v>0.15</v>
      </c>
      <c r="E326" s="1843">
        <v>0.15</v>
      </c>
      <c r="F326" s="1851"/>
    </row>
    <row r="327" spans="1:6" ht="14.25" thickBot="1">
      <c r="A327" s="1838" t="s">
        <v>2214</v>
      </c>
      <c r="B327" s="1842" t="s">
        <v>2223</v>
      </c>
      <c r="C327" s="1843">
        <v>0.15</v>
      </c>
      <c r="D327" s="1843">
        <v>0.15</v>
      </c>
      <c r="E327" s="1843">
        <v>0.15</v>
      </c>
      <c r="F327" s="1844">
        <v>0.15</v>
      </c>
    </row>
    <row r="328" spans="1:6" ht="14.25" thickBot="1">
      <c r="A328" s="1838" t="s">
        <v>2214</v>
      </c>
      <c r="B328" s="1842" t="s">
        <v>1196</v>
      </c>
      <c r="C328" s="1843">
        <v>0.15</v>
      </c>
      <c r="D328" s="1843">
        <v>0.15</v>
      </c>
      <c r="E328" s="1843">
        <v>0.15</v>
      </c>
      <c r="F328" s="1844">
        <v>0.14099999999999999</v>
      </c>
    </row>
    <row r="329" spans="1:6" ht="14.25" thickBot="1">
      <c r="A329" s="1838" t="s">
        <v>2214</v>
      </c>
      <c r="B329" s="1842" t="s">
        <v>1206</v>
      </c>
      <c r="C329" s="1843">
        <v>0.15</v>
      </c>
      <c r="D329" s="1843">
        <v>0.15</v>
      </c>
      <c r="E329" s="1843">
        <v>0.15</v>
      </c>
      <c r="F329" s="1844">
        <v>0.15</v>
      </c>
    </row>
    <row r="330" spans="1:6" ht="14.25" thickBot="1">
      <c r="A330" s="1838" t="s">
        <v>2214</v>
      </c>
      <c r="B330" s="1842" t="s">
        <v>1216</v>
      </c>
      <c r="C330" s="1843">
        <v>0.15</v>
      </c>
      <c r="D330" s="1843">
        <v>0.15</v>
      </c>
      <c r="E330" s="1843">
        <v>0.15</v>
      </c>
      <c r="F330" s="1851"/>
    </row>
    <row r="331" spans="1:6" ht="14.25" thickBot="1">
      <c r="A331" s="1838" t="s">
        <v>2214</v>
      </c>
      <c r="B331" s="1842" t="s">
        <v>2224</v>
      </c>
      <c r="C331" s="1843">
        <v>0.15</v>
      </c>
      <c r="D331" s="1843">
        <v>0.15</v>
      </c>
      <c r="E331" s="1843">
        <v>0.15</v>
      </c>
      <c r="F331" s="1844">
        <v>0.15</v>
      </c>
    </row>
    <row r="332" spans="1:6" ht="14.25" thickBot="1">
      <c r="A332" s="1838" t="s">
        <v>2214</v>
      </c>
      <c r="B332" s="1842" t="s">
        <v>1236</v>
      </c>
      <c r="C332" s="1843">
        <v>0.15</v>
      </c>
      <c r="D332" s="1843">
        <v>0.15</v>
      </c>
      <c r="E332" s="1843">
        <v>0.15</v>
      </c>
      <c r="F332" s="1844">
        <v>0.15</v>
      </c>
    </row>
    <row r="333" spans="1:6" ht="14.25" thickBot="1">
      <c r="A333" s="1838" t="s">
        <v>2214</v>
      </c>
      <c r="B333" s="1842" t="s">
        <v>2225</v>
      </c>
      <c r="C333" s="1843">
        <v>0.15</v>
      </c>
      <c r="D333" s="1843">
        <v>0.15</v>
      </c>
      <c r="E333" s="1843">
        <v>0.15</v>
      </c>
      <c r="F333" s="1844">
        <v>0.14099999999999999</v>
      </c>
    </row>
    <row r="334" spans="1:6" ht="14.25" thickBot="1">
      <c r="A334" s="1838" t="s">
        <v>2214</v>
      </c>
      <c r="B334" s="1842" t="s">
        <v>1256</v>
      </c>
      <c r="C334" s="1843">
        <v>0.15</v>
      </c>
      <c r="D334" s="1843">
        <v>0.15</v>
      </c>
      <c r="E334" s="1843">
        <v>0.15</v>
      </c>
      <c r="F334" s="1844">
        <v>0.15</v>
      </c>
    </row>
    <row r="335" spans="1:6" ht="14.25" thickBot="1">
      <c r="A335" s="1838" t="s">
        <v>2214</v>
      </c>
      <c r="B335" s="1842" t="s">
        <v>1266</v>
      </c>
      <c r="C335" s="1843">
        <v>0.15</v>
      </c>
      <c r="D335" s="1843">
        <v>0.15</v>
      </c>
      <c r="E335" s="1843">
        <v>0.15</v>
      </c>
      <c r="F335" s="1851"/>
    </row>
    <row r="336" spans="1:6" ht="14.25" thickBot="1">
      <c r="A336" s="1838" t="s">
        <v>2214</v>
      </c>
      <c r="B336" s="1842" t="s">
        <v>2226</v>
      </c>
      <c r="C336" s="1843">
        <v>0.15</v>
      </c>
      <c r="D336" s="1843">
        <v>0.15</v>
      </c>
      <c r="E336" s="1843">
        <v>0.15</v>
      </c>
      <c r="F336" s="1844">
        <v>0.11799999999999999</v>
      </c>
    </row>
    <row r="337" spans="1:6" ht="14.25" thickBot="1">
      <c r="A337" s="1846" t="s">
        <v>2214</v>
      </c>
      <c r="B337" s="1853" t="s">
        <v>1284</v>
      </c>
      <c r="C337" s="1849"/>
      <c r="D337" s="1849"/>
      <c r="E337" s="1849"/>
      <c r="F337" s="1854">
        <v>0.14299999999999999</v>
      </c>
    </row>
    <row r="338" spans="1:6" ht="14.25" thickBot="1">
      <c r="A338" s="1838" t="s">
        <v>2227</v>
      </c>
      <c r="B338" s="1839" t="s">
        <v>2228</v>
      </c>
      <c r="C338" s="1840">
        <v>0.15</v>
      </c>
      <c r="D338" s="1840">
        <v>0.15</v>
      </c>
      <c r="E338" s="1840">
        <v>0.15</v>
      </c>
      <c r="F338" s="1862"/>
    </row>
    <row r="339" spans="1:6" ht="14.25" thickBot="1">
      <c r="A339" s="1838" t="s">
        <v>2227</v>
      </c>
      <c r="B339" s="1842" t="s">
        <v>2229</v>
      </c>
      <c r="C339" s="1843">
        <v>0.15</v>
      </c>
      <c r="D339" s="1843">
        <v>0.15</v>
      </c>
      <c r="E339" s="1843">
        <v>0.15</v>
      </c>
      <c r="F339" s="1851"/>
    </row>
    <row r="340" spans="1:6" ht="14.25" thickBot="1">
      <c r="A340" s="1838" t="s">
        <v>2227</v>
      </c>
      <c r="B340" s="1842" t="s">
        <v>2230</v>
      </c>
      <c r="C340" s="1843">
        <v>0.15</v>
      </c>
      <c r="D340" s="1843">
        <v>0.15</v>
      </c>
      <c r="E340" s="1843">
        <v>0.15</v>
      </c>
      <c r="F340" s="1851"/>
    </row>
    <row r="341" spans="1:6" ht="14.25" thickBot="1">
      <c r="A341" s="1838" t="s">
        <v>2231</v>
      </c>
      <c r="B341" s="1842" t="s">
        <v>2232</v>
      </c>
      <c r="C341" s="1843">
        <v>0.15</v>
      </c>
      <c r="D341" s="1843">
        <v>0.15</v>
      </c>
      <c r="E341" s="1843">
        <v>0.15</v>
      </c>
      <c r="F341" s="1844">
        <v>0.15</v>
      </c>
    </row>
    <row r="342" spans="1:6" ht="14.25" thickBot="1">
      <c r="A342" s="1838" t="s">
        <v>2227</v>
      </c>
      <c r="B342" s="1842" t="s">
        <v>2233</v>
      </c>
      <c r="C342" s="1843">
        <v>0.15</v>
      </c>
      <c r="D342" s="1843">
        <v>0.15</v>
      </c>
      <c r="E342" s="1843">
        <v>0.15</v>
      </c>
      <c r="F342" s="1844">
        <v>0.15</v>
      </c>
    </row>
    <row r="343" spans="1:6" ht="14.25" thickBot="1">
      <c r="A343" s="1838" t="s">
        <v>2227</v>
      </c>
      <c r="B343" s="1842" t="s">
        <v>2234</v>
      </c>
      <c r="C343" s="1843">
        <v>0.15</v>
      </c>
      <c r="D343" s="1843">
        <v>0.15</v>
      </c>
      <c r="E343" s="1843">
        <v>0.15</v>
      </c>
      <c r="F343" s="1844">
        <v>0.15</v>
      </c>
    </row>
    <row r="344" spans="1:6" ht="14.25" thickBot="1">
      <c r="A344" s="1846" t="s">
        <v>2227</v>
      </c>
      <c r="B344" s="1853" t="s">
        <v>2235</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851" t="s">
        <v>2572</v>
      </c>
      <c r="C1" s="3851"/>
      <c r="D1" s="3851"/>
      <c r="E1" s="3851"/>
      <c r="F1" s="3851"/>
      <c r="G1" s="3850" t="s">
        <v>2573</v>
      </c>
      <c r="H1" s="3850"/>
      <c r="I1" s="3850"/>
      <c r="J1" s="3850"/>
      <c r="K1" s="3850"/>
      <c r="L1" s="3850"/>
      <c r="N1" s="3850" t="s">
        <v>2574</v>
      </c>
      <c r="O1" s="3850"/>
      <c r="P1" s="3850"/>
      <c r="Q1" s="3850"/>
      <c r="R1" s="2614"/>
      <c r="S1" s="3850" t="s">
        <v>2575</v>
      </c>
      <c r="T1" s="3850"/>
      <c r="U1" s="3850"/>
      <c r="V1" s="3850"/>
      <c r="X1" s="3849" t="s">
        <v>2635</v>
      </c>
      <c r="Y1" s="3850"/>
      <c r="Z1" s="3850"/>
      <c r="AA1" s="3850"/>
      <c r="AB1" s="3850"/>
      <c r="AD1" s="3849" t="s">
        <v>2639</v>
      </c>
      <c r="AE1" s="3850"/>
      <c r="AF1" s="3850"/>
      <c r="AG1" s="3850"/>
      <c r="AH1" s="3850"/>
    </row>
    <row r="2" spans="1:34" s="2715" customFormat="1" ht="14.25" thickBot="1">
      <c r="B2" s="2723" t="s">
        <v>2576</v>
      </c>
      <c r="C2" s="2723" t="s">
        <v>2637</v>
      </c>
      <c r="D2" s="2716" t="s">
        <v>1644</v>
      </c>
      <c r="E2" s="2716" t="s">
        <v>1947</v>
      </c>
      <c r="F2" s="2723" t="s">
        <v>2638</v>
      </c>
      <c r="G2" s="2719"/>
      <c r="H2" s="2718"/>
      <c r="I2" s="2723" t="s">
        <v>2950</v>
      </c>
      <c r="J2" s="2716" t="s">
        <v>2952</v>
      </c>
      <c r="K2" s="2716" t="s">
        <v>2953</v>
      </c>
      <c r="L2" s="2723" t="s">
        <v>2954</v>
      </c>
      <c r="N2" s="2723" t="s">
        <v>2576</v>
      </c>
      <c r="O2" s="2716" t="s">
        <v>2951</v>
      </c>
      <c r="P2" s="2716" t="s">
        <v>1947</v>
      </c>
      <c r="Q2" s="2723" t="s">
        <v>2638</v>
      </c>
      <c r="R2" s="2717"/>
      <c r="S2" s="2723" t="s">
        <v>2576</v>
      </c>
      <c r="T2" s="2716" t="s">
        <v>2951</v>
      </c>
      <c r="U2" s="2716" t="s">
        <v>1947</v>
      </c>
      <c r="V2" s="2723" t="s">
        <v>2638</v>
      </c>
      <c r="X2" s="2723" t="s">
        <v>2576</v>
      </c>
      <c r="Y2" s="2723" t="s">
        <v>2637</v>
      </c>
      <c r="Z2" s="2716" t="s">
        <v>1644</v>
      </c>
      <c r="AA2" s="2716" t="s">
        <v>1947</v>
      </c>
      <c r="AB2" s="2723" t="s">
        <v>2638</v>
      </c>
      <c r="AD2" s="2723" t="s">
        <v>2576</v>
      </c>
      <c r="AE2" s="2723" t="s">
        <v>2637</v>
      </c>
      <c r="AF2" s="2716" t="s">
        <v>1644</v>
      </c>
      <c r="AG2" s="2716" t="s">
        <v>1947</v>
      </c>
      <c r="AH2" s="2723" t="s">
        <v>2638</v>
      </c>
    </row>
    <row r="3" spans="1:34" s="3079" customFormat="1" ht="14.25">
      <c r="A3" s="3091" t="s">
        <v>2963</v>
      </c>
      <c r="B3" s="3080"/>
      <c r="C3" s="3080"/>
      <c r="D3" s="3081"/>
      <c r="E3" s="3081"/>
      <c r="F3" s="3080"/>
      <c r="G3" s="3082"/>
      <c r="H3" s="3083"/>
      <c r="I3" s="3090">
        <f>ROUND(AVERAGE($I4:$I30),2)</f>
        <v>1.85</v>
      </c>
      <c r="J3" s="3090">
        <f>ROUND(AVERAGE($J4:$J30),2)</f>
        <v>1.28</v>
      </c>
      <c r="K3" s="3090">
        <f>ROUND(AVERAGE($K4:$K30),2)</f>
        <v>2.0299999999999998</v>
      </c>
      <c r="L3" s="3090">
        <f>ROUND(AVERAGE($L4:$L30),2)</f>
        <v>1.31</v>
      </c>
      <c r="N3" s="3082"/>
      <c r="O3" s="3084"/>
      <c r="P3" s="3084"/>
      <c r="Q3" s="3084"/>
      <c r="R3" s="3084"/>
      <c r="S3" s="3082"/>
      <c r="T3" s="3084"/>
      <c r="U3" s="3084"/>
      <c r="V3" s="3084"/>
      <c r="W3" s="3087"/>
      <c r="X3" s="3085">
        <f>ROUND(SUMPRODUCT(PRODUCT(1+N3:N$29)),4)</f>
        <v>1.5605</v>
      </c>
      <c r="Y3" s="3085">
        <f>ROUND(SUMPRODUCT(PRODUCT(1+O3:O$29)),4)</f>
        <v>1.3577999999999999</v>
      </c>
      <c r="Z3" s="3085">
        <f t="shared" ref="Z3:Z27" si="0">Y3</f>
        <v>1.3577999999999999</v>
      </c>
      <c r="AA3" s="3085">
        <f>ROUND(SUMPRODUCT(PRODUCT(1+P3:P$29)),4)</f>
        <v>1.6254999999999999</v>
      </c>
      <c r="AB3" s="3085">
        <f>ROUND(SUMPRODUCT(PRODUCT(1+Q3:Q$29)),4)</f>
        <v>1.3815999999999999</v>
      </c>
      <c r="AD3" s="3086">
        <f>ROUND(AVERAGE(I3:I$30)/100,4)</f>
        <v>1.8499999999999999E-2</v>
      </c>
      <c r="AE3" s="3086">
        <f>ROUND(AVERAGE(J3:J$30)/100,4)</f>
        <v>1.2800000000000001E-2</v>
      </c>
      <c r="AF3" s="3086">
        <f t="shared" ref="AF3:AF28" si="1">AE3</f>
        <v>1.2800000000000001E-2</v>
      </c>
      <c r="AG3" s="3086">
        <f>ROUND(AVERAGE(K3:K$30)/100,4)</f>
        <v>2.0299999999999999E-2</v>
      </c>
      <c r="AH3" s="3086">
        <f>ROUND(AVERAGE(L3:L$30)/100,4)</f>
        <v>1.3100000000000001E-2</v>
      </c>
    </row>
    <row r="4" spans="1:34" s="2708" customFormat="1" ht="14.25">
      <c r="B4" s="2709"/>
      <c r="C4" s="2709"/>
      <c r="D4" s="2710"/>
      <c r="E4" s="2710"/>
      <c r="F4" s="2709"/>
      <c r="G4" s="2714"/>
      <c r="H4" s="2711"/>
      <c r="I4" s="3075"/>
      <c r="J4" s="3075"/>
      <c r="K4" s="3075"/>
      <c r="L4" s="3075"/>
      <c r="N4" s="2714"/>
      <c r="O4" s="2712"/>
      <c r="P4" s="2712"/>
      <c r="Q4" s="2712"/>
      <c r="R4" s="2712"/>
      <c r="S4" s="2714"/>
      <c r="T4" s="2712"/>
      <c r="U4" s="2712"/>
      <c r="V4" s="2712"/>
      <c r="W4" s="3088"/>
      <c r="X4" s="2713"/>
      <c r="Y4" s="2713"/>
      <c r="Z4" s="2713"/>
      <c r="AA4" s="2713"/>
      <c r="AB4" s="2713"/>
      <c r="AD4" s="2633"/>
      <c r="AE4" s="2633"/>
      <c r="AF4" s="2633"/>
      <c r="AG4" s="2633"/>
      <c r="AH4" s="2633"/>
    </row>
    <row r="5" spans="1:34" s="3063" customFormat="1">
      <c r="A5" s="3061" t="s">
        <v>2993</v>
      </c>
      <c r="B5" s="2747">
        <f t="shared" ref="B5:C8" si="2">B6*(1+N5)</f>
        <v>479.92259063878413</v>
      </c>
      <c r="C5" s="2747">
        <f t="shared" si="2"/>
        <v>350.02082268341775</v>
      </c>
      <c r="D5" s="2747">
        <f t="shared" ref="D5:D13" si="3">C5</f>
        <v>350.02082268341775</v>
      </c>
      <c r="E5" s="2747">
        <f t="shared" ref="E5:E14" si="4">E6*(1+P5)</f>
        <v>687.42265944181099</v>
      </c>
      <c r="F5" s="2747">
        <f t="shared" ref="F5:F14" si="5">F6*(1+Q5)</f>
        <v>317.63846657708956</v>
      </c>
      <c r="G5" s="2714">
        <v>2020</v>
      </c>
      <c r="H5" s="3062">
        <v>2</v>
      </c>
      <c r="I5" s="3076">
        <v>0</v>
      </c>
      <c r="J5" s="3076">
        <v>0</v>
      </c>
      <c r="K5" s="3076">
        <v>0</v>
      </c>
      <c r="L5" s="3076">
        <v>0</v>
      </c>
      <c r="N5" s="2721">
        <f t="shared" ref="N5:N13" si="6">I5/100</f>
        <v>0</v>
      </c>
      <c r="O5" s="2721">
        <f t="shared" ref="O5:O13" si="7">J5/100</f>
        <v>0</v>
      </c>
      <c r="P5" s="2721">
        <f t="shared" ref="P5:P13" si="8">K5/100</f>
        <v>0</v>
      </c>
      <c r="Q5" s="2721">
        <f t="shared" ref="Q5:Q13" si="9">L5/100</f>
        <v>0</v>
      </c>
      <c r="R5" s="3064"/>
      <c r="S5" s="3065"/>
      <c r="T5" s="3064"/>
      <c r="U5" s="3064"/>
      <c r="V5" s="3064"/>
      <c r="W5" s="3089" t="s">
        <v>2964</v>
      </c>
      <c r="X5" s="3066">
        <f>ROUND(IF(项目基本情况!B8="出让",SUMPRODUCT(PRODUCT(1+N5:N$30)),SUMPRODUCT(PRODUCT(1+N5:N$29))),4)</f>
        <v>1.5605</v>
      </c>
      <c r="Y5" s="3066">
        <f>ROUND(IF(项目基本情况!B8="出让",SUMPRODUCT(PRODUCT(1+O5:O$30)),SUMPRODUCT(PRODUCT(1+O5:O$29))),4)</f>
        <v>1.3577999999999999</v>
      </c>
      <c r="Z5" s="3066">
        <f t="shared" ref="Z5:Z14" si="10">Y5</f>
        <v>1.3577999999999999</v>
      </c>
      <c r="AA5" s="3066">
        <f>ROUND(IF(项目基本情况!B8="出让",SUMPRODUCT(PRODUCT(1+P5:P$30)),SUMPRODUCT(PRODUCT(1+P5:P$29))),4)</f>
        <v>1.6254999999999999</v>
      </c>
      <c r="AB5" s="3066">
        <f>ROUND(IF(项目基本情况!B8="出让",SUMPRODUCT(PRODUCT(1+Q5:Q$30)),SUMPRODUCT(PRODUCT(1+Q5:Q$29))),4)</f>
        <v>1.3815999999999999</v>
      </c>
      <c r="AD5" s="3067">
        <f>ROUND(AVERAGE(I5:I$30)/100,4)</f>
        <v>1.8499999999999999E-2</v>
      </c>
      <c r="AE5" s="3067">
        <f>ROUND(AVERAGE(J5:J$30)/100,4)</f>
        <v>1.2800000000000001E-2</v>
      </c>
      <c r="AF5" s="3067">
        <f t="shared" ref="AF5:AF14" si="11">AE5</f>
        <v>1.2800000000000001E-2</v>
      </c>
      <c r="AG5" s="3067">
        <f>ROUND(AVERAGE(K5:K$30)/100,4)</f>
        <v>2.0299999999999999E-2</v>
      </c>
      <c r="AH5" s="3067">
        <f>ROUND(AVERAGE(L5:L$30)/100,4)</f>
        <v>1.3100000000000001E-2</v>
      </c>
    </row>
    <row r="6" spans="1:34" s="2720" customFormat="1">
      <c r="A6" s="2615" t="s">
        <v>2992</v>
      </c>
      <c r="B6" s="2628">
        <f t="shared" si="2"/>
        <v>479.92259063878413</v>
      </c>
      <c r="C6" s="2628">
        <f t="shared" si="2"/>
        <v>350.02082268341775</v>
      </c>
      <c r="D6" s="2628">
        <f t="shared" si="3"/>
        <v>350.02082268341775</v>
      </c>
      <c r="E6" s="2628">
        <f t="shared" si="4"/>
        <v>687.42265944181099</v>
      </c>
      <c r="F6" s="2628">
        <f t="shared" si="5"/>
        <v>317.63846657708956</v>
      </c>
      <c r="G6" s="2714">
        <v>2020</v>
      </c>
      <c r="H6" s="2618">
        <v>1</v>
      </c>
      <c r="I6" s="3178">
        <v>0.12</v>
      </c>
      <c r="J6" s="3178">
        <v>-0.4</v>
      </c>
      <c r="K6" s="3178">
        <v>0.21</v>
      </c>
      <c r="L6" s="3179">
        <v>0.27</v>
      </c>
      <c r="M6" s="2622"/>
      <c r="N6" s="2623">
        <f t="shared" si="6"/>
        <v>1.1999999999999999E-3</v>
      </c>
      <c r="O6" s="2624">
        <f t="shared" si="7"/>
        <v>-4.0000000000000001E-3</v>
      </c>
      <c r="P6" s="2624">
        <f t="shared" si="8"/>
        <v>2.0999999999999999E-3</v>
      </c>
      <c r="Q6" s="2624">
        <f t="shared" si="9"/>
        <v>2.7000000000000001E-3</v>
      </c>
      <c r="R6" s="2625"/>
      <c r="S6" s="2631">
        <f>B6/B7-1</f>
        <v>1.2000000000000899E-3</v>
      </c>
      <c r="T6" s="2632">
        <f>C6/C7-1</f>
        <v>-4.0000000000000036E-3</v>
      </c>
      <c r="U6" s="2632">
        <f>E6/E7-1</f>
        <v>2.0999999999999908E-3</v>
      </c>
      <c r="V6" s="2632">
        <f>F6/F7-1</f>
        <v>2.6999999999999247E-3</v>
      </c>
      <c r="W6" s="2622"/>
      <c r="X6" s="2713">
        <f>ROUND(IF(项目基本情况!B8="出让",SUMPRODUCT(PRODUCT(1+N6:N$30)),SUMPRODUCT(PRODUCT(1+N6:N$29))),4)</f>
        <v>1.5605</v>
      </c>
      <c r="Y6" s="2713">
        <f>ROUND(IF(项目基本情况!B8="出让",SUMPRODUCT(PRODUCT(1+O6:O$30)),SUMPRODUCT(PRODUCT(1+O6:O$29))),4)</f>
        <v>1.3577999999999999</v>
      </c>
      <c r="Z6" s="2713">
        <f t="shared" si="10"/>
        <v>1.3577999999999999</v>
      </c>
      <c r="AA6" s="2713">
        <f>ROUND(IF(项目基本情况!B8="出让",SUMPRODUCT(PRODUCT(1+P6:P$30)),SUMPRODUCT(PRODUCT(1+P6:P$29))),4)</f>
        <v>1.6254999999999999</v>
      </c>
      <c r="AB6" s="2713">
        <f>ROUND(IF(项目基本情况!B8="出让",SUMPRODUCT(PRODUCT(1+Q6:Q$30)),SUMPRODUCT(PRODUCT(1+Q6:Q$29))),4)</f>
        <v>1.3815999999999999</v>
      </c>
      <c r="AC6" s="2622"/>
      <c r="AD6" s="2633">
        <f>ROUND(AVERAGE(I6:I$30)/100,4)</f>
        <v>1.9199999999999998E-2</v>
      </c>
      <c r="AE6" s="2633">
        <f>ROUND(AVERAGE(J6:J$30)/100,4)</f>
        <v>1.3299999999999999E-2</v>
      </c>
      <c r="AF6" s="2633">
        <f t="shared" si="11"/>
        <v>1.3299999999999999E-2</v>
      </c>
      <c r="AG6" s="2633">
        <f>ROUND(AVERAGE(K6:K$30)/100,4)</f>
        <v>2.1100000000000001E-2</v>
      </c>
      <c r="AH6" s="2633">
        <f>ROUND(AVERAGE(L6:L$30)/100,4)</f>
        <v>1.3599999999999999E-2</v>
      </c>
    </row>
    <row r="7" spans="1:34" s="2720" customFormat="1">
      <c r="A7" s="2615" t="s">
        <v>2988</v>
      </c>
      <c r="B7" s="2628">
        <f t="shared" si="2"/>
        <v>479.34737379023579</v>
      </c>
      <c r="C7" s="2628">
        <f t="shared" si="2"/>
        <v>351.4265287986122</v>
      </c>
      <c r="D7" s="2628">
        <f t="shared" si="3"/>
        <v>351.4265287986122</v>
      </c>
      <c r="E7" s="2628">
        <f t="shared" si="4"/>
        <v>685.98209703803116</v>
      </c>
      <c r="F7" s="2628">
        <f t="shared" si="5"/>
        <v>316.78315206651001</v>
      </c>
      <c r="G7" s="2714">
        <v>2019</v>
      </c>
      <c r="H7" s="2618">
        <v>4</v>
      </c>
      <c r="I7" s="2618">
        <v>0.45</v>
      </c>
      <c r="J7" s="2618">
        <v>-0.12</v>
      </c>
      <c r="K7" s="2618">
        <v>0.54</v>
      </c>
      <c r="L7" s="2629">
        <v>0.48</v>
      </c>
      <c r="M7" s="2622"/>
      <c r="N7" s="2623">
        <f t="shared" si="6"/>
        <v>4.5000000000000005E-3</v>
      </c>
      <c r="O7" s="2624">
        <f t="shared" si="7"/>
        <v>-1.1999999999999999E-3</v>
      </c>
      <c r="P7" s="2624">
        <f t="shared" si="8"/>
        <v>5.4000000000000003E-3</v>
      </c>
      <c r="Q7" s="2624">
        <f t="shared" si="9"/>
        <v>4.7999999999999996E-3</v>
      </c>
      <c r="R7" s="2625"/>
      <c r="S7" s="2631"/>
      <c r="T7" s="2632"/>
      <c r="U7" s="2632"/>
      <c r="V7" s="2632"/>
      <c r="W7" s="2622"/>
      <c r="X7" s="2713">
        <f>ROUND(IF(项目基本情况!B8="出让",SUMPRODUCT(PRODUCT(1+N7:N$30)),SUMPRODUCT(PRODUCT(1+N7:N$29))),4)</f>
        <v>1.5586</v>
      </c>
      <c r="Y7" s="2713">
        <f>ROUND(IF(项目基本情况!B8="出让",SUMPRODUCT(PRODUCT(1+O7:O$30)),SUMPRODUCT(PRODUCT(1+O7:O$29))),4)</f>
        <v>1.3633</v>
      </c>
      <c r="Z7" s="2713">
        <f t="shared" si="10"/>
        <v>1.3633</v>
      </c>
      <c r="AA7" s="2713">
        <f>ROUND(IF(项目基本情况!B8="出让",SUMPRODUCT(PRODUCT(1+P7:P$30)),SUMPRODUCT(PRODUCT(1+P7:P$29))),4)</f>
        <v>1.6221000000000001</v>
      </c>
      <c r="AB7" s="2713">
        <f>ROUND(IF(项目基本情况!B8="出让",SUMPRODUCT(PRODUCT(1+Q7:Q$30)),SUMPRODUCT(PRODUCT(1+Q7:Q$29))),4)</f>
        <v>1.3777999999999999</v>
      </c>
      <c r="AC7" s="2622"/>
      <c r="AD7" s="2633">
        <f>ROUND(AVERAGE(I7:I$30)/100,4)</f>
        <v>0.02</v>
      </c>
      <c r="AE7" s="2633">
        <f>ROUND(AVERAGE(J7:J$30)/100,4)</f>
        <v>1.4E-2</v>
      </c>
      <c r="AF7" s="2633">
        <f t="shared" si="11"/>
        <v>1.4E-2</v>
      </c>
      <c r="AG7" s="2633">
        <f>ROUND(AVERAGE(K7:K$30)/100,4)</f>
        <v>2.1899999999999999E-2</v>
      </c>
      <c r="AH7" s="2633">
        <f>ROUND(AVERAGE(L7:L$30)/100,4)</f>
        <v>1.4E-2</v>
      </c>
    </row>
    <row r="8" spans="1:34" s="2720" customFormat="1" ht="13.5" thickBot="1">
      <c r="A8" s="2615" t="s">
        <v>2987</v>
      </c>
      <c r="B8" s="2628">
        <f t="shared" si="2"/>
        <v>477.19997390765138</v>
      </c>
      <c r="C8" s="2628">
        <f t="shared" si="2"/>
        <v>351.84874729536665</v>
      </c>
      <c r="D8" s="2628">
        <f t="shared" si="3"/>
        <v>351.84874729536665</v>
      </c>
      <c r="E8" s="2628">
        <f t="shared" si="4"/>
        <v>682.29768951465201</v>
      </c>
      <c r="F8" s="2628">
        <f t="shared" si="5"/>
        <v>315.26985675409043</v>
      </c>
      <c r="G8" s="2714">
        <v>2019</v>
      </c>
      <c r="H8" s="2618">
        <v>3</v>
      </c>
      <c r="I8" s="2618">
        <v>0.61</v>
      </c>
      <c r="J8" s="2618">
        <v>0.67</v>
      </c>
      <c r="K8" s="2618">
        <v>0.6</v>
      </c>
      <c r="L8" s="2629">
        <v>1.03</v>
      </c>
      <c r="M8" s="2622"/>
      <c r="N8" s="2623">
        <f t="shared" si="6"/>
        <v>6.0999999999999995E-3</v>
      </c>
      <c r="O8" s="2624">
        <f t="shared" si="7"/>
        <v>6.7000000000000002E-3</v>
      </c>
      <c r="P8" s="2624">
        <f t="shared" si="8"/>
        <v>6.0000000000000001E-3</v>
      </c>
      <c r="Q8" s="2624">
        <f t="shared" si="9"/>
        <v>1.03E-2</v>
      </c>
      <c r="R8" s="2625"/>
      <c r="S8" s="2631"/>
      <c r="T8" s="2632"/>
      <c r="U8" s="2632"/>
      <c r="V8" s="2632"/>
      <c r="W8" s="2622"/>
      <c r="X8" s="2713">
        <f>ROUND(IF(项目基本情况!B8="出让",SUMPRODUCT(PRODUCT(1+N8:N$30)),SUMPRODUCT(PRODUCT(1+N8:N$29))),4)</f>
        <v>1.5516000000000001</v>
      </c>
      <c r="Y8" s="2713">
        <f>ROUND(IF(项目基本情况!B8="出让",SUMPRODUCT(PRODUCT(1+O8:O$30)),SUMPRODUCT(PRODUCT(1+O8:O$29))),4)</f>
        <v>1.3649</v>
      </c>
      <c r="Z8" s="2713">
        <f t="shared" si="10"/>
        <v>1.3649</v>
      </c>
      <c r="AA8" s="2713">
        <f>ROUND(IF(项目基本情况!B8="出让",SUMPRODUCT(PRODUCT(1+P8:P$30)),SUMPRODUCT(PRODUCT(1+P8:P$29))),4)</f>
        <v>1.6133999999999999</v>
      </c>
      <c r="AB8" s="2713">
        <f>ROUND(IF(项目基本情况!B8="出让",SUMPRODUCT(PRODUCT(1+Q8:Q$30)),SUMPRODUCT(PRODUCT(1+Q8:Q$29))),4)</f>
        <v>1.3713</v>
      </c>
      <c r="AC8" s="2622"/>
      <c r="AD8" s="2633">
        <f>ROUND(AVERAGE(I8:I$30)/100,4)</f>
        <v>2.07E-2</v>
      </c>
      <c r="AE8" s="2633">
        <f>ROUND(AVERAGE(J8:J$30)/100,4)</f>
        <v>1.47E-2</v>
      </c>
      <c r="AF8" s="2633">
        <f t="shared" si="11"/>
        <v>1.47E-2</v>
      </c>
      <c r="AG8" s="2633">
        <f>ROUND(AVERAGE(K8:K$30)/100,4)</f>
        <v>2.2599999999999999E-2</v>
      </c>
      <c r="AH8" s="2633">
        <f>ROUND(AVERAGE(L8:L$30)/100,4)</f>
        <v>1.44E-2</v>
      </c>
    </row>
    <row r="9" spans="1:34" s="2720" customFormat="1">
      <c r="A9" s="2615" t="s">
        <v>2984</v>
      </c>
      <c r="B9" s="2628">
        <f t="shared" ref="B9:B14" si="12">B10*(1+N9)</f>
        <v>474.30670301923408</v>
      </c>
      <c r="C9" s="2628">
        <f t="shared" ref="C9:C14" si="13">C10*(1+O9)</f>
        <v>349.50705005996491</v>
      </c>
      <c r="D9" s="2628">
        <f t="shared" si="3"/>
        <v>349.50705005996491</v>
      </c>
      <c r="E9" s="2628">
        <f t="shared" si="4"/>
        <v>678.22831959706957</v>
      </c>
      <c r="F9" s="2628">
        <f t="shared" si="5"/>
        <v>312.0556832169558</v>
      </c>
      <c r="G9" s="2714">
        <v>2019</v>
      </c>
      <c r="H9" s="2616">
        <v>2</v>
      </c>
      <c r="I9" s="2616">
        <v>1.53</v>
      </c>
      <c r="J9" s="2616">
        <v>1.01</v>
      </c>
      <c r="K9" s="2616">
        <v>1.62</v>
      </c>
      <c r="L9" s="2617">
        <v>1.25</v>
      </c>
      <c r="M9" s="2622"/>
      <c r="N9" s="2623">
        <f t="shared" si="6"/>
        <v>1.5300000000000001E-2</v>
      </c>
      <c r="O9" s="2624">
        <f t="shared" si="7"/>
        <v>1.01E-2</v>
      </c>
      <c r="P9" s="2624">
        <f t="shared" si="8"/>
        <v>1.6200000000000003E-2</v>
      </c>
      <c r="Q9" s="2624">
        <f t="shared" si="9"/>
        <v>1.2500000000000001E-2</v>
      </c>
      <c r="R9" s="2625"/>
      <c r="S9" s="2631"/>
      <c r="T9" s="2632"/>
      <c r="U9" s="2632"/>
      <c r="V9" s="2632"/>
      <c r="W9" s="2622"/>
      <c r="X9" s="2713">
        <f>ROUND(IF(项目基本情况!B8="出让",SUMPRODUCT(PRODUCT(1+N9:N$30)),SUMPRODUCT(PRODUCT(1+N9:N$29))),4)</f>
        <v>1.5422</v>
      </c>
      <c r="Y9" s="2713">
        <f>ROUND(IF(项目基本情况!B8="出让",SUMPRODUCT(PRODUCT(1+O9:O$30)),SUMPRODUCT(PRODUCT(1+O9:O$29))),4)</f>
        <v>1.3557999999999999</v>
      </c>
      <c r="Z9" s="2713">
        <f t="shared" si="10"/>
        <v>1.3557999999999999</v>
      </c>
      <c r="AA9" s="2713">
        <f>ROUND(IF(项目基本情况!B8="出让",SUMPRODUCT(PRODUCT(1+P9:P$30)),SUMPRODUCT(PRODUCT(1+P9:P$29))),4)</f>
        <v>1.6036999999999999</v>
      </c>
      <c r="AB9" s="2713">
        <f>ROUND(IF(项目基本情况!B8="出让",SUMPRODUCT(PRODUCT(1+Q9:Q$30)),SUMPRODUCT(PRODUCT(1+Q9:Q$29))),4)</f>
        <v>1.3573</v>
      </c>
      <c r="AC9" s="2622"/>
      <c r="AD9" s="2633">
        <f>ROUND(AVERAGE(I9:I$30)/100,4)</f>
        <v>2.1299999999999999E-2</v>
      </c>
      <c r="AE9" s="2633">
        <f>ROUND(AVERAGE(J9:J$30)/100,4)</f>
        <v>1.4999999999999999E-2</v>
      </c>
      <c r="AF9" s="2633">
        <f t="shared" si="11"/>
        <v>1.4999999999999999E-2</v>
      </c>
      <c r="AG9" s="2633">
        <f>ROUND(AVERAGE(K9:K$30)/100,4)</f>
        <v>2.3300000000000001E-2</v>
      </c>
      <c r="AH9" s="2633">
        <f>ROUND(AVERAGE(L9:L$30)/100,4)</f>
        <v>1.46E-2</v>
      </c>
    </row>
    <row r="10" spans="1:34" s="2720" customFormat="1" ht="13.5" thickBot="1">
      <c r="A10" s="2615" t="s">
        <v>2983</v>
      </c>
      <c r="B10" s="2628">
        <f t="shared" si="12"/>
        <v>467.15916775261894</v>
      </c>
      <c r="C10" s="2628">
        <f t="shared" si="13"/>
        <v>346.01232557169084</v>
      </c>
      <c r="D10" s="2628">
        <f t="shared" si="3"/>
        <v>346.01232557169084</v>
      </c>
      <c r="E10" s="2628">
        <f t="shared" si="4"/>
        <v>667.41617752122568</v>
      </c>
      <c r="F10" s="2628">
        <f t="shared" si="5"/>
        <v>308.20314391798104</v>
      </c>
      <c r="G10" s="2714">
        <v>2019</v>
      </c>
      <c r="H10" s="2618">
        <v>1</v>
      </c>
      <c r="I10" s="2618">
        <v>0.6</v>
      </c>
      <c r="J10" s="2618">
        <v>0.37</v>
      </c>
      <c r="K10" s="2618">
        <v>0.63</v>
      </c>
      <c r="L10" s="2629">
        <v>1.1299999999999999</v>
      </c>
      <c r="M10" s="2622"/>
      <c r="N10" s="2623">
        <f t="shared" si="6"/>
        <v>6.0000000000000001E-3</v>
      </c>
      <c r="O10" s="2624">
        <f t="shared" si="7"/>
        <v>3.7000000000000002E-3</v>
      </c>
      <c r="P10" s="2624">
        <f t="shared" si="8"/>
        <v>6.3E-3</v>
      </c>
      <c r="Q10" s="2624">
        <f t="shared" si="9"/>
        <v>1.1299999999999999E-2</v>
      </c>
      <c r="R10" s="2625"/>
      <c r="S10" s="2631">
        <f>B10/B11-1</f>
        <v>6.0000000000000053E-3</v>
      </c>
      <c r="T10" s="2632">
        <f>C10/C11-1</f>
        <v>3.7000000000000366E-3</v>
      </c>
      <c r="U10" s="2632">
        <f>E10/E11-1</f>
        <v>6.2999999999999723E-3</v>
      </c>
      <c r="V10" s="2632">
        <f>F10/F11-1</f>
        <v>1.1300000000000088E-2</v>
      </c>
      <c r="W10" s="2622"/>
      <c r="X10" s="2713">
        <f>ROUND(IF(项目基本情况!B8="出让",SUMPRODUCT(PRODUCT(1+N10:N$30)),SUMPRODUCT(PRODUCT(1+N10:N$29))),4)</f>
        <v>1.5189999999999999</v>
      </c>
      <c r="Y10" s="2713">
        <f>ROUND(IF(项目基本情况!B8="出让",SUMPRODUCT(PRODUCT(1+O10:O$30)),SUMPRODUCT(PRODUCT(1+O10:O$29))),4)</f>
        <v>1.3423</v>
      </c>
      <c r="Z10" s="2713">
        <f t="shared" si="10"/>
        <v>1.3423</v>
      </c>
      <c r="AA10" s="2713">
        <f>ROUND(IF(项目基本情况!B8="出让",SUMPRODUCT(PRODUCT(1+P10:P$30)),SUMPRODUCT(PRODUCT(1+P10:P$29))),4)</f>
        <v>1.5782</v>
      </c>
      <c r="AB10" s="2713">
        <f>ROUND(IF(项目基本情况!B8="出让",SUMPRODUCT(PRODUCT(1+Q10:Q$30)),SUMPRODUCT(PRODUCT(1+Q10:Q$29))),4)</f>
        <v>1.3405</v>
      </c>
      <c r="AC10" s="2622"/>
      <c r="AD10" s="2633">
        <f>ROUND(AVERAGE(I10:I$30)/100,4)</f>
        <v>2.1600000000000001E-2</v>
      </c>
      <c r="AE10" s="2633">
        <f>ROUND(AVERAGE(J10:J$30)/100,4)</f>
        <v>1.5299999999999999E-2</v>
      </c>
      <c r="AF10" s="2633">
        <f t="shared" si="11"/>
        <v>1.5299999999999999E-2</v>
      </c>
      <c r="AG10" s="2633">
        <f>ROUND(AVERAGE(K10:K$30)/100,4)</f>
        <v>2.3699999999999999E-2</v>
      </c>
      <c r="AH10" s="2633">
        <f>ROUND(AVERAGE(L10:L$30)/100,4)</f>
        <v>1.47E-2</v>
      </c>
    </row>
    <row r="11" spans="1:34" s="2720" customFormat="1">
      <c r="A11" s="2615" t="s">
        <v>2980</v>
      </c>
      <c r="B11" s="3175">
        <f t="shared" si="12"/>
        <v>464.37293017158942</v>
      </c>
      <c r="C11" s="3175">
        <f t="shared" si="13"/>
        <v>344.73679941385956</v>
      </c>
      <c r="D11" s="3175">
        <f t="shared" si="3"/>
        <v>344.73679941385956</v>
      </c>
      <c r="E11" s="3175">
        <f t="shared" si="4"/>
        <v>663.2377795103107</v>
      </c>
      <c r="F11" s="3176">
        <f t="shared" si="5"/>
        <v>304.75936311478398</v>
      </c>
      <c r="G11" s="3853">
        <v>2018</v>
      </c>
      <c r="H11" s="2616">
        <v>4</v>
      </c>
      <c r="I11" s="2616">
        <v>0.96</v>
      </c>
      <c r="J11" s="2616">
        <v>1.03</v>
      </c>
      <c r="K11" s="2616">
        <v>0.92</v>
      </c>
      <c r="L11" s="2617">
        <v>1.29</v>
      </c>
      <c r="M11" s="2622"/>
      <c r="N11" s="2623">
        <f t="shared" si="6"/>
        <v>9.5999999999999992E-3</v>
      </c>
      <c r="O11" s="2624">
        <f t="shared" si="7"/>
        <v>1.03E-2</v>
      </c>
      <c r="P11" s="2624">
        <f t="shared" si="8"/>
        <v>9.1999999999999998E-3</v>
      </c>
      <c r="Q11" s="2624">
        <f t="shared" si="9"/>
        <v>1.29E-2</v>
      </c>
      <c r="R11" s="2625"/>
      <c r="S11" s="2626"/>
      <c r="T11" s="2627"/>
      <c r="U11" s="2627"/>
      <c r="V11" s="2627"/>
      <c r="W11" s="2622"/>
      <c r="X11" s="2713">
        <f>ROUND(SUMPRODUCT(PRODUCT(1+N11:N$29)),4)</f>
        <v>1.5099</v>
      </c>
      <c r="Y11" s="2713">
        <f>ROUND(SUMPRODUCT(PRODUCT(1+O11:O$29)),4)</f>
        <v>1.3372999999999999</v>
      </c>
      <c r="Z11" s="2713">
        <f t="shared" si="10"/>
        <v>1.3372999999999999</v>
      </c>
      <c r="AA11" s="2713">
        <f>ROUND(SUMPRODUCT(PRODUCT(1+P11:P$29)),4)</f>
        <v>1.5683</v>
      </c>
      <c r="AB11" s="2713">
        <f>ROUND(SUMPRODUCT(PRODUCT(1+Q11:Q$29)),4)</f>
        <v>1.3255999999999999</v>
      </c>
      <c r="AC11" s="2622"/>
      <c r="AD11" s="2633">
        <f>ROUND(AVERAGE(I11:I$30)/100,4)</f>
        <v>2.24E-2</v>
      </c>
      <c r="AE11" s="2633">
        <f>ROUND(AVERAGE(J11:J$30)/100,4)</f>
        <v>1.5800000000000002E-2</v>
      </c>
      <c r="AF11" s="2633">
        <f t="shared" si="11"/>
        <v>1.5800000000000002E-2</v>
      </c>
      <c r="AG11" s="2633">
        <f>ROUND(AVERAGE(K11:K$30)/100,4)</f>
        <v>2.4500000000000001E-2</v>
      </c>
      <c r="AH11" s="2633">
        <f>ROUND(AVERAGE(L11:L$30)/100,4)</f>
        <v>1.49E-2</v>
      </c>
    </row>
    <row r="12" spans="1:34" s="2720" customFormat="1" ht="14.45" customHeight="1">
      <c r="A12" s="2615" t="s">
        <v>2973</v>
      </c>
      <c r="B12" s="2628">
        <f t="shared" si="12"/>
        <v>459.95733971036987</v>
      </c>
      <c r="C12" s="2628">
        <f t="shared" si="13"/>
        <v>341.22221064422405</v>
      </c>
      <c r="D12" s="2628">
        <f t="shared" si="3"/>
        <v>341.22221064422405</v>
      </c>
      <c r="E12" s="2628">
        <f t="shared" si="4"/>
        <v>657.19161663724799</v>
      </c>
      <c r="F12" s="2628">
        <f t="shared" si="5"/>
        <v>300.87803644464805</v>
      </c>
      <c r="G12" s="3853"/>
      <c r="H12" s="2618">
        <v>3</v>
      </c>
      <c r="I12" s="2618">
        <v>1.51</v>
      </c>
      <c r="J12" s="2618">
        <v>1.41</v>
      </c>
      <c r="K12" s="2618">
        <v>1.52</v>
      </c>
      <c r="L12" s="2629">
        <v>1.74</v>
      </c>
      <c r="M12" s="2622"/>
      <c r="N12" s="2623">
        <f t="shared" si="6"/>
        <v>1.5100000000000001E-2</v>
      </c>
      <c r="O12" s="2624">
        <f t="shared" si="7"/>
        <v>1.41E-2</v>
      </c>
      <c r="P12" s="2624">
        <f t="shared" si="8"/>
        <v>1.52E-2</v>
      </c>
      <c r="Q12" s="2624">
        <f t="shared" si="9"/>
        <v>1.7399999999999999E-2</v>
      </c>
      <c r="R12" s="2625"/>
      <c r="S12" s="2623"/>
      <c r="T12" s="2624"/>
      <c r="U12" s="2624"/>
      <c r="V12" s="2624"/>
      <c r="W12" s="2622"/>
      <c r="X12" s="2713">
        <f>ROUND(SUMPRODUCT(PRODUCT(1+N12:N$29)),4)</f>
        <v>1.4956</v>
      </c>
      <c r="Y12" s="2713">
        <f>ROUND(SUMPRODUCT(PRODUCT(1+O12:O$29)),4)</f>
        <v>1.3237000000000001</v>
      </c>
      <c r="Z12" s="2713">
        <f t="shared" si="10"/>
        <v>1.3237000000000001</v>
      </c>
      <c r="AA12" s="2713">
        <f>ROUND(SUMPRODUCT(PRODUCT(1+P12:P$29)),4)</f>
        <v>1.554</v>
      </c>
      <c r="AB12" s="2713">
        <f>ROUND(SUMPRODUCT(PRODUCT(1+Q12:Q$29)),4)</f>
        <v>1.3087</v>
      </c>
      <c r="AC12" s="2622"/>
      <c r="AD12" s="2633">
        <f>ROUND(AVERAGE(I12:I$30)/100,4)</f>
        <v>2.3099999999999999E-2</v>
      </c>
      <c r="AE12" s="2633">
        <f>ROUND(AVERAGE(J12:J$30)/100,4)</f>
        <v>1.61E-2</v>
      </c>
      <c r="AF12" s="2633">
        <f t="shared" si="11"/>
        <v>1.61E-2</v>
      </c>
      <c r="AG12" s="2633">
        <f>ROUND(AVERAGE(K12:K$30)/100,4)</f>
        <v>2.53E-2</v>
      </c>
      <c r="AH12" s="2633">
        <f>ROUND(AVERAGE(L12:L$30)/100,4)</f>
        <v>1.4999999999999999E-2</v>
      </c>
    </row>
    <row r="13" spans="1:34" s="2720" customFormat="1" ht="14.45" customHeight="1">
      <c r="A13" s="2615" t="s">
        <v>2974</v>
      </c>
      <c r="B13" s="2628">
        <f t="shared" si="12"/>
        <v>453.11529869999993</v>
      </c>
      <c r="C13" s="2628">
        <f t="shared" si="13"/>
        <v>336.47787264000004</v>
      </c>
      <c r="D13" s="2628">
        <f t="shared" si="3"/>
        <v>336.47787264000004</v>
      </c>
      <c r="E13" s="2628">
        <f t="shared" si="4"/>
        <v>647.35186823999993</v>
      </c>
      <c r="F13" s="2628">
        <f t="shared" si="5"/>
        <v>295.73229452000004</v>
      </c>
      <c r="G13" s="3853"/>
      <c r="H13" s="2619">
        <v>2</v>
      </c>
      <c r="I13" s="2619">
        <v>1.49</v>
      </c>
      <c r="J13" s="2619">
        <v>0.96</v>
      </c>
      <c r="K13" s="2619">
        <v>1.58</v>
      </c>
      <c r="L13" s="2630">
        <v>2.44</v>
      </c>
      <c r="M13" s="2622"/>
      <c r="N13" s="2623">
        <f t="shared" si="6"/>
        <v>1.49E-2</v>
      </c>
      <c r="O13" s="2624">
        <f t="shared" si="7"/>
        <v>9.5999999999999992E-3</v>
      </c>
      <c r="P13" s="2624">
        <f t="shared" si="8"/>
        <v>1.5800000000000002E-2</v>
      </c>
      <c r="Q13" s="2624">
        <f t="shared" si="9"/>
        <v>2.4399999999999998E-2</v>
      </c>
      <c r="R13" s="2625"/>
      <c r="S13" s="2623"/>
      <c r="T13" s="2624"/>
      <c r="U13" s="2624"/>
      <c r="V13" s="2624"/>
      <c r="W13" s="2622"/>
      <c r="X13" s="2713">
        <f>ROUND(SUMPRODUCT(PRODUCT(1+N13:N$29)),4)</f>
        <v>1.4733000000000001</v>
      </c>
      <c r="Y13" s="2713">
        <f>ROUND(SUMPRODUCT(PRODUCT(1+O13:O$29)),4)</f>
        <v>1.3052999999999999</v>
      </c>
      <c r="Z13" s="2713">
        <f t="shared" si="10"/>
        <v>1.3052999999999999</v>
      </c>
      <c r="AA13" s="2713">
        <f>ROUND(SUMPRODUCT(PRODUCT(1+P13:P$29)),4)</f>
        <v>1.5306999999999999</v>
      </c>
      <c r="AB13" s="2713">
        <f>ROUND(SUMPRODUCT(PRODUCT(1+Q13:Q$29)),4)</f>
        <v>1.2863</v>
      </c>
      <c r="AC13" s="2622"/>
      <c r="AD13" s="2633">
        <f>ROUND(AVERAGE(I13:I$30)/100,4)</f>
        <v>2.35E-2</v>
      </c>
      <c r="AE13" s="2633">
        <f>ROUND(AVERAGE(J13:J$30)/100,4)</f>
        <v>1.6199999999999999E-2</v>
      </c>
      <c r="AF13" s="2633">
        <f t="shared" si="11"/>
        <v>1.6199999999999999E-2</v>
      </c>
      <c r="AG13" s="2633">
        <f>ROUND(AVERAGE(K13:K$30)/100,4)</f>
        <v>2.5899999999999999E-2</v>
      </c>
      <c r="AH13" s="2633">
        <f>ROUND(AVERAGE(L13:L$30)/100,4)</f>
        <v>1.49E-2</v>
      </c>
    </row>
    <row r="14" spans="1:34" s="2720" customFormat="1" ht="15" customHeight="1" thickBot="1">
      <c r="A14" s="2615" t="s">
        <v>2970</v>
      </c>
      <c r="B14" s="2628">
        <f t="shared" si="12"/>
        <v>446.46299999999997</v>
      </c>
      <c r="C14" s="2628">
        <f t="shared" si="13"/>
        <v>333.27840000000003</v>
      </c>
      <c r="D14" s="2628">
        <f t="shared" ref="D14:D19" si="14">C14</f>
        <v>333.27840000000003</v>
      </c>
      <c r="E14" s="2628">
        <f t="shared" si="4"/>
        <v>637.28279999999995</v>
      </c>
      <c r="F14" s="2628">
        <f t="shared" si="5"/>
        <v>288.68830000000003</v>
      </c>
      <c r="G14" s="3859"/>
      <c r="H14" s="2618">
        <v>1</v>
      </c>
      <c r="I14" s="2618">
        <v>1.7</v>
      </c>
      <c r="J14" s="2618">
        <v>1.92</v>
      </c>
      <c r="K14" s="2618">
        <v>1.64</v>
      </c>
      <c r="L14" s="2629">
        <v>2.0099999999999998</v>
      </c>
      <c r="M14" s="2622"/>
      <c r="N14" s="2623">
        <f t="shared" ref="N14:N19" si="15">I14/100</f>
        <v>1.7000000000000001E-2</v>
      </c>
      <c r="O14" s="2624">
        <f t="shared" ref="O14:Q18" si="16">J14/100</f>
        <v>1.9199999999999998E-2</v>
      </c>
      <c r="P14" s="2624">
        <f t="shared" si="16"/>
        <v>1.6399999999999998E-2</v>
      </c>
      <c r="Q14" s="2624">
        <f t="shared" si="16"/>
        <v>2.0099999999999996E-2</v>
      </c>
      <c r="R14" s="2625"/>
      <c r="S14" s="2631">
        <f>B14/B15-1</f>
        <v>1.6999999999999904E-2</v>
      </c>
      <c r="T14" s="2632">
        <f>C14/C15-1</f>
        <v>1.9200000000000106E-2</v>
      </c>
      <c r="U14" s="2632">
        <f>E14/E15-1</f>
        <v>1.639999999999997E-2</v>
      </c>
      <c r="V14" s="2632">
        <f>F14/F15-1</f>
        <v>2.0100000000000007E-2</v>
      </c>
      <c r="W14" s="2622"/>
      <c r="X14" s="2713">
        <f>ROUND(SUMPRODUCT(PRODUCT(1+N14:N$29)),4)</f>
        <v>1.4517</v>
      </c>
      <c r="Y14" s="2713">
        <f>ROUND(SUMPRODUCT(PRODUCT(1+O14:O$29)),4)</f>
        <v>1.2928999999999999</v>
      </c>
      <c r="Z14" s="2713">
        <f t="shared" si="10"/>
        <v>1.2928999999999999</v>
      </c>
      <c r="AA14" s="2713">
        <f>ROUND(SUMPRODUCT(PRODUCT(1+P14:P$29)),4)</f>
        <v>1.5068999999999999</v>
      </c>
      <c r="AB14" s="2713">
        <f>ROUND(SUMPRODUCT(PRODUCT(1+Q14:Q$29)),4)</f>
        <v>1.2557</v>
      </c>
      <c r="AC14" s="2622"/>
      <c r="AD14" s="2633">
        <f>ROUND(AVERAGE(I14:I$30)/100,4)</f>
        <v>2.4E-2</v>
      </c>
      <c r="AE14" s="2633">
        <f>ROUND(AVERAGE(J14:J$30)/100,4)</f>
        <v>1.66E-2</v>
      </c>
      <c r="AF14" s="2633">
        <f t="shared" si="11"/>
        <v>1.66E-2</v>
      </c>
      <c r="AG14" s="2633">
        <f>ROUND(AVERAGE(K14:K$30)/100,4)</f>
        <v>2.6499999999999999E-2</v>
      </c>
      <c r="AH14" s="2633">
        <f>ROUND(AVERAGE(L14:L$30)/100,4)</f>
        <v>1.43E-2</v>
      </c>
    </row>
    <row r="15" spans="1:34">
      <c r="A15" s="2615" t="s">
        <v>2961</v>
      </c>
      <c r="B15" s="3093">
        <v>439</v>
      </c>
      <c r="C15" s="3093">
        <v>327</v>
      </c>
      <c r="D15" s="3093">
        <f t="shared" si="14"/>
        <v>327</v>
      </c>
      <c r="E15" s="3093">
        <v>627</v>
      </c>
      <c r="F15" s="3094">
        <v>283</v>
      </c>
      <c r="G15" s="3858">
        <v>2017</v>
      </c>
      <c r="H15" s="2616">
        <v>4</v>
      </c>
      <c r="I15" s="2616">
        <v>1.71</v>
      </c>
      <c r="J15" s="2616">
        <v>1.78</v>
      </c>
      <c r="K15" s="2616">
        <v>1.71</v>
      </c>
      <c r="L15" s="2617">
        <v>1.43</v>
      </c>
      <c r="N15" s="2636">
        <f t="shared" si="15"/>
        <v>1.7100000000000001E-2</v>
      </c>
      <c r="O15" s="2637">
        <f t="shared" si="16"/>
        <v>1.78E-2</v>
      </c>
      <c r="P15" s="2637">
        <f t="shared" si="16"/>
        <v>1.7100000000000001E-2</v>
      </c>
      <c r="Q15" s="2637">
        <f t="shared" si="16"/>
        <v>1.43E-2</v>
      </c>
      <c r="R15" s="2625"/>
      <c r="S15" s="2626"/>
      <c r="T15" s="2627"/>
      <c r="U15" s="2627"/>
      <c r="V15" s="2627"/>
      <c r="X15" s="2713">
        <f>ROUND(SUMPRODUCT(PRODUCT(1+N15:N$29)),4)</f>
        <v>1.4274</v>
      </c>
      <c r="Y15" s="2713">
        <f>ROUND(SUMPRODUCT(PRODUCT(1+O15:O$29)),4)</f>
        <v>1.2685</v>
      </c>
      <c r="Z15" s="2713">
        <f t="shared" si="0"/>
        <v>1.2685</v>
      </c>
      <c r="AA15" s="2713">
        <f>ROUND(SUMPRODUCT(PRODUCT(1+P15:P$29)),4)</f>
        <v>1.4825999999999999</v>
      </c>
      <c r="AB15" s="2713">
        <f>ROUND(SUMPRODUCT(PRODUCT(1+Q15:Q$29)),4)</f>
        <v>1.2309000000000001</v>
      </c>
      <c r="AD15" s="2633">
        <f>ROUND(AVERAGE(I15:I$30)/100,4)</f>
        <v>2.4500000000000001E-2</v>
      </c>
      <c r="AE15" s="2633">
        <f>ROUND(AVERAGE(J15:J$30)/100,4)</f>
        <v>1.6500000000000001E-2</v>
      </c>
      <c r="AF15" s="2633">
        <f t="shared" si="1"/>
        <v>1.6500000000000001E-2</v>
      </c>
      <c r="AG15" s="2633">
        <f>ROUND(AVERAGE(K15:K$30)/100,4)</f>
        <v>2.7099999999999999E-2</v>
      </c>
      <c r="AH15" s="2633">
        <f>ROUND(AVERAGE(L15:L$30)/100,4)</f>
        <v>1.3899999999999999E-2</v>
      </c>
    </row>
    <row r="16" spans="1:34" s="2720" customFormat="1" ht="14.45" customHeight="1">
      <c r="A16" s="2615" t="s">
        <v>2965</v>
      </c>
      <c r="B16" s="2628">
        <f t="shared" ref="B16:C18" si="17">B17*(1+N16)</f>
        <v>431.80730811680002</v>
      </c>
      <c r="C16" s="2628">
        <f t="shared" si="17"/>
        <v>320.57880516480003</v>
      </c>
      <c r="D16" s="2628">
        <f t="shared" si="14"/>
        <v>320.57880516480003</v>
      </c>
      <c r="E16" s="2628">
        <f t="shared" ref="E16:F18" si="18">E17*(1+P16)</f>
        <v>615.96110553196797</v>
      </c>
      <c r="F16" s="2628">
        <f t="shared" si="18"/>
        <v>279.46777300108801</v>
      </c>
      <c r="G16" s="3853"/>
      <c r="H16" s="2618">
        <v>3</v>
      </c>
      <c r="I16" s="2618">
        <v>2.98</v>
      </c>
      <c r="J16" s="2618">
        <v>2.11</v>
      </c>
      <c r="K16" s="2618">
        <v>3.24</v>
      </c>
      <c r="L16" s="2629">
        <v>1.72</v>
      </c>
      <c r="M16" s="2622"/>
      <c r="N16" s="2623">
        <f t="shared" si="15"/>
        <v>2.98E-2</v>
      </c>
      <c r="O16" s="2641">
        <f t="shared" si="16"/>
        <v>2.1099999999999997E-2</v>
      </c>
      <c r="P16" s="2641">
        <f t="shared" si="16"/>
        <v>3.2400000000000005E-2</v>
      </c>
      <c r="Q16" s="2641">
        <f t="shared" si="16"/>
        <v>1.72E-2</v>
      </c>
      <c r="R16" s="2625"/>
      <c r="S16" s="2623"/>
      <c r="T16" s="2624"/>
      <c r="U16" s="2624"/>
      <c r="V16" s="2624"/>
      <c r="W16" s="2622"/>
      <c r="X16" s="2713">
        <f>ROUND(SUMPRODUCT(PRODUCT(1+N16:N$29)),4)</f>
        <v>1.4034</v>
      </c>
      <c r="Y16" s="2713">
        <f>ROUND(SUMPRODUCT(PRODUCT(1+O16:O$29)),4)</f>
        <v>1.2463</v>
      </c>
      <c r="Z16" s="2713">
        <f t="shared" si="0"/>
        <v>1.2463</v>
      </c>
      <c r="AA16" s="2713">
        <f>ROUND(SUMPRODUCT(PRODUCT(1+P16:P$29)),4)</f>
        <v>1.4577</v>
      </c>
      <c r="AB16" s="2713">
        <f>ROUND(SUMPRODUCT(PRODUCT(1+Q16:Q$29)),4)</f>
        <v>1.2136</v>
      </c>
      <c r="AC16" s="2622"/>
      <c r="AD16" s="2633">
        <f>ROUND(AVERAGE(I16:I$30)/100,4)</f>
        <v>2.4899999999999999E-2</v>
      </c>
      <c r="AE16" s="2633">
        <f>ROUND(AVERAGE(J16:J$30)/100,4)</f>
        <v>1.6400000000000001E-2</v>
      </c>
      <c r="AF16" s="2633">
        <f t="shared" si="1"/>
        <v>1.6400000000000001E-2</v>
      </c>
      <c r="AG16" s="2633">
        <f>ROUND(AVERAGE(K16:K$30)/100,4)</f>
        <v>2.7799999999999998E-2</v>
      </c>
      <c r="AH16" s="2633">
        <f>ROUND(AVERAGE(L16:L$30)/100,4)</f>
        <v>1.3899999999999999E-2</v>
      </c>
    </row>
    <row r="17" spans="1:34" s="2613" customFormat="1" ht="14.45" customHeight="1">
      <c r="A17" s="2615" t="s">
        <v>2577</v>
      </c>
      <c r="B17" s="2628">
        <f t="shared" si="17"/>
        <v>419.31181600000002</v>
      </c>
      <c r="C17" s="2628">
        <f t="shared" si="17"/>
        <v>313.95436800000004</v>
      </c>
      <c r="D17" s="2628">
        <f t="shared" si="14"/>
        <v>313.95436800000004</v>
      </c>
      <c r="E17" s="2628">
        <f t="shared" si="18"/>
        <v>596.63028431999999</v>
      </c>
      <c r="F17" s="2628">
        <f t="shared" si="18"/>
        <v>274.74220703999998</v>
      </c>
      <c r="G17" s="3853"/>
      <c r="H17" s="2619">
        <v>2</v>
      </c>
      <c r="I17" s="2619">
        <v>3.4</v>
      </c>
      <c r="J17" s="2619">
        <v>2</v>
      </c>
      <c r="K17" s="2619">
        <v>3.82</v>
      </c>
      <c r="L17" s="2630">
        <v>1.68</v>
      </c>
      <c r="N17" s="2623">
        <f t="shared" si="15"/>
        <v>3.4000000000000002E-2</v>
      </c>
      <c r="O17" s="2641">
        <f t="shared" si="16"/>
        <v>0.02</v>
      </c>
      <c r="P17" s="2641">
        <f t="shared" si="16"/>
        <v>3.8199999999999998E-2</v>
      </c>
      <c r="Q17" s="2641">
        <f t="shared" si="16"/>
        <v>1.6799999999999999E-2</v>
      </c>
      <c r="R17" s="2614"/>
      <c r="S17" s="2623"/>
      <c r="T17" s="2624"/>
      <c r="U17" s="2624"/>
      <c r="V17" s="2624"/>
      <c r="X17" s="2713">
        <f>ROUND(SUMPRODUCT(PRODUCT(1+N17:N$29)),4)</f>
        <v>1.3628</v>
      </c>
      <c r="Y17" s="2713">
        <f>ROUND(SUMPRODUCT(PRODUCT(1+O17:O$29)),4)</f>
        <v>1.2205999999999999</v>
      </c>
      <c r="Z17" s="2713">
        <f t="shared" si="0"/>
        <v>1.2205999999999999</v>
      </c>
      <c r="AA17" s="2713">
        <f>ROUND(SUMPRODUCT(PRODUCT(1+P17:P$29)),4)</f>
        <v>1.4118999999999999</v>
      </c>
      <c r="AB17" s="2713">
        <f>ROUND(SUMPRODUCT(PRODUCT(1+Q17:Q$29)),4)</f>
        <v>1.1930000000000001</v>
      </c>
      <c r="AD17" s="2633">
        <f>ROUND(AVERAGE(I17:I$30)/100,4)</f>
        <v>2.46E-2</v>
      </c>
      <c r="AE17" s="2633">
        <f>ROUND(AVERAGE(J17:J$30)/100,4)</f>
        <v>1.6E-2</v>
      </c>
      <c r="AF17" s="2633">
        <f t="shared" si="1"/>
        <v>1.6E-2</v>
      </c>
      <c r="AG17" s="2633">
        <f>ROUND(AVERAGE(K17:K$30)/100,4)</f>
        <v>2.75E-2</v>
      </c>
      <c r="AH17" s="2633">
        <f>ROUND(AVERAGE(L17:L$30)/100,4)</f>
        <v>1.37E-2</v>
      </c>
    </row>
    <row r="18" spans="1:34" s="2720" customFormat="1" ht="15" customHeight="1" thickBot="1">
      <c r="A18" s="2615" t="s">
        <v>2578</v>
      </c>
      <c r="B18" s="2628">
        <f t="shared" si="17"/>
        <v>405.524</v>
      </c>
      <c r="C18" s="2628">
        <f t="shared" si="17"/>
        <v>307.79840000000002</v>
      </c>
      <c r="D18" s="2628">
        <f t="shared" si="14"/>
        <v>307.79840000000002</v>
      </c>
      <c r="E18" s="2628">
        <f t="shared" si="18"/>
        <v>574.67759999999998</v>
      </c>
      <c r="F18" s="2628">
        <f t="shared" si="18"/>
        <v>270.20280000000002</v>
      </c>
      <c r="G18" s="3859"/>
      <c r="H18" s="2618">
        <v>1</v>
      </c>
      <c r="I18" s="2618">
        <v>3.45</v>
      </c>
      <c r="J18" s="2618">
        <v>1.92</v>
      </c>
      <c r="K18" s="2618">
        <v>3.92</v>
      </c>
      <c r="L18" s="2629">
        <v>1.58</v>
      </c>
      <c r="M18" s="2622"/>
      <c r="N18" s="2631">
        <f t="shared" si="15"/>
        <v>3.4500000000000003E-2</v>
      </c>
      <c r="O18" s="2632">
        <f t="shared" si="16"/>
        <v>1.9199999999999998E-2</v>
      </c>
      <c r="P18" s="2632">
        <f t="shared" si="16"/>
        <v>3.9199999999999999E-2</v>
      </c>
      <c r="Q18" s="2632">
        <f t="shared" si="16"/>
        <v>1.5800000000000002E-2</v>
      </c>
      <c r="R18" s="2625"/>
      <c r="S18" s="2631">
        <f>B18/B19-1</f>
        <v>3.4499999999999975E-2</v>
      </c>
      <c r="T18" s="2632">
        <f>C18/C19-1</f>
        <v>1.9200000000000106E-2</v>
      </c>
      <c r="U18" s="2632">
        <f>E18/E19-1</f>
        <v>3.9199999999999902E-2</v>
      </c>
      <c r="V18" s="2632">
        <f>F18/F19-1</f>
        <v>1.5800000000000036E-2</v>
      </c>
      <c r="W18" s="2622"/>
      <c r="X18" s="2713">
        <f>ROUND(SUMPRODUCT(PRODUCT(1+N18:N$29)),4)</f>
        <v>1.3180000000000001</v>
      </c>
      <c r="Y18" s="2713">
        <f>ROUND(SUMPRODUCT(PRODUCT(1+O18:O$29)),4)</f>
        <v>1.1966000000000001</v>
      </c>
      <c r="Z18" s="2713">
        <f t="shared" si="0"/>
        <v>1.1966000000000001</v>
      </c>
      <c r="AA18" s="2713">
        <f>ROUND(SUMPRODUCT(PRODUCT(1+P18:P$29)),4)</f>
        <v>1.36</v>
      </c>
      <c r="AB18" s="2713">
        <f>ROUND(SUMPRODUCT(PRODUCT(1+Q18:Q$29)),4)</f>
        <v>1.1733</v>
      </c>
      <c r="AC18" s="2622"/>
      <c r="AD18" s="2633">
        <f>ROUND(AVERAGE(I18:I$30)/100,4)</f>
        <v>2.3900000000000001E-2</v>
      </c>
      <c r="AE18" s="2633">
        <f>ROUND(AVERAGE(J18:J$30)/100,4)</f>
        <v>1.5699999999999999E-2</v>
      </c>
      <c r="AF18" s="2633">
        <f t="shared" si="1"/>
        <v>1.5699999999999999E-2</v>
      </c>
      <c r="AG18" s="2633">
        <f>ROUND(AVERAGE(K18:K$30)/100,4)</f>
        <v>2.6599999999999999E-2</v>
      </c>
      <c r="AH18" s="2633">
        <f>ROUND(AVERAGE(L18:L$30)/100,4)</f>
        <v>1.34E-2</v>
      </c>
    </row>
    <row r="19" spans="1:34">
      <c r="A19" s="2615" t="s">
        <v>970</v>
      </c>
      <c r="B19" s="2620">
        <v>392</v>
      </c>
      <c r="C19" s="2620">
        <v>302</v>
      </c>
      <c r="D19" s="2620">
        <f t="shared" si="14"/>
        <v>302</v>
      </c>
      <c r="E19" s="2620">
        <v>553</v>
      </c>
      <c r="F19" s="2621">
        <v>266</v>
      </c>
      <c r="G19" s="3858">
        <v>2016</v>
      </c>
      <c r="H19" s="2616">
        <v>4</v>
      </c>
      <c r="I19" s="2616">
        <v>4.5599999999999996</v>
      </c>
      <c r="J19" s="2616">
        <v>2.15</v>
      </c>
      <c r="K19" s="2616">
        <v>5.32</v>
      </c>
      <c r="L19" s="2617">
        <v>1.57</v>
      </c>
      <c r="N19" s="2623">
        <f t="shared" si="15"/>
        <v>4.5599999999999995E-2</v>
      </c>
      <c r="O19" s="2624">
        <f t="shared" ref="O19:Q34" si="19">J19/100</f>
        <v>2.1499999999999998E-2</v>
      </c>
      <c r="P19" s="2624">
        <f t="shared" si="19"/>
        <v>5.3200000000000004E-2</v>
      </c>
      <c r="Q19" s="2624">
        <f t="shared" si="19"/>
        <v>1.5700000000000002E-2</v>
      </c>
      <c r="R19" s="2625"/>
      <c r="S19" s="2626"/>
      <c r="T19" s="2627"/>
      <c r="U19" s="2627"/>
      <c r="V19" s="2627"/>
      <c r="X19" s="2713">
        <f>ROUND(SUMPRODUCT(PRODUCT(1+N19:N$29)),4)</f>
        <v>1.274</v>
      </c>
      <c r="Y19" s="2713">
        <f>ROUND(SUMPRODUCT(PRODUCT(1+O19:O$29)),4)</f>
        <v>1.1740999999999999</v>
      </c>
      <c r="Z19" s="2713">
        <f t="shared" si="0"/>
        <v>1.1740999999999999</v>
      </c>
      <c r="AA19" s="2713">
        <f>ROUND(SUMPRODUCT(PRODUCT(1+P19:P$29)),4)</f>
        <v>1.3087</v>
      </c>
      <c r="AB19" s="2713">
        <f>ROUND(SUMPRODUCT(PRODUCT(1+Q19:Q$29)),4)</f>
        <v>1.1551</v>
      </c>
      <c r="AD19" s="2633">
        <f>ROUND(AVERAGE(I19:I$30)/100,4)</f>
        <v>2.3E-2</v>
      </c>
      <c r="AE19" s="2633">
        <f>ROUND(AVERAGE(J19:J$30)/100,4)</f>
        <v>1.55E-2</v>
      </c>
      <c r="AF19" s="2633">
        <f t="shared" si="1"/>
        <v>1.55E-2</v>
      </c>
      <c r="AG19" s="2633">
        <f>ROUND(AVERAGE(K19:K$30)/100,4)</f>
        <v>2.5600000000000001E-2</v>
      </c>
      <c r="AH19" s="2633">
        <f>ROUND(AVERAGE(L19:L$30)/100,4)</f>
        <v>1.32E-2</v>
      </c>
    </row>
    <row r="20" spans="1:34">
      <c r="A20" s="2615" t="s">
        <v>969</v>
      </c>
      <c r="B20" s="2628">
        <f t="shared" ref="B20:C22" si="20">B19/(1+N19)</f>
        <v>374.90436113236416</v>
      </c>
      <c r="C20" s="2628">
        <f t="shared" si="20"/>
        <v>295.64366128242779</v>
      </c>
      <c r="D20" s="2628">
        <f t="shared" ref="D20:D79" si="21">C20</f>
        <v>295.64366128242779</v>
      </c>
      <c r="E20" s="2628">
        <f t="shared" ref="E20:F22" si="22">E19/(1+P19)</f>
        <v>525.06646410938095</v>
      </c>
      <c r="F20" s="2628">
        <f t="shared" si="22"/>
        <v>261.88835286009646</v>
      </c>
      <c r="G20" s="3853"/>
      <c r="H20" s="2618">
        <v>3</v>
      </c>
      <c r="I20" s="2618">
        <v>4.12</v>
      </c>
      <c r="J20" s="2618">
        <v>2</v>
      </c>
      <c r="K20" s="2618">
        <v>4.79</v>
      </c>
      <c r="L20" s="2629">
        <v>1.97</v>
      </c>
      <c r="N20" s="2623">
        <f t="shared" ref="N20:Q54" si="23">I20/100</f>
        <v>4.1200000000000001E-2</v>
      </c>
      <c r="O20" s="2624">
        <f t="shared" si="19"/>
        <v>0.02</v>
      </c>
      <c r="P20" s="2624">
        <f t="shared" si="19"/>
        <v>4.7899999999999998E-2</v>
      </c>
      <c r="Q20" s="2624">
        <f t="shared" si="19"/>
        <v>1.9699999999999999E-2</v>
      </c>
      <c r="R20" s="2625"/>
      <c r="S20" s="2623"/>
      <c r="T20" s="2624"/>
      <c r="U20" s="2624"/>
      <c r="V20" s="2624"/>
      <c r="X20" s="2713">
        <f>ROUND(SUMPRODUCT(PRODUCT(1+N20:N$29)),4)</f>
        <v>1.2184999999999999</v>
      </c>
      <c r="Y20" s="2713">
        <f>ROUND(SUMPRODUCT(PRODUCT(1+O20:O$29)),4)</f>
        <v>1.1494</v>
      </c>
      <c r="Z20" s="2713">
        <f t="shared" si="0"/>
        <v>1.1494</v>
      </c>
      <c r="AA20" s="2713">
        <f>ROUND(SUMPRODUCT(PRODUCT(1+P20:P$29)),4)</f>
        <v>1.2425999999999999</v>
      </c>
      <c r="AB20" s="2713">
        <f>ROUND(SUMPRODUCT(PRODUCT(1+Q20:Q$29)),4)</f>
        <v>1.1372</v>
      </c>
      <c r="AD20" s="2633">
        <f>ROUND(AVERAGE(I20:I$30)/100,4)</f>
        <v>2.0899999999999998E-2</v>
      </c>
      <c r="AE20" s="2633">
        <f>ROUND(AVERAGE(J20:J$30)/100,4)</f>
        <v>1.49E-2</v>
      </c>
      <c r="AF20" s="2633">
        <f t="shared" si="1"/>
        <v>1.49E-2</v>
      </c>
      <c r="AG20" s="2633">
        <f>ROUND(AVERAGE(K20:K$30)/100,4)</f>
        <v>2.3099999999999999E-2</v>
      </c>
      <c r="AH20" s="2633">
        <f>ROUND(AVERAGE(L20:L$30)/100,4)</f>
        <v>1.2999999999999999E-2</v>
      </c>
    </row>
    <row r="21" spans="1:34">
      <c r="A21" s="2615" t="s">
        <v>959</v>
      </c>
      <c r="B21" s="2628">
        <f t="shared" si="20"/>
        <v>360.06949782209392</v>
      </c>
      <c r="C21" s="2628">
        <f t="shared" si="20"/>
        <v>289.84672674747821</v>
      </c>
      <c r="D21" s="2628">
        <f t="shared" si="21"/>
        <v>289.84672674747821</v>
      </c>
      <c r="E21" s="2628">
        <f t="shared" si="22"/>
        <v>501.06543001181495</v>
      </c>
      <c r="F21" s="2628">
        <f t="shared" si="22"/>
        <v>256.82882500744967</v>
      </c>
      <c r="G21" s="3853"/>
      <c r="H21" s="2619">
        <v>2</v>
      </c>
      <c r="I21" s="2619">
        <v>3.85</v>
      </c>
      <c r="J21" s="2619">
        <v>1.95</v>
      </c>
      <c r="K21" s="2619">
        <v>4.4800000000000004</v>
      </c>
      <c r="L21" s="2630">
        <v>1.41</v>
      </c>
      <c r="N21" s="2623">
        <f t="shared" si="23"/>
        <v>3.85E-2</v>
      </c>
      <c r="O21" s="2624">
        <f t="shared" si="19"/>
        <v>1.95E-2</v>
      </c>
      <c r="P21" s="2624">
        <f t="shared" si="19"/>
        <v>4.4800000000000006E-2</v>
      </c>
      <c r="Q21" s="2624">
        <f t="shared" si="19"/>
        <v>1.41E-2</v>
      </c>
      <c r="R21" s="2625"/>
      <c r="S21" s="2623"/>
      <c r="T21" s="2624"/>
      <c r="U21" s="2624"/>
      <c r="V21" s="2624"/>
      <c r="X21" s="2713">
        <f>ROUND(SUMPRODUCT(PRODUCT(1+N21:N$29)),4)</f>
        <v>1.1702999999999999</v>
      </c>
      <c r="Y21" s="2713">
        <f>ROUND(SUMPRODUCT(PRODUCT(1+O21:O$29)),4)</f>
        <v>1.1269</v>
      </c>
      <c r="Z21" s="2713">
        <f t="shared" si="0"/>
        <v>1.1269</v>
      </c>
      <c r="AA21" s="2713">
        <f>ROUND(SUMPRODUCT(PRODUCT(1+P21:P$29)),4)</f>
        <v>1.1858</v>
      </c>
      <c r="AB21" s="2713">
        <f>ROUND(SUMPRODUCT(PRODUCT(1+Q21:Q$29)),4)</f>
        <v>1.1152</v>
      </c>
      <c r="AD21" s="2633">
        <f>ROUND(AVERAGE(I21:I$30)/100,4)</f>
        <v>1.89E-2</v>
      </c>
      <c r="AE21" s="2633">
        <f>ROUND(AVERAGE(J21:J$30)/100,4)</f>
        <v>1.44E-2</v>
      </c>
      <c r="AF21" s="2633">
        <f t="shared" si="1"/>
        <v>1.44E-2</v>
      </c>
      <c r="AG21" s="2633">
        <f>ROUND(AVERAGE(K21:K$30)/100,4)</f>
        <v>2.06E-2</v>
      </c>
      <c r="AH21" s="2633">
        <f>ROUND(AVERAGE(L21:L$30)/100,4)</f>
        <v>1.23E-2</v>
      </c>
    </row>
    <row r="22" spans="1:34" ht="13.5" thickBot="1">
      <c r="A22" s="2615" t="s">
        <v>968</v>
      </c>
      <c r="B22" s="2628">
        <f t="shared" si="20"/>
        <v>346.720748986128</v>
      </c>
      <c r="C22" s="2628">
        <f t="shared" si="20"/>
        <v>284.30282172386285</v>
      </c>
      <c r="D22" s="2628">
        <f t="shared" si="21"/>
        <v>284.30282172386285</v>
      </c>
      <c r="E22" s="2628">
        <f t="shared" si="22"/>
        <v>479.58023546306947</v>
      </c>
      <c r="F22" s="2628">
        <f t="shared" si="22"/>
        <v>253.25788877571213</v>
      </c>
      <c r="G22" s="3854"/>
      <c r="H22" s="2618">
        <v>1</v>
      </c>
      <c r="I22" s="2618">
        <v>4.09</v>
      </c>
      <c r="J22" s="2618">
        <v>2.93</v>
      </c>
      <c r="K22" s="2618">
        <v>4.54</v>
      </c>
      <c r="L22" s="2629">
        <v>1.48</v>
      </c>
      <c r="N22" s="2623">
        <f t="shared" si="23"/>
        <v>4.0899999999999999E-2</v>
      </c>
      <c r="O22" s="2624">
        <f t="shared" si="19"/>
        <v>2.9300000000000003E-2</v>
      </c>
      <c r="P22" s="2624">
        <f t="shared" si="19"/>
        <v>4.5400000000000003E-2</v>
      </c>
      <c r="Q22" s="2624">
        <f t="shared" si="19"/>
        <v>1.4800000000000001E-2</v>
      </c>
      <c r="R22" s="2625"/>
      <c r="S22" s="2631">
        <f>B22/B23-1</f>
        <v>4.1203450408792808E-2</v>
      </c>
      <c r="T22" s="2632">
        <f>C22/C23-1</f>
        <v>2.6363977342465095E-2</v>
      </c>
      <c r="U22" s="2632">
        <f>E22/E23-1</f>
        <v>4.4837114298626357E-2</v>
      </c>
      <c r="V22" s="2632">
        <f>F22/F23-1</f>
        <v>1.7099954922538574E-2</v>
      </c>
      <c r="X22" s="2713">
        <f>ROUND(SUMPRODUCT(PRODUCT(1+N22:N$29)),4)</f>
        <v>1.1269</v>
      </c>
      <c r="Y22" s="2713">
        <f>ROUND(SUMPRODUCT(PRODUCT(1+O22:O$29)),4)</f>
        <v>1.1052999999999999</v>
      </c>
      <c r="Z22" s="2713">
        <f t="shared" si="0"/>
        <v>1.1052999999999999</v>
      </c>
      <c r="AA22" s="2713">
        <f>ROUND(SUMPRODUCT(PRODUCT(1+P22:P$29)),4)</f>
        <v>1.1349</v>
      </c>
      <c r="AB22" s="2713">
        <f>ROUND(SUMPRODUCT(PRODUCT(1+Q22:Q$29)),4)</f>
        <v>1.0996999999999999</v>
      </c>
      <c r="AD22" s="2633">
        <f>ROUND(AVERAGE(I22:I$30)/100,4)</f>
        <v>1.67E-2</v>
      </c>
      <c r="AE22" s="2633">
        <f>ROUND(AVERAGE(J22:J$30)/100,4)</f>
        <v>1.38E-2</v>
      </c>
      <c r="AF22" s="2633">
        <f t="shared" si="1"/>
        <v>1.38E-2</v>
      </c>
      <c r="AG22" s="2633">
        <f>ROUND(AVERAGE(K22:K$30)/100,4)</f>
        <v>1.7899999999999999E-2</v>
      </c>
      <c r="AH22" s="2633">
        <f>ROUND(AVERAGE(L22:L$30)/100,4)</f>
        <v>1.21E-2</v>
      </c>
    </row>
    <row r="23" spans="1:34" ht="13.5" thickBot="1">
      <c r="A23" s="2615" t="s">
        <v>967</v>
      </c>
      <c r="B23" s="2620">
        <v>333</v>
      </c>
      <c r="C23" s="2620">
        <v>277</v>
      </c>
      <c r="D23" s="2620">
        <f t="shared" si="21"/>
        <v>277</v>
      </c>
      <c r="E23" s="2620">
        <v>459</v>
      </c>
      <c r="F23" s="2621">
        <v>249</v>
      </c>
      <c r="G23" s="3852">
        <v>2015</v>
      </c>
      <c r="H23" s="2634">
        <v>4</v>
      </c>
      <c r="I23" s="2634">
        <v>1.63</v>
      </c>
      <c r="J23" s="2634">
        <v>1.1100000000000001</v>
      </c>
      <c r="K23" s="2634">
        <v>1.77</v>
      </c>
      <c r="L23" s="2635">
        <v>1.89</v>
      </c>
      <c r="N23" s="2636">
        <f t="shared" si="23"/>
        <v>1.6299999999999999E-2</v>
      </c>
      <c r="O23" s="2637">
        <f t="shared" si="19"/>
        <v>1.11E-2</v>
      </c>
      <c r="P23" s="2637">
        <f t="shared" si="19"/>
        <v>1.77E-2</v>
      </c>
      <c r="Q23" s="2637">
        <f t="shared" si="19"/>
        <v>1.89E-2</v>
      </c>
      <c r="R23" s="2625"/>
      <c r="X23" s="2713">
        <f>ROUND(SUMPRODUCT(PRODUCT(1+N23:N$29)),4)</f>
        <v>1.0826</v>
      </c>
      <c r="Y23" s="2713">
        <f>ROUND(SUMPRODUCT(PRODUCT(1+O23:O$29)),4)</f>
        <v>1.0738000000000001</v>
      </c>
      <c r="Z23" s="2713">
        <f t="shared" si="0"/>
        <v>1.0738000000000001</v>
      </c>
      <c r="AA23" s="2713">
        <f>ROUND(SUMPRODUCT(PRODUCT(1+P23:P$29)),4)</f>
        <v>1.0855999999999999</v>
      </c>
      <c r="AB23" s="2713">
        <f>ROUND(SUMPRODUCT(PRODUCT(1+Q23:Q$29)),4)</f>
        <v>1.0837000000000001</v>
      </c>
      <c r="AD23" s="2633">
        <f>ROUND(AVERAGE(I23:I$30)/100,4)</f>
        <v>1.37E-2</v>
      </c>
      <c r="AE23" s="2633">
        <f>ROUND(AVERAGE(J23:J$30)/100,4)</f>
        <v>1.1900000000000001E-2</v>
      </c>
      <c r="AF23" s="2633">
        <f t="shared" si="1"/>
        <v>1.1900000000000001E-2</v>
      </c>
      <c r="AG23" s="2633">
        <f>ROUND(AVERAGE(K23:K$30)/100,4)</f>
        <v>1.4500000000000001E-2</v>
      </c>
      <c r="AH23" s="2633">
        <f>ROUND(AVERAGE(L23:L$30)/100,4)</f>
        <v>1.18E-2</v>
      </c>
    </row>
    <row r="24" spans="1:34">
      <c r="A24" s="2615" t="s">
        <v>966</v>
      </c>
      <c r="B24" s="2628">
        <f t="shared" ref="B24:C26" si="24">B23/(1+N23)</f>
        <v>327.65915576109415</v>
      </c>
      <c r="C24" s="2628">
        <f t="shared" si="24"/>
        <v>273.95905449510434</v>
      </c>
      <c r="D24" s="2628">
        <f t="shared" si="21"/>
        <v>273.95905449510434</v>
      </c>
      <c r="E24" s="2628">
        <f t="shared" ref="E24:F26" si="25">E23/(1+P23)</f>
        <v>451.01699911565294</v>
      </c>
      <c r="F24" s="2628">
        <f t="shared" si="25"/>
        <v>244.38119540681129</v>
      </c>
      <c r="G24" s="3853"/>
      <c r="H24" s="2639">
        <v>3</v>
      </c>
      <c r="I24" s="2639">
        <v>1.65</v>
      </c>
      <c r="J24" s="2639">
        <v>0.92</v>
      </c>
      <c r="K24" s="2639">
        <v>1.88</v>
      </c>
      <c r="L24" s="2640">
        <v>1.26</v>
      </c>
      <c r="N24" s="2623">
        <f t="shared" si="23"/>
        <v>1.6500000000000001E-2</v>
      </c>
      <c r="O24" s="2641">
        <f t="shared" si="19"/>
        <v>9.1999999999999998E-3</v>
      </c>
      <c r="P24" s="2641">
        <f t="shared" si="19"/>
        <v>1.8799999999999997E-2</v>
      </c>
      <c r="Q24" s="2641">
        <f t="shared" si="19"/>
        <v>1.26E-2</v>
      </c>
      <c r="R24" s="2625"/>
      <c r="S24" s="2623"/>
      <c r="T24" s="2624"/>
      <c r="U24" s="2624"/>
      <c r="V24" s="2624"/>
      <c r="X24" s="2713">
        <f>ROUND(SUMPRODUCT(PRODUCT(1+N24:N$29)),4)</f>
        <v>1.0651999999999999</v>
      </c>
      <c r="Y24" s="2713">
        <f>ROUND(SUMPRODUCT(PRODUCT(1+O24:O$29)),4)</f>
        <v>1.0621</v>
      </c>
      <c r="Z24" s="2713">
        <f t="shared" si="0"/>
        <v>1.0621</v>
      </c>
      <c r="AA24" s="2713">
        <f>ROUND(SUMPRODUCT(PRODUCT(1+P24:P$29)),4)</f>
        <v>1.0668</v>
      </c>
      <c r="AB24" s="2713">
        <f>ROUND(SUMPRODUCT(PRODUCT(1+Q24:Q$29)),4)</f>
        <v>1.0636000000000001</v>
      </c>
      <c r="AD24" s="2633">
        <f>ROUND(AVERAGE(I24:I$30)/100,4)</f>
        <v>1.3299999999999999E-2</v>
      </c>
      <c r="AE24" s="2633">
        <f>ROUND(AVERAGE(J24:J$30)/100,4)</f>
        <v>1.2E-2</v>
      </c>
      <c r="AF24" s="2633">
        <f t="shared" si="1"/>
        <v>1.2E-2</v>
      </c>
      <c r="AG24" s="2633">
        <f>ROUND(AVERAGE(K24:K$30)/100,4)</f>
        <v>1.4E-2</v>
      </c>
      <c r="AH24" s="2633">
        <f>ROUND(AVERAGE(L24:L$30)/100,4)</f>
        <v>1.0800000000000001E-2</v>
      </c>
    </row>
    <row r="25" spans="1:34">
      <c r="A25" s="2615" t="s">
        <v>965</v>
      </c>
      <c r="B25" s="2628">
        <f t="shared" si="24"/>
        <v>322.34053690220776</v>
      </c>
      <c r="C25" s="2628">
        <f t="shared" si="24"/>
        <v>271.46160770422546</v>
      </c>
      <c r="D25" s="2628">
        <f t="shared" si="21"/>
        <v>271.46160770422546</v>
      </c>
      <c r="E25" s="2628">
        <f t="shared" si="25"/>
        <v>442.69434542172456</v>
      </c>
      <c r="F25" s="2628">
        <f t="shared" si="25"/>
        <v>241.34030753190925</v>
      </c>
      <c r="G25" s="3853"/>
      <c r="H25" s="2619">
        <v>2</v>
      </c>
      <c r="I25" s="2619">
        <v>0.77</v>
      </c>
      <c r="J25" s="2619">
        <v>0.69</v>
      </c>
      <c r="K25" s="2619">
        <v>0.8</v>
      </c>
      <c r="L25" s="2630">
        <v>0.88</v>
      </c>
      <c r="N25" s="2623">
        <f t="shared" si="23"/>
        <v>7.7000000000000002E-3</v>
      </c>
      <c r="O25" s="2641">
        <f t="shared" si="19"/>
        <v>6.8999999999999999E-3</v>
      </c>
      <c r="P25" s="2641">
        <f t="shared" si="19"/>
        <v>8.0000000000000002E-3</v>
      </c>
      <c r="Q25" s="2641">
        <f t="shared" si="19"/>
        <v>8.8000000000000005E-3</v>
      </c>
      <c r="R25" s="2625"/>
      <c r="S25" s="2623"/>
      <c r="T25" s="2624"/>
      <c r="U25" s="2624"/>
      <c r="V25" s="2624"/>
      <c r="X25" s="2713">
        <f>ROUND(SUMPRODUCT(PRODUCT(1+N25:N$29)),4)</f>
        <v>1.048</v>
      </c>
      <c r="Y25" s="2713">
        <f>ROUND(SUMPRODUCT(PRODUCT(1+O25:O$29)),4)</f>
        <v>1.0524</v>
      </c>
      <c r="Z25" s="2713">
        <f t="shared" si="0"/>
        <v>1.0524</v>
      </c>
      <c r="AA25" s="2713">
        <f>ROUND(SUMPRODUCT(PRODUCT(1+P25:P$29)),4)</f>
        <v>1.0470999999999999</v>
      </c>
      <c r="AB25" s="2713">
        <f>ROUND(SUMPRODUCT(PRODUCT(1+Q25:Q$29)),4)</f>
        <v>1.0504</v>
      </c>
      <c r="AD25" s="2633">
        <f>ROUND(AVERAGE(I25:I$30)/100,4)</f>
        <v>1.2800000000000001E-2</v>
      </c>
      <c r="AE25" s="2633">
        <f>ROUND(AVERAGE(J25:J$30)/100,4)</f>
        <v>1.2500000000000001E-2</v>
      </c>
      <c r="AF25" s="2633">
        <f t="shared" si="1"/>
        <v>1.2500000000000001E-2</v>
      </c>
      <c r="AG25" s="2633">
        <f>ROUND(AVERAGE(K25:K$30)/100,4)</f>
        <v>1.32E-2</v>
      </c>
      <c r="AH25" s="2633">
        <f>ROUND(AVERAGE(L25:L$30)/100,4)</f>
        <v>1.0500000000000001E-2</v>
      </c>
    </row>
    <row r="26" spans="1:34">
      <c r="A26" s="2615" t="s">
        <v>964</v>
      </c>
      <c r="B26" s="2628">
        <f t="shared" si="24"/>
        <v>319.87748030386797</v>
      </c>
      <c r="C26" s="2628">
        <f t="shared" si="24"/>
        <v>269.60135833173649</v>
      </c>
      <c r="D26" s="2628">
        <f t="shared" si="21"/>
        <v>269.60135833173649</v>
      </c>
      <c r="E26" s="2628">
        <f t="shared" si="25"/>
        <v>439.18089823583784</v>
      </c>
      <c r="F26" s="2628">
        <f t="shared" si="25"/>
        <v>239.23503918706311</v>
      </c>
      <c r="G26" s="3854"/>
      <c r="H26" s="2618">
        <v>1</v>
      </c>
      <c r="I26" s="2618">
        <v>0.51</v>
      </c>
      <c r="J26" s="2618">
        <v>0.54</v>
      </c>
      <c r="K26" s="2618">
        <v>0.48</v>
      </c>
      <c r="L26" s="2629">
        <v>0.93</v>
      </c>
      <c r="N26" s="2631">
        <f t="shared" si="23"/>
        <v>5.1000000000000004E-3</v>
      </c>
      <c r="O26" s="2632">
        <f t="shared" si="19"/>
        <v>5.4000000000000003E-3</v>
      </c>
      <c r="P26" s="2632">
        <f t="shared" si="19"/>
        <v>4.7999999999999996E-3</v>
      </c>
      <c r="Q26" s="2632">
        <f t="shared" si="19"/>
        <v>9.300000000000001E-3</v>
      </c>
      <c r="R26" s="2625"/>
      <c r="S26" s="2631">
        <f>B26/B27-1</f>
        <v>5.9040261127922822E-3</v>
      </c>
      <c r="T26" s="2632">
        <f>C26/C27-1</f>
        <v>5.9752176557332781E-3</v>
      </c>
      <c r="U26" s="2632">
        <f>E26/E27-1</f>
        <v>4.9906138119859556E-3</v>
      </c>
      <c r="V26" s="2632">
        <f>F26/F27-1</f>
        <v>9.4305450930933787E-3</v>
      </c>
      <c r="X26" s="2713">
        <f>ROUND(SUMPRODUCT(PRODUCT(1+N26:N$29)),4)</f>
        <v>1.0399</v>
      </c>
      <c r="Y26" s="2713">
        <f>ROUND(SUMPRODUCT(PRODUCT(1+O26:O$29)),4)</f>
        <v>1.0451999999999999</v>
      </c>
      <c r="Z26" s="2713">
        <f t="shared" si="0"/>
        <v>1.0451999999999999</v>
      </c>
      <c r="AA26" s="2713">
        <f>ROUND(SUMPRODUCT(PRODUCT(1+P26:P$29)),4)</f>
        <v>1.0387999999999999</v>
      </c>
      <c r="AB26" s="2713">
        <f>ROUND(SUMPRODUCT(PRODUCT(1+Q26:Q$29)),4)</f>
        <v>1.0411999999999999</v>
      </c>
      <c r="AD26" s="2633">
        <f>ROUND(AVERAGE(I26:I$30)/100,4)</f>
        <v>1.38E-2</v>
      </c>
      <c r="AE26" s="2633">
        <f>ROUND(AVERAGE(J26:J$30)/100,4)</f>
        <v>1.3599999999999999E-2</v>
      </c>
      <c r="AF26" s="2633">
        <f t="shared" si="1"/>
        <v>1.3599999999999999E-2</v>
      </c>
      <c r="AG26" s="2633">
        <f>ROUND(AVERAGE(K26:K$30)/100,4)</f>
        <v>1.4200000000000001E-2</v>
      </c>
      <c r="AH26" s="2633">
        <f>ROUND(AVERAGE(L26:L$30)/100,4)</f>
        <v>1.0800000000000001E-2</v>
      </c>
    </row>
    <row r="27" spans="1:34" ht="13.5" thickBot="1">
      <c r="A27" s="2615" t="s">
        <v>963</v>
      </c>
      <c r="B27" s="2642">
        <v>318</v>
      </c>
      <c r="C27" s="2642">
        <v>268</v>
      </c>
      <c r="D27" s="2642">
        <f t="shared" si="21"/>
        <v>268</v>
      </c>
      <c r="E27" s="2642">
        <v>437</v>
      </c>
      <c r="F27" s="2643">
        <v>237</v>
      </c>
      <c r="G27" s="3852">
        <v>2014</v>
      </c>
      <c r="H27" s="2634">
        <v>4</v>
      </c>
      <c r="I27" s="2634">
        <v>0.21</v>
      </c>
      <c r="J27" s="2634">
        <v>0.41</v>
      </c>
      <c r="K27" s="2634">
        <v>0.12</v>
      </c>
      <c r="L27" s="2635">
        <v>0.89</v>
      </c>
      <c r="N27" s="2623">
        <f t="shared" si="23"/>
        <v>2.0999999999999999E-3</v>
      </c>
      <c r="O27" s="2624">
        <f t="shared" si="19"/>
        <v>4.0999999999999995E-3</v>
      </c>
      <c r="P27" s="2624">
        <f t="shared" si="19"/>
        <v>1.1999999999999999E-3</v>
      </c>
      <c r="Q27" s="2624">
        <f t="shared" si="19"/>
        <v>8.8999999999999999E-3</v>
      </c>
      <c r="R27" s="2625"/>
      <c r="S27" s="2626"/>
      <c r="T27" s="2627"/>
      <c r="U27" s="2627"/>
      <c r="V27" s="2627"/>
      <c r="X27" s="2713">
        <f>ROUND(SUMPRODUCT(PRODUCT(1+N27:N$29)),4)</f>
        <v>1.0347</v>
      </c>
      <c r="Y27" s="2713">
        <f>ROUND(SUMPRODUCT(PRODUCT(1+O27:O$29)),4)</f>
        <v>1.0395000000000001</v>
      </c>
      <c r="Z27" s="2713">
        <f t="shared" si="0"/>
        <v>1.0395000000000001</v>
      </c>
      <c r="AA27" s="2713">
        <f>ROUND(SUMPRODUCT(PRODUCT(1+P27:P$29)),4)</f>
        <v>1.0338000000000001</v>
      </c>
      <c r="AB27" s="2713">
        <f>ROUND(SUMPRODUCT(PRODUCT(1+Q27:Q$29)),4)</f>
        <v>1.0316000000000001</v>
      </c>
      <c r="AD27" s="2633">
        <f>ROUND(AVERAGE(I27:I$30)/100,4)</f>
        <v>1.6E-2</v>
      </c>
      <c r="AE27" s="2633">
        <f>ROUND(AVERAGE(J27:J$30)/100,4)</f>
        <v>1.5599999999999999E-2</v>
      </c>
      <c r="AF27" s="2633">
        <f t="shared" si="1"/>
        <v>1.5599999999999999E-2</v>
      </c>
      <c r="AG27" s="2633">
        <f>ROUND(AVERAGE(K27:K$30)/100,4)</f>
        <v>1.66E-2</v>
      </c>
      <c r="AH27" s="2633">
        <f>ROUND(AVERAGE(L27:L$30)/100,4)</f>
        <v>1.12E-2</v>
      </c>
    </row>
    <row r="28" spans="1:34">
      <c r="A28" s="2615" t="s">
        <v>962</v>
      </c>
      <c r="B28" s="2628">
        <f t="shared" ref="B28:C30" si="26">B27/(1+N27)</f>
        <v>317.33359944117353</v>
      </c>
      <c r="C28" s="2628">
        <f t="shared" si="26"/>
        <v>266.90568668459315</v>
      </c>
      <c r="D28" s="2628">
        <f t="shared" si="21"/>
        <v>266.90568668459315</v>
      </c>
      <c r="E28" s="2628">
        <f t="shared" ref="E28:F30" si="27">E27/(1+P27)</f>
        <v>436.47622852576905</v>
      </c>
      <c r="F28" s="2628">
        <f t="shared" si="27"/>
        <v>234.90930716622066</v>
      </c>
      <c r="G28" s="3853"/>
      <c r="H28" s="2644">
        <v>3</v>
      </c>
      <c r="I28" s="2644">
        <v>0.83</v>
      </c>
      <c r="J28" s="2644">
        <v>1.47</v>
      </c>
      <c r="K28" s="2644">
        <v>0.65</v>
      </c>
      <c r="L28" s="2645">
        <v>0.72</v>
      </c>
      <c r="N28" s="2623">
        <f t="shared" si="23"/>
        <v>8.3000000000000001E-3</v>
      </c>
      <c r="O28" s="2624">
        <f t="shared" si="19"/>
        <v>1.47E-2</v>
      </c>
      <c r="P28" s="2624">
        <f t="shared" si="19"/>
        <v>6.5000000000000006E-3</v>
      </c>
      <c r="Q28" s="2624">
        <f t="shared" si="19"/>
        <v>7.1999999999999998E-3</v>
      </c>
      <c r="R28" s="2625"/>
      <c r="S28" s="2623"/>
      <c r="T28" s="2624"/>
      <c r="U28" s="2624"/>
      <c r="V28" s="2624"/>
      <c r="X28" s="2713">
        <f>ROUND(SUMPRODUCT(PRODUCT(1+N28:N$29)),4)</f>
        <v>1.0325</v>
      </c>
      <c r="Y28" s="2713">
        <f>ROUND(SUMPRODUCT(PRODUCT(1+O28:O$29)),4)</f>
        <v>1.0353000000000001</v>
      </c>
      <c r="Z28" s="2713">
        <f>Y28</f>
        <v>1.0353000000000001</v>
      </c>
      <c r="AA28" s="2713">
        <f>ROUND(SUMPRODUCT(PRODUCT(1+P28:P$29)),4)</f>
        <v>1.0326</v>
      </c>
      <c r="AB28" s="2713">
        <f>ROUND(SUMPRODUCT(PRODUCT(1+Q28:Q$29)),4)</f>
        <v>1.0225</v>
      </c>
      <c r="AD28" s="2633">
        <f>ROUND(AVERAGE(I28:I$30)/100,4)</f>
        <v>2.07E-2</v>
      </c>
      <c r="AE28" s="2633">
        <f>ROUND(AVERAGE(J28:J$30)/100,4)</f>
        <v>1.95E-2</v>
      </c>
      <c r="AF28" s="2633">
        <f t="shared" si="1"/>
        <v>1.95E-2</v>
      </c>
      <c r="AG28" s="2633">
        <f>ROUND(AVERAGE(K28:K$30)/100,4)</f>
        <v>2.1700000000000001E-2</v>
      </c>
      <c r="AH28" s="2633">
        <f>ROUND(AVERAGE(L28:L$30)/100,4)</f>
        <v>1.2E-2</v>
      </c>
    </row>
    <row r="29" spans="1:34" ht="13.5" thickBot="1">
      <c r="A29" s="2615" t="s">
        <v>961</v>
      </c>
      <c r="B29" s="2628">
        <f t="shared" si="26"/>
        <v>314.72141172386546</v>
      </c>
      <c r="C29" s="2628">
        <f t="shared" si="26"/>
        <v>263.03901319069001</v>
      </c>
      <c r="D29" s="2628">
        <f t="shared" si="21"/>
        <v>263.03901319069001</v>
      </c>
      <c r="E29" s="2628">
        <f t="shared" si="27"/>
        <v>433.65745506782821</v>
      </c>
      <c r="F29" s="2628">
        <f t="shared" si="27"/>
        <v>233.23005080045735</v>
      </c>
      <c r="G29" s="3853"/>
      <c r="H29" s="2634">
        <v>2</v>
      </c>
      <c r="I29" s="2634">
        <v>2.4</v>
      </c>
      <c r="J29" s="2634">
        <v>2.0299999999999998</v>
      </c>
      <c r="K29" s="2634">
        <v>2.59</v>
      </c>
      <c r="L29" s="2635">
        <v>1.52</v>
      </c>
      <c r="N29" s="2623">
        <f t="shared" si="23"/>
        <v>2.4E-2</v>
      </c>
      <c r="O29" s="2624">
        <f t="shared" si="19"/>
        <v>2.0299999999999999E-2</v>
      </c>
      <c r="P29" s="2624">
        <f t="shared" si="19"/>
        <v>2.5899999999999999E-2</v>
      </c>
      <c r="Q29" s="2624">
        <f t="shared" si="19"/>
        <v>1.52E-2</v>
      </c>
      <c r="R29" s="2625"/>
      <c r="S29" s="2623"/>
      <c r="T29" s="2624"/>
      <c r="U29" s="2624"/>
      <c r="V29" s="2624"/>
      <c r="X29" s="2713">
        <f>1+N29</f>
        <v>1.024</v>
      </c>
      <c r="Y29" s="2713">
        <f>1+O29</f>
        <v>1.0203</v>
      </c>
      <c r="Z29" s="2713">
        <f>Y29</f>
        <v>1.0203</v>
      </c>
      <c r="AA29" s="2713">
        <f>1+P29</f>
        <v>1.0259</v>
      </c>
      <c r="AB29" s="2713">
        <f>1+Q29</f>
        <v>1.0152000000000001</v>
      </c>
      <c r="AD29" s="2633">
        <f>ROUND(AVERAGE(I29:I$30)/100,4)</f>
        <v>2.69E-2</v>
      </c>
      <c r="AE29" s="2633">
        <f>ROUND(AVERAGE(J29:J$30)/100,4)</f>
        <v>2.1899999999999999E-2</v>
      </c>
      <c r="AF29" s="2633">
        <f>AE29</f>
        <v>2.1899999999999999E-2</v>
      </c>
      <c r="AG29" s="2633">
        <f>ROUND(AVERAGE(K29:K$30)/100,4)</f>
        <v>2.9399999999999999E-2</v>
      </c>
      <c r="AH29" s="2633">
        <f>ROUND(AVERAGE(L29:L$30)/100,4)</f>
        <v>1.44E-2</v>
      </c>
    </row>
    <row r="30" spans="1:34" s="2650" customFormat="1" ht="13.5" thickBot="1">
      <c r="A30" s="2646" t="s">
        <v>960</v>
      </c>
      <c r="B30" s="2647">
        <f t="shared" si="26"/>
        <v>307.34512863658733</v>
      </c>
      <c r="C30" s="2647">
        <f t="shared" si="26"/>
        <v>257.80556031626975</v>
      </c>
      <c r="D30" s="2647">
        <f t="shared" si="21"/>
        <v>257.80556031626975</v>
      </c>
      <c r="E30" s="2647">
        <f t="shared" si="27"/>
        <v>422.70928459677179</v>
      </c>
      <c r="F30" s="2647">
        <f t="shared" si="27"/>
        <v>229.73803270336617</v>
      </c>
      <c r="G30" s="3854"/>
      <c r="H30" s="2648">
        <v>1</v>
      </c>
      <c r="I30" s="2648">
        <v>2.97</v>
      </c>
      <c r="J30" s="2648">
        <v>2.34</v>
      </c>
      <c r="K30" s="2648">
        <v>3.28</v>
      </c>
      <c r="L30" s="2649">
        <v>1.36</v>
      </c>
      <c r="N30" s="2651">
        <f t="shared" si="23"/>
        <v>2.9700000000000001E-2</v>
      </c>
      <c r="O30" s="2652">
        <f t="shared" si="19"/>
        <v>2.3399999999999997E-2</v>
      </c>
      <c r="P30" s="2652">
        <f t="shared" si="19"/>
        <v>3.2799999999999996E-2</v>
      </c>
      <c r="Q30" s="2652">
        <f t="shared" si="19"/>
        <v>1.3600000000000001E-2</v>
      </c>
      <c r="R30" s="2653"/>
      <c r="S30" s="2654">
        <f>B30/B31-1</f>
        <v>2.7910129219355539E-2</v>
      </c>
      <c r="T30" s="2655">
        <f>C30/C31-1</f>
        <v>2.3037937762975247E-2</v>
      </c>
      <c r="U30" s="2655">
        <f>E30/E31-1</f>
        <v>3.3519033243940788E-2</v>
      </c>
      <c r="V30" s="2655">
        <f>F30/F31-1</f>
        <v>1.2061818076502862E-2</v>
      </c>
      <c r="W30" s="2722" t="s">
        <v>2636</v>
      </c>
      <c r="X30" s="2724">
        <v>1</v>
      </c>
      <c r="Y30" s="2724">
        <v>1</v>
      </c>
      <c r="Z30" s="2724">
        <v>1</v>
      </c>
      <c r="AA30" s="2724">
        <v>1</v>
      </c>
      <c r="AB30" s="2724">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5" t="s">
        <v>2579</v>
      </c>
      <c r="B31" s="2620">
        <v>299</v>
      </c>
      <c r="C31" s="2620">
        <v>252</v>
      </c>
      <c r="D31" s="2620">
        <f t="shared" si="21"/>
        <v>252</v>
      </c>
      <c r="E31" s="2620">
        <v>409</v>
      </c>
      <c r="F31" s="2621">
        <v>227</v>
      </c>
      <c r="G31" s="3855">
        <v>2013</v>
      </c>
      <c r="H31" s="2656">
        <v>4</v>
      </c>
      <c r="I31" s="2656">
        <v>1.83</v>
      </c>
      <c r="J31" s="2656">
        <v>1.68</v>
      </c>
      <c r="K31" s="2656">
        <v>1.97</v>
      </c>
      <c r="L31" s="2657">
        <v>0.87</v>
      </c>
      <c r="N31" s="2636">
        <f t="shared" si="23"/>
        <v>1.83E-2</v>
      </c>
      <c r="O31" s="2637">
        <f t="shared" si="19"/>
        <v>1.6799999999999999E-2</v>
      </c>
      <c r="P31" s="2637">
        <f t="shared" si="19"/>
        <v>1.9699999999999999E-2</v>
      </c>
      <c r="Q31" s="2637">
        <f t="shared" si="19"/>
        <v>8.6999999999999994E-3</v>
      </c>
      <c r="R31" s="2625"/>
      <c r="S31" s="2626"/>
      <c r="T31" s="2627"/>
      <c r="U31" s="2627"/>
      <c r="V31" s="2627"/>
      <c r="X31" s="2627"/>
      <c r="Y31" s="2627"/>
      <c r="Z31" s="2627"/>
    </row>
    <row r="32" spans="1:34">
      <c r="A32" s="2615" t="s">
        <v>2580</v>
      </c>
      <c r="B32" s="2628">
        <f t="shared" ref="B32:C34" si="28">B31/(1+N31)</f>
        <v>293.62663262299913</v>
      </c>
      <c r="C32" s="2628">
        <f t="shared" si="28"/>
        <v>247.83634933123525</v>
      </c>
      <c r="D32" s="2628">
        <f t="shared" si="21"/>
        <v>247.83634933123525</v>
      </c>
      <c r="E32" s="2628">
        <f t="shared" ref="E32:F34" si="29">E31/(1+P31)</f>
        <v>401.09836226341076</v>
      </c>
      <c r="F32" s="2628">
        <f t="shared" si="29"/>
        <v>225.04213343908003</v>
      </c>
      <c r="G32" s="3856"/>
      <c r="H32" s="2639">
        <v>3</v>
      </c>
      <c r="I32" s="2639">
        <v>1.86</v>
      </c>
      <c r="J32" s="2639">
        <v>1.72</v>
      </c>
      <c r="K32" s="2639">
        <v>1.98</v>
      </c>
      <c r="L32" s="2640">
        <v>0.88</v>
      </c>
      <c r="N32" s="2623">
        <f t="shared" si="23"/>
        <v>1.8600000000000002E-2</v>
      </c>
      <c r="O32" s="2641">
        <f t="shared" si="19"/>
        <v>1.72E-2</v>
      </c>
      <c r="P32" s="2641">
        <f t="shared" si="19"/>
        <v>1.9799999999999998E-2</v>
      </c>
      <c r="Q32" s="2641">
        <f t="shared" si="19"/>
        <v>8.8000000000000005E-3</v>
      </c>
      <c r="R32" s="2625"/>
      <c r="S32" s="2623"/>
      <c r="T32" s="2624"/>
      <c r="U32" s="2624"/>
      <c r="V32" s="2624"/>
    </row>
    <row r="33" spans="1:26">
      <c r="A33" s="2615" t="s">
        <v>2581</v>
      </c>
      <c r="B33" s="2628">
        <f t="shared" si="28"/>
        <v>288.2649053828776</v>
      </c>
      <c r="C33" s="2628">
        <f t="shared" si="28"/>
        <v>243.64564425013293</v>
      </c>
      <c r="D33" s="2628">
        <f t="shared" si="21"/>
        <v>243.64564425013293</v>
      </c>
      <c r="E33" s="2628">
        <f t="shared" si="29"/>
        <v>393.31080825986544</v>
      </c>
      <c r="F33" s="2628">
        <f t="shared" si="29"/>
        <v>223.07903790551154</v>
      </c>
      <c r="G33" s="3856"/>
      <c r="H33" s="2619">
        <v>2</v>
      </c>
      <c r="I33" s="2619">
        <v>2.04</v>
      </c>
      <c r="J33" s="2619">
        <v>2.33</v>
      </c>
      <c r="K33" s="2619">
        <v>2.0699999999999998</v>
      </c>
      <c r="L33" s="2630">
        <v>0.69</v>
      </c>
      <c r="N33" s="2623">
        <f t="shared" si="23"/>
        <v>2.0400000000000001E-2</v>
      </c>
      <c r="O33" s="2641">
        <f t="shared" si="19"/>
        <v>2.3300000000000001E-2</v>
      </c>
      <c r="P33" s="2641">
        <f t="shared" si="19"/>
        <v>2.07E-2</v>
      </c>
      <c r="Q33" s="2641">
        <f t="shared" si="19"/>
        <v>6.8999999999999999E-3</v>
      </c>
      <c r="R33" s="2625"/>
      <c r="S33" s="2623"/>
      <c r="T33" s="2624"/>
      <c r="U33" s="2624"/>
      <c r="V33" s="2624"/>
      <c r="X33" s="2725"/>
      <c r="Y33" s="2727"/>
    </row>
    <row r="34" spans="1:26">
      <c r="A34" s="2615" t="s">
        <v>2582</v>
      </c>
      <c r="B34" s="2628">
        <f t="shared" si="28"/>
        <v>282.50186729015837</v>
      </c>
      <c r="C34" s="2628">
        <f t="shared" si="28"/>
        <v>238.09796174155468</v>
      </c>
      <c r="D34" s="2628">
        <f t="shared" si="21"/>
        <v>238.09796174155468</v>
      </c>
      <c r="E34" s="2628">
        <f t="shared" si="29"/>
        <v>385.33438646014054</v>
      </c>
      <c r="F34" s="2628">
        <f t="shared" si="29"/>
        <v>221.55034055567739</v>
      </c>
      <c r="G34" s="3857"/>
      <c r="H34" s="2618">
        <v>1</v>
      </c>
      <c r="I34" s="2618">
        <v>1.67</v>
      </c>
      <c r="J34" s="2618">
        <v>1.31</v>
      </c>
      <c r="K34" s="2618">
        <v>1.85</v>
      </c>
      <c r="L34" s="2629">
        <v>0.96</v>
      </c>
      <c r="N34" s="2631">
        <f t="shared" si="23"/>
        <v>1.67E-2</v>
      </c>
      <c r="O34" s="2632">
        <f t="shared" si="19"/>
        <v>1.3100000000000001E-2</v>
      </c>
      <c r="P34" s="2632">
        <f t="shared" si="19"/>
        <v>1.8500000000000003E-2</v>
      </c>
      <c r="Q34" s="2632">
        <f t="shared" si="19"/>
        <v>9.5999999999999992E-3</v>
      </c>
      <c r="R34" s="2625"/>
      <c r="S34" s="2631">
        <f>B34/B35-1</f>
        <v>1.6193767230785472E-2</v>
      </c>
      <c r="T34" s="2632">
        <f>C34/C35-1</f>
        <v>1.7512657015190891E-2</v>
      </c>
      <c r="U34" s="2632">
        <f>E34/E35-1</f>
        <v>1.6713420739157048E-2</v>
      </c>
      <c r="V34" s="2632">
        <f>F34/F35-1</f>
        <v>7.0470025258062563E-3</v>
      </c>
      <c r="X34" s="2726"/>
      <c r="Y34" s="2633"/>
      <c r="Z34" s="2633"/>
    </row>
    <row r="35" spans="1:26" ht="13.5" thickBot="1">
      <c r="A35" s="2615" t="s">
        <v>2583</v>
      </c>
      <c r="B35" s="2658">
        <v>278</v>
      </c>
      <c r="C35" s="2658">
        <v>234</v>
      </c>
      <c r="D35" s="2658">
        <f t="shared" si="21"/>
        <v>234</v>
      </c>
      <c r="E35" s="2658">
        <v>379</v>
      </c>
      <c r="F35" s="2659">
        <v>220</v>
      </c>
      <c r="G35" s="3852">
        <v>2012</v>
      </c>
      <c r="H35" s="2634">
        <v>4</v>
      </c>
      <c r="I35" s="2634">
        <v>0.91</v>
      </c>
      <c r="J35" s="2634">
        <v>0.68</v>
      </c>
      <c r="K35" s="2634">
        <v>0.98</v>
      </c>
      <c r="L35" s="2635">
        <v>0.9</v>
      </c>
      <c r="N35" s="2623">
        <f t="shared" si="23"/>
        <v>9.1000000000000004E-3</v>
      </c>
      <c r="O35" s="2624">
        <f t="shared" si="23"/>
        <v>6.8000000000000005E-3</v>
      </c>
      <c r="P35" s="2624">
        <f t="shared" si="23"/>
        <v>9.7999999999999997E-3</v>
      </c>
      <c r="Q35" s="2624">
        <f t="shared" si="23"/>
        <v>9.0000000000000011E-3</v>
      </c>
      <c r="R35" s="2625"/>
      <c r="S35" s="2626"/>
      <c r="T35" s="2627"/>
      <c r="U35" s="2627"/>
      <c r="V35" s="2627"/>
      <c r="X35" s="2627"/>
      <c r="Y35" s="2627"/>
      <c r="Z35" s="2627"/>
    </row>
    <row r="36" spans="1:26">
      <c r="A36" s="2615" t="s">
        <v>2584</v>
      </c>
      <c r="B36" s="2628">
        <f>B35/(1+N35)</f>
        <v>275.49301357645425</v>
      </c>
      <c r="C36" s="2628">
        <f>C35/(1+O35)</f>
        <v>232.41954707985698</v>
      </c>
      <c r="D36" s="2628">
        <f t="shared" si="21"/>
        <v>232.41954707985698</v>
      </c>
      <c r="E36" s="2628">
        <f t="shared" ref="E36:F38" si="30">E35/(1+P35)</f>
        <v>375.32184591008121</v>
      </c>
      <c r="F36" s="2628">
        <f t="shared" si="30"/>
        <v>218.03766105054513</v>
      </c>
      <c r="G36" s="3853"/>
      <c r="H36" s="2639">
        <v>3</v>
      </c>
      <c r="I36" s="2639">
        <v>0.09</v>
      </c>
      <c r="J36" s="2639">
        <v>0.28999999999999998</v>
      </c>
      <c r="K36" s="2639">
        <v>-0.01</v>
      </c>
      <c r="L36" s="2640">
        <v>0.57999999999999996</v>
      </c>
      <c r="N36" s="2623">
        <f t="shared" si="23"/>
        <v>8.9999999999999998E-4</v>
      </c>
      <c r="O36" s="2624">
        <f t="shared" si="23"/>
        <v>2.8999999999999998E-3</v>
      </c>
      <c r="P36" s="2624">
        <f t="shared" si="23"/>
        <v>-1E-4</v>
      </c>
      <c r="Q36" s="2624">
        <f t="shared" si="23"/>
        <v>5.7999999999999996E-3</v>
      </c>
      <c r="R36" s="2625"/>
      <c r="S36" s="2623"/>
      <c r="T36" s="2624"/>
      <c r="U36" s="2624"/>
      <c r="V36" s="2624"/>
    </row>
    <row r="37" spans="1:26">
      <c r="A37" s="2615" t="s">
        <v>2585</v>
      </c>
      <c r="B37" s="2628">
        <f>B36/(1+N36)</f>
        <v>275.24529281292263</v>
      </c>
      <c r="C37" s="2628">
        <f>C36/(1+O36)</f>
        <v>231.74747938962707</v>
      </c>
      <c r="D37" s="2628">
        <f t="shared" si="21"/>
        <v>231.74747938962707</v>
      </c>
      <c r="E37" s="2628">
        <f t="shared" si="30"/>
        <v>375.35938184826603</v>
      </c>
      <c r="F37" s="2628">
        <f t="shared" si="30"/>
        <v>216.78033510692495</v>
      </c>
      <c r="G37" s="3853"/>
      <c r="H37" s="2619">
        <v>2</v>
      </c>
      <c r="I37" s="2619">
        <v>0.02</v>
      </c>
      <c r="J37" s="2619">
        <v>0.12</v>
      </c>
      <c r="K37" s="2619">
        <v>-0.08</v>
      </c>
      <c r="L37" s="2630">
        <v>1.24</v>
      </c>
      <c r="N37" s="2623">
        <f t="shared" si="23"/>
        <v>2.0000000000000001E-4</v>
      </c>
      <c r="O37" s="2624">
        <f t="shared" si="23"/>
        <v>1.1999999999999999E-3</v>
      </c>
      <c r="P37" s="2624">
        <f t="shared" si="23"/>
        <v>-8.0000000000000004E-4</v>
      </c>
      <c r="Q37" s="2624">
        <f t="shared" si="23"/>
        <v>1.24E-2</v>
      </c>
      <c r="R37" s="2625"/>
      <c r="S37" s="2623"/>
      <c r="T37" s="2624"/>
      <c r="U37" s="2624"/>
      <c r="V37" s="2624"/>
    </row>
    <row r="38" spans="1:26" ht="13.5" thickBot="1">
      <c r="A38" s="2615" t="s">
        <v>2586</v>
      </c>
      <c r="B38" s="2628">
        <f>B37/(1+N37)</f>
        <v>275.19025476197027</v>
      </c>
      <c r="C38" s="2660">
        <v>232</v>
      </c>
      <c r="D38" s="2660">
        <f t="shared" si="21"/>
        <v>232</v>
      </c>
      <c r="E38" s="2628">
        <f t="shared" si="30"/>
        <v>375.65990977608692</v>
      </c>
      <c r="F38" s="2628">
        <f t="shared" si="30"/>
        <v>214.12518283971252</v>
      </c>
      <c r="G38" s="3854"/>
      <c r="H38" s="2618">
        <v>1</v>
      </c>
      <c r="I38" s="2618">
        <v>0.02</v>
      </c>
      <c r="J38" s="2618">
        <v>0.13</v>
      </c>
      <c r="K38" s="2618">
        <v>-0.04</v>
      </c>
      <c r="L38" s="2629">
        <v>0.46</v>
      </c>
      <c r="N38" s="2623">
        <f t="shared" si="23"/>
        <v>2.0000000000000001E-4</v>
      </c>
      <c r="O38" s="2624">
        <f t="shared" si="23"/>
        <v>1.2999999999999999E-3</v>
      </c>
      <c r="P38" s="2624">
        <f t="shared" si="23"/>
        <v>-4.0000000000000002E-4</v>
      </c>
      <c r="Q38" s="2624">
        <f t="shared" si="23"/>
        <v>4.5999999999999999E-3</v>
      </c>
      <c r="R38" s="2625"/>
      <c r="S38" s="2631">
        <f>B38/B39-1</f>
        <v>6.9183549807361189E-4</v>
      </c>
      <c r="T38" s="2632">
        <f>C38/C39-1</f>
        <v>0</v>
      </c>
      <c r="U38" s="2632">
        <f>E38/E39-1</f>
        <v>-9.0449527636460303E-4</v>
      </c>
      <c r="V38" s="2632">
        <f>F38/F39-1</f>
        <v>5.2825485432512753E-3</v>
      </c>
      <c r="X38" s="2633"/>
      <c r="Y38" s="2633"/>
      <c r="Z38" s="2633"/>
    </row>
    <row r="39" spans="1:26" ht="13.5" thickBot="1">
      <c r="A39" s="2615" t="s">
        <v>2587</v>
      </c>
      <c r="B39" s="2620">
        <v>275</v>
      </c>
      <c r="C39" s="2620">
        <v>232</v>
      </c>
      <c r="D39" s="2620">
        <f t="shared" si="21"/>
        <v>232</v>
      </c>
      <c r="E39" s="2620">
        <v>376</v>
      </c>
      <c r="F39" s="2621">
        <v>213</v>
      </c>
      <c r="G39" s="3852">
        <v>2011</v>
      </c>
      <c r="H39" s="2634">
        <v>4</v>
      </c>
      <c r="I39" s="2634">
        <v>-0.2</v>
      </c>
      <c r="J39" s="2634">
        <v>0.04</v>
      </c>
      <c r="K39" s="2634">
        <v>-0.34</v>
      </c>
      <c r="L39" s="2635">
        <v>0.46</v>
      </c>
      <c r="N39" s="2636">
        <f t="shared" si="23"/>
        <v>-2E-3</v>
      </c>
      <c r="O39" s="2637">
        <f t="shared" si="23"/>
        <v>4.0000000000000002E-4</v>
      </c>
      <c r="P39" s="2637">
        <f t="shared" si="23"/>
        <v>-3.4000000000000002E-3</v>
      </c>
      <c r="Q39" s="2637">
        <f t="shared" si="23"/>
        <v>4.5999999999999999E-3</v>
      </c>
      <c r="R39" s="2625"/>
      <c r="S39" s="2626"/>
      <c r="T39" s="2627"/>
      <c r="U39" s="2627"/>
      <c r="V39" s="2627"/>
      <c r="X39" s="2627"/>
      <c r="Y39" s="2627"/>
      <c r="Z39" s="2627"/>
    </row>
    <row r="40" spans="1:26">
      <c r="A40" s="2615" t="s">
        <v>2588</v>
      </c>
      <c r="B40" s="2628">
        <f t="shared" ref="B40:C42" si="31">B39/(1+N39)</f>
        <v>275.55110220440883</v>
      </c>
      <c r="C40" s="2628">
        <f t="shared" si="31"/>
        <v>231.90723710515795</v>
      </c>
      <c r="D40" s="2628">
        <f t="shared" si="21"/>
        <v>231.90723710515795</v>
      </c>
      <c r="E40" s="2628">
        <f t="shared" ref="E40:F42" si="32">E39/(1+P39)</f>
        <v>377.28276138872161</v>
      </c>
      <c r="F40" s="2628">
        <f t="shared" si="32"/>
        <v>212.02468644236512</v>
      </c>
      <c r="G40" s="3853">
        <v>2011</v>
      </c>
      <c r="H40" s="2639">
        <v>3</v>
      </c>
      <c r="I40" s="2639">
        <v>0.13</v>
      </c>
      <c r="J40" s="2639">
        <v>0.75</v>
      </c>
      <c r="K40" s="2639">
        <v>-0.08</v>
      </c>
      <c r="L40" s="2640">
        <v>0.53</v>
      </c>
      <c r="N40" s="2623">
        <f t="shared" si="23"/>
        <v>1.2999999999999999E-3</v>
      </c>
      <c r="O40" s="2641">
        <f t="shared" si="23"/>
        <v>7.4999999999999997E-3</v>
      </c>
      <c r="P40" s="2641">
        <f t="shared" si="23"/>
        <v>-8.0000000000000004E-4</v>
      </c>
      <c r="Q40" s="2641">
        <f t="shared" si="23"/>
        <v>5.3E-3</v>
      </c>
      <c r="R40" s="2625"/>
      <c r="S40" s="2623"/>
      <c r="T40" s="2624"/>
      <c r="U40" s="2624"/>
      <c r="V40" s="2624"/>
    </row>
    <row r="41" spans="1:26">
      <c r="A41" s="2615" t="s">
        <v>2589</v>
      </c>
      <c r="B41" s="2628">
        <f t="shared" si="31"/>
        <v>275.19335084830601</v>
      </c>
      <c r="C41" s="2628">
        <f t="shared" si="31"/>
        <v>230.18088050139744</v>
      </c>
      <c r="D41" s="2628">
        <f t="shared" si="21"/>
        <v>230.18088050139744</v>
      </c>
      <c r="E41" s="2628">
        <f t="shared" si="32"/>
        <v>377.58482925212331</v>
      </c>
      <c r="F41" s="2628">
        <f t="shared" si="32"/>
        <v>210.90687997847917</v>
      </c>
      <c r="G41" s="3853">
        <v>2011</v>
      </c>
      <c r="H41" s="2619">
        <v>2</v>
      </c>
      <c r="I41" s="2619">
        <v>-0.4</v>
      </c>
      <c r="J41" s="2619">
        <v>0.17</v>
      </c>
      <c r="K41" s="2619">
        <v>-0.57999999999999996</v>
      </c>
      <c r="L41" s="2630">
        <v>-0.2</v>
      </c>
      <c r="N41" s="2623">
        <f t="shared" si="23"/>
        <v>-4.0000000000000001E-3</v>
      </c>
      <c r="O41" s="2641">
        <f t="shared" si="23"/>
        <v>1.7000000000000001E-3</v>
      </c>
      <c r="P41" s="2641">
        <f t="shared" si="23"/>
        <v>-5.7999999999999996E-3</v>
      </c>
      <c r="Q41" s="2641">
        <f t="shared" si="23"/>
        <v>-2E-3</v>
      </c>
      <c r="R41" s="2625"/>
      <c r="S41" s="2623"/>
      <c r="T41" s="2624"/>
      <c r="U41" s="2624"/>
      <c r="V41" s="2624"/>
    </row>
    <row r="42" spans="1:26" ht="13.5" thickBot="1">
      <c r="A42" s="2615" t="s">
        <v>2590</v>
      </c>
      <c r="B42" s="2628">
        <f t="shared" si="31"/>
        <v>276.29854502841971</v>
      </c>
      <c r="C42" s="2628">
        <f t="shared" si="31"/>
        <v>229.79023709833027</v>
      </c>
      <c r="D42" s="2628">
        <f t="shared" si="21"/>
        <v>229.79023709833027</v>
      </c>
      <c r="E42" s="2628">
        <f t="shared" si="32"/>
        <v>379.78759731655936</v>
      </c>
      <c r="F42" s="2628">
        <f t="shared" si="32"/>
        <v>211.32953905659235</v>
      </c>
      <c r="G42" s="3854">
        <v>2011</v>
      </c>
      <c r="H42" s="2618">
        <v>1</v>
      </c>
      <c r="I42" s="2618">
        <v>2.65</v>
      </c>
      <c r="J42" s="2618">
        <v>3.76</v>
      </c>
      <c r="K42" s="2618">
        <v>1.89</v>
      </c>
      <c r="L42" s="2629">
        <v>7.95</v>
      </c>
      <c r="N42" s="2631">
        <f t="shared" si="23"/>
        <v>2.6499999999999999E-2</v>
      </c>
      <c r="O42" s="2632">
        <f t="shared" si="23"/>
        <v>3.7599999999999995E-2</v>
      </c>
      <c r="P42" s="2632">
        <f t="shared" si="23"/>
        <v>1.89E-2</v>
      </c>
      <c r="Q42" s="2632">
        <f t="shared" si="23"/>
        <v>7.9500000000000001E-2</v>
      </c>
      <c r="R42" s="2625"/>
      <c r="S42" s="2631">
        <f>B42/B43-1</f>
        <v>2.713213765211786E-2</v>
      </c>
      <c r="T42" s="2632">
        <f>C42/C43-1</f>
        <v>3.9774828499231862E-2</v>
      </c>
      <c r="U42" s="2632">
        <f>E42/E43-1</f>
        <v>1.8197311840641772E-2</v>
      </c>
      <c r="V42" s="2632">
        <f>F42/F43-1</f>
        <v>7.8211933962205826E-2</v>
      </c>
      <c r="X42" s="2633"/>
      <c r="Y42" s="2633"/>
      <c r="Z42" s="2633"/>
    </row>
    <row r="43" spans="1:26" ht="13.5" thickBot="1">
      <c r="A43" s="2615" t="s">
        <v>2591</v>
      </c>
      <c r="B43" s="2620">
        <v>269</v>
      </c>
      <c r="C43" s="2620">
        <v>221</v>
      </c>
      <c r="D43" s="2620">
        <f t="shared" si="21"/>
        <v>221</v>
      </c>
      <c r="E43" s="2620">
        <v>373</v>
      </c>
      <c r="F43" s="2621">
        <v>196</v>
      </c>
      <c r="G43" s="3852">
        <v>2010</v>
      </c>
      <c r="H43" s="2634">
        <v>4</v>
      </c>
      <c r="I43" s="2634">
        <v>5.72</v>
      </c>
      <c r="J43" s="2634">
        <v>6.57</v>
      </c>
      <c r="K43" s="2634">
        <v>5.72</v>
      </c>
      <c r="L43" s="2635">
        <v>2.72</v>
      </c>
      <c r="N43" s="2623">
        <f t="shared" si="23"/>
        <v>5.7200000000000001E-2</v>
      </c>
      <c r="O43" s="2624">
        <f t="shared" si="23"/>
        <v>6.5700000000000008E-2</v>
      </c>
      <c r="P43" s="2624">
        <f t="shared" si="23"/>
        <v>5.7200000000000001E-2</v>
      </c>
      <c r="Q43" s="2624">
        <f t="shared" si="23"/>
        <v>2.7200000000000002E-2</v>
      </c>
      <c r="R43" s="2625"/>
      <c r="S43" s="2626"/>
      <c r="T43" s="2627"/>
      <c r="U43" s="2627"/>
      <c r="V43" s="2627"/>
      <c r="X43" s="2627"/>
      <c r="Y43" s="2627"/>
      <c r="Z43" s="2627"/>
    </row>
    <row r="44" spans="1:26">
      <c r="A44" s="2615" t="s">
        <v>2592</v>
      </c>
      <c r="B44" s="2628">
        <f t="shared" ref="B44:C46" si="33">B43/(1+N43)</f>
        <v>254.44570563753314</v>
      </c>
      <c r="C44" s="2628">
        <f t="shared" si="33"/>
        <v>207.37543398705074</v>
      </c>
      <c r="D44" s="2628">
        <f t="shared" si="21"/>
        <v>207.37543398705074</v>
      </c>
      <c r="E44" s="2628">
        <f t="shared" ref="E44:F46" si="34">E43/(1+P43)</f>
        <v>352.81876655315932</v>
      </c>
      <c r="F44" s="2628">
        <f t="shared" si="34"/>
        <v>190.809968847352</v>
      </c>
      <c r="G44" s="3853">
        <v>2010</v>
      </c>
      <c r="H44" s="2639">
        <v>3</v>
      </c>
      <c r="I44" s="2639">
        <v>4.7300000000000004</v>
      </c>
      <c r="J44" s="2639">
        <v>3.9</v>
      </c>
      <c r="K44" s="2639">
        <v>5.03</v>
      </c>
      <c r="L44" s="2640">
        <v>4.21</v>
      </c>
      <c r="N44" s="2623">
        <f t="shared" si="23"/>
        <v>4.7300000000000002E-2</v>
      </c>
      <c r="O44" s="2624">
        <f t="shared" si="23"/>
        <v>3.9E-2</v>
      </c>
      <c r="P44" s="2624">
        <f t="shared" si="23"/>
        <v>5.0300000000000004E-2</v>
      </c>
      <c r="Q44" s="2624">
        <f t="shared" si="23"/>
        <v>4.2099999999999999E-2</v>
      </c>
      <c r="R44" s="2625"/>
      <c r="S44" s="2623"/>
      <c r="T44" s="2624"/>
      <c r="U44" s="2624"/>
      <c r="V44" s="2624"/>
    </row>
    <row r="45" spans="1:26">
      <c r="A45" s="2615" t="s">
        <v>2593</v>
      </c>
      <c r="B45" s="2628">
        <f t="shared" si="33"/>
        <v>242.95398227588385</v>
      </c>
      <c r="C45" s="2628">
        <f t="shared" si="33"/>
        <v>199.59137053614126</v>
      </c>
      <c r="D45" s="2628">
        <f t="shared" si="21"/>
        <v>199.59137053614126</v>
      </c>
      <c r="E45" s="2628">
        <f t="shared" si="34"/>
        <v>335.92189522342125</v>
      </c>
      <c r="F45" s="2628">
        <f t="shared" si="34"/>
        <v>183.10139991109489</v>
      </c>
      <c r="G45" s="3853">
        <v>2010</v>
      </c>
      <c r="H45" s="2619">
        <v>2</v>
      </c>
      <c r="I45" s="2619">
        <v>4.6900000000000004</v>
      </c>
      <c r="J45" s="2619">
        <v>3.55</v>
      </c>
      <c r="K45" s="2619">
        <v>5.07</v>
      </c>
      <c r="L45" s="2630">
        <v>4.2300000000000004</v>
      </c>
      <c r="N45" s="2623">
        <f t="shared" si="23"/>
        <v>4.6900000000000004E-2</v>
      </c>
      <c r="O45" s="2624">
        <f t="shared" si="23"/>
        <v>3.5499999999999997E-2</v>
      </c>
      <c r="P45" s="2624">
        <f t="shared" si="23"/>
        <v>5.0700000000000002E-2</v>
      </c>
      <c r="Q45" s="2624">
        <f t="shared" si="23"/>
        <v>4.2300000000000004E-2</v>
      </c>
      <c r="R45" s="2625"/>
      <c r="S45" s="2623"/>
      <c r="T45" s="2624"/>
      <c r="U45" s="2624"/>
      <c r="V45" s="2624"/>
    </row>
    <row r="46" spans="1:26" ht="13.5" thickBot="1">
      <c r="A46" s="2615" t="s">
        <v>2594</v>
      </c>
      <c r="B46" s="2628">
        <f t="shared" si="33"/>
        <v>232.06990378821649</v>
      </c>
      <c r="C46" s="2628">
        <f t="shared" si="33"/>
        <v>192.74878854286936</v>
      </c>
      <c r="D46" s="2628">
        <f t="shared" si="21"/>
        <v>192.74878854286936</v>
      </c>
      <c r="E46" s="2628">
        <f t="shared" si="34"/>
        <v>319.71247284992984</v>
      </c>
      <c r="F46" s="2628">
        <f t="shared" si="34"/>
        <v>175.67053622862409</v>
      </c>
      <c r="G46" s="3854">
        <v>2010</v>
      </c>
      <c r="H46" s="2618">
        <v>1</v>
      </c>
      <c r="I46" s="2618">
        <v>5.4</v>
      </c>
      <c r="J46" s="2618">
        <v>3.2</v>
      </c>
      <c r="K46" s="2618">
        <v>6.16</v>
      </c>
      <c r="L46" s="2629">
        <v>4.51</v>
      </c>
      <c r="N46" s="2623">
        <f t="shared" si="23"/>
        <v>5.4000000000000006E-2</v>
      </c>
      <c r="O46" s="2624">
        <f t="shared" si="23"/>
        <v>3.2000000000000001E-2</v>
      </c>
      <c r="P46" s="2624">
        <f t="shared" si="23"/>
        <v>6.1600000000000002E-2</v>
      </c>
      <c r="Q46" s="2624">
        <f t="shared" si="23"/>
        <v>4.5100000000000001E-2</v>
      </c>
      <c r="R46" s="2625"/>
      <c r="S46" s="2631">
        <f>B46/B47-1</f>
        <v>5.4863199037347599E-2</v>
      </c>
      <c r="T46" s="2632">
        <f>C46/C47-1</f>
        <v>3.0742184721226584E-2</v>
      </c>
      <c r="U46" s="2632">
        <f>E46/E47-1</f>
        <v>6.2167683886810154E-2</v>
      </c>
      <c r="V46" s="2632">
        <f>F46/F47-1</f>
        <v>4.5657953741810031E-2</v>
      </c>
      <c r="X46" s="2633"/>
      <c r="Y46" s="2633"/>
      <c r="Z46" s="2633"/>
    </row>
    <row r="47" spans="1:26" ht="13.5" thickBot="1">
      <c r="A47" s="2615" t="s">
        <v>2595</v>
      </c>
      <c r="B47" s="2620">
        <v>220</v>
      </c>
      <c r="C47" s="2620">
        <v>187</v>
      </c>
      <c r="D47" s="2620">
        <f t="shared" si="21"/>
        <v>187</v>
      </c>
      <c r="E47" s="2620">
        <v>301</v>
      </c>
      <c r="F47" s="2621">
        <v>168</v>
      </c>
      <c r="G47" s="3852">
        <v>2009</v>
      </c>
      <c r="H47" s="2634">
        <v>4</v>
      </c>
      <c r="I47" s="2634">
        <v>2.2999999999999998</v>
      </c>
      <c r="J47" s="2634">
        <v>1.04</v>
      </c>
      <c r="K47" s="2634">
        <v>2.84</v>
      </c>
      <c r="L47" s="2635">
        <v>0.67</v>
      </c>
      <c r="N47" s="2636">
        <f t="shared" si="23"/>
        <v>2.3E-2</v>
      </c>
      <c r="O47" s="2637">
        <f t="shared" si="23"/>
        <v>1.04E-2</v>
      </c>
      <c r="P47" s="2637">
        <f t="shared" si="23"/>
        <v>2.8399999999999998E-2</v>
      </c>
      <c r="Q47" s="2637">
        <f t="shared" si="23"/>
        <v>6.7000000000000002E-3</v>
      </c>
      <c r="R47" s="2625"/>
      <c r="S47" s="2626"/>
      <c r="T47" s="2627"/>
      <c r="U47" s="2627"/>
      <c r="V47" s="2627"/>
      <c r="X47" s="2627"/>
      <c r="Y47" s="2627"/>
      <c r="Z47" s="2627"/>
    </row>
    <row r="48" spans="1:26">
      <c r="A48" s="2615" t="s">
        <v>2596</v>
      </c>
      <c r="B48" s="2628">
        <f t="shared" ref="B48:C50" si="35">B47/(1+N47)</f>
        <v>215.05376344086022</v>
      </c>
      <c r="C48" s="2628">
        <f t="shared" si="35"/>
        <v>185.0752177355503</v>
      </c>
      <c r="D48" s="2628">
        <f t="shared" si="21"/>
        <v>185.0752177355503</v>
      </c>
      <c r="E48" s="2628">
        <f t="shared" ref="E48:F50" si="36">E47/(1+P47)</f>
        <v>292.68767016725008</v>
      </c>
      <c r="F48" s="2628">
        <f t="shared" si="36"/>
        <v>166.88189132810174</v>
      </c>
      <c r="G48" s="3853">
        <v>2009</v>
      </c>
      <c r="H48" s="2639">
        <v>3</v>
      </c>
      <c r="I48" s="2639">
        <v>2.1</v>
      </c>
      <c r="J48" s="2639">
        <v>1.86</v>
      </c>
      <c r="K48" s="2639">
        <v>2.29</v>
      </c>
      <c r="L48" s="2640">
        <v>0.85</v>
      </c>
      <c r="N48" s="2623">
        <f t="shared" si="23"/>
        <v>2.1000000000000001E-2</v>
      </c>
      <c r="O48" s="2641">
        <f t="shared" si="23"/>
        <v>1.8600000000000002E-2</v>
      </c>
      <c r="P48" s="2641">
        <f t="shared" si="23"/>
        <v>2.29E-2</v>
      </c>
      <c r="Q48" s="2641">
        <f t="shared" si="23"/>
        <v>8.5000000000000006E-3</v>
      </c>
      <c r="R48" s="2625"/>
      <c r="S48" s="2623"/>
      <c r="T48" s="2624"/>
      <c r="U48" s="2624"/>
      <c r="V48" s="2624"/>
    </row>
    <row r="49" spans="1:26">
      <c r="A49" s="2615" t="s">
        <v>2597</v>
      </c>
      <c r="B49" s="2628">
        <f t="shared" si="35"/>
        <v>210.630522469011</v>
      </c>
      <c r="C49" s="2628">
        <f t="shared" si="35"/>
        <v>181.69567812247232</v>
      </c>
      <c r="D49" s="2628">
        <f t="shared" si="21"/>
        <v>181.69567812247232</v>
      </c>
      <c r="E49" s="2628">
        <f t="shared" si="36"/>
        <v>286.13517466736738</v>
      </c>
      <c r="F49" s="2628">
        <f t="shared" si="36"/>
        <v>165.47535084591149</v>
      </c>
      <c r="G49" s="3853">
        <v>2009</v>
      </c>
      <c r="H49" s="2619">
        <v>2</v>
      </c>
      <c r="I49" s="2619">
        <v>0.86</v>
      </c>
      <c r="J49" s="2619">
        <v>-1.1299999999999999</v>
      </c>
      <c r="K49" s="2619">
        <v>1.79</v>
      </c>
      <c r="L49" s="2630">
        <v>-2.0699999999999998</v>
      </c>
      <c r="N49" s="2623">
        <f t="shared" si="23"/>
        <v>8.6E-3</v>
      </c>
      <c r="O49" s="2641">
        <f t="shared" si="23"/>
        <v>-1.1299999999999999E-2</v>
      </c>
      <c r="P49" s="2641">
        <f t="shared" si="23"/>
        <v>1.7899999999999999E-2</v>
      </c>
      <c r="Q49" s="2641">
        <f t="shared" si="23"/>
        <v>-2.07E-2</v>
      </c>
      <c r="R49" s="2625"/>
      <c r="S49" s="2623"/>
      <c r="T49" s="2624"/>
      <c r="U49" s="2624"/>
      <c r="V49" s="2624"/>
    </row>
    <row r="50" spans="1:26">
      <c r="A50" s="2615" t="s">
        <v>2598</v>
      </c>
      <c r="B50" s="2628">
        <f t="shared" si="35"/>
        <v>208.83454537875372</v>
      </c>
      <c r="C50" s="2628">
        <f t="shared" si="35"/>
        <v>183.77230517090351</v>
      </c>
      <c r="D50" s="2628">
        <f t="shared" si="21"/>
        <v>183.77230517090351</v>
      </c>
      <c r="E50" s="2628">
        <f t="shared" si="36"/>
        <v>281.10342338870947</v>
      </c>
      <c r="F50" s="2628">
        <f t="shared" si="36"/>
        <v>168.97309388942256</v>
      </c>
      <c r="G50" s="3854">
        <v>2009</v>
      </c>
      <c r="H50" s="2618">
        <v>1</v>
      </c>
      <c r="I50" s="2618">
        <v>-2.64</v>
      </c>
      <c r="J50" s="2618">
        <v>-2.5299999999999998</v>
      </c>
      <c r="K50" s="2618">
        <v>-3.02</v>
      </c>
      <c r="L50" s="2629">
        <v>1.52</v>
      </c>
      <c r="N50" s="2631">
        <f t="shared" si="23"/>
        <v>-2.64E-2</v>
      </c>
      <c r="O50" s="2632">
        <f t="shared" si="23"/>
        <v>-2.53E-2</v>
      </c>
      <c r="P50" s="2632">
        <f t="shared" si="23"/>
        <v>-3.0200000000000001E-2</v>
      </c>
      <c r="Q50" s="2632">
        <f t="shared" si="23"/>
        <v>1.52E-2</v>
      </c>
      <c r="R50" s="2625"/>
      <c r="S50" s="2631">
        <f>B50/B51-1</f>
        <v>-2.4137638417038754E-2</v>
      </c>
      <c r="T50" s="2632">
        <f>C50/C51-1</f>
        <v>-2.248773845264096E-2</v>
      </c>
      <c r="U50" s="2632">
        <f>E50/E51-1</f>
        <v>-2.7323794502735366E-2</v>
      </c>
      <c r="V50" s="2632">
        <f>F50/F51-1</f>
        <v>1.7910204153148035E-2</v>
      </c>
      <c r="X50" s="2633"/>
      <c r="Y50" s="2633"/>
      <c r="Z50" s="2633"/>
    </row>
    <row r="51" spans="1:26" ht="13.5" thickBot="1">
      <c r="A51" s="2615" t="s">
        <v>2599</v>
      </c>
      <c r="B51" s="2658">
        <v>214</v>
      </c>
      <c r="C51" s="2658">
        <v>188</v>
      </c>
      <c r="D51" s="2658">
        <f t="shared" si="21"/>
        <v>188</v>
      </c>
      <c r="E51" s="2658">
        <v>289</v>
      </c>
      <c r="F51" s="2659">
        <v>166</v>
      </c>
      <c r="G51" s="3852">
        <v>2008</v>
      </c>
      <c r="H51" s="2634">
        <v>4</v>
      </c>
      <c r="I51" s="2634">
        <v>1.73</v>
      </c>
      <c r="J51" s="2634">
        <v>0.03</v>
      </c>
      <c r="K51" s="2634">
        <v>2.59</v>
      </c>
      <c r="L51" s="2635">
        <v>-1.66</v>
      </c>
      <c r="N51" s="2623">
        <f t="shared" si="23"/>
        <v>1.7299999999999999E-2</v>
      </c>
      <c r="O51" s="2624">
        <f t="shared" si="23"/>
        <v>2.9999999999999997E-4</v>
      </c>
      <c r="P51" s="2624">
        <f t="shared" si="23"/>
        <v>2.5899999999999999E-2</v>
      </c>
      <c r="Q51" s="2624">
        <f t="shared" si="23"/>
        <v>-1.66E-2</v>
      </c>
      <c r="R51" s="2625"/>
      <c r="S51" s="2626"/>
      <c r="T51" s="2627"/>
      <c r="U51" s="2627"/>
      <c r="V51" s="2627"/>
      <c r="X51" s="2627"/>
      <c r="Y51" s="2627"/>
      <c r="Z51" s="2627"/>
    </row>
    <row r="52" spans="1:26">
      <c r="A52" s="2615" t="s">
        <v>2600</v>
      </c>
      <c r="B52" s="2628">
        <f t="shared" ref="B52:C54" si="37">B51/(1+N51)</f>
        <v>210.36075887152265</v>
      </c>
      <c r="C52" s="2628">
        <f t="shared" si="37"/>
        <v>187.94361691492554</v>
      </c>
      <c r="D52" s="2628">
        <f t="shared" si="21"/>
        <v>187.94361691492554</v>
      </c>
      <c r="E52" s="2628">
        <f t="shared" ref="E52:F54" si="38">E51/(1+P51)</f>
        <v>281.70386977288234</v>
      </c>
      <c r="F52" s="2628">
        <f t="shared" si="38"/>
        <v>168.80211511083994</v>
      </c>
      <c r="G52" s="3853">
        <v>2008</v>
      </c>
      <c r="H52" s="2639">
        <v>3</v>
      </c>
      <c r="I52" s="2639">
        <v>1.96</v>
      </c>
      <c r="J52" s="2639">
        <v>2.36</v>
      </c>
      <c r="K52" s="2639">
        <v>1.82</v>
      </c>
      <c r="L52" s="2640">
        <v>2.2200000000000002</v>
      </c>
      <c r="N52" s="2623">
        <f t="shared" si="23"/>
        <v>1.9599999999999999E-2</v>
      </c>
      <c r="O52" s="2624">
        <f t="shared" si="23"/>
        <v>2.3599999999999999E-2</v>
      </c>
      <c r="P52" s="2624">
        <f t="shared" si="23"/>
        <v>1.8200000000000001E-2</v>
      </c>
      <c r="Q52" s="2624">
        <f t="shared" si="23"/>
        <v>2.2200000000000001E-2</v>
      </c>
      <c r="R52" s="2625"/>
      <c r="S52" s="2623"/>
      <c r="T52" s="2624"/>
      <c r="U52" s="2624"/>
      <c r="V52" s="2624"/>
    </row>
    <row r="53" spans="1:26">
      <c r="A53" s="2615" t="s">
        <v>2601</v>
      </c>
      <c r="B53" s="2628">
        <f t="shared" si="37"/>
        <v>206.31694671589116</v>
      </c>
      <c r="C53" s="2628">
        <f t="shared" si="37"/>
        <v>183.61041121036101</v>
      </c>
      <c r="D53" s="2628">
        <f t="shared" si="21"/>
        <v>183.61041121036101</v>
      </c>
      <c r="E53" s="2628">
        <f t="shared" si="38"/>
        <v>276.66850301795557</v>
      </c>
      <c r="F53" s="2628">
        <f t="shared" si="38"/>
        <v>165.1360938278614</v>
      </c>
      <c r="G53" s="3853">
        <v>2008</v>
      </c>
      <c r="H53" s="2619">
        <v>2</v>
      </c>
      <c r="I53" s="2619">
        <v>4.93</v>
      </c>
      <c r="J53" s="2619">
        <v>7.38</v>
      </c>
      <c r="K53" s="2619">
        <v>3.98</v>
      </c>
      <c r="L53" s="2630">
        <v>6.86</v>
      </c>
      <c r="N53" s="2623">
        <f t="shared" si="23"/>
        <v>4.9299999999999997E-2</v>
      </c>
      <c r="O53" s="2624">
        <f t="shared" si="23"/>
        <v>7.3800000000000004E-2</v>
      </c>
      <c r="P53" s="2624">
        <f t="shared" si="23"/>
        <v>3.9800000000000002E-2</v>
      </c>
      <c r="Q53" s="2624">
        <f t="shared" si="23"/>
        <v>6.8600000000000008E-2</v>
      </c>
      <c r="R53" s="2625"/>
      <c r="S53" s="2623"/>
      <c r="T53" s="2624"/>
      <c r="U53" s="2624"/>
      <c r="V53" s="2624"/>
    </row>
    <row r="54" spans="1:26" s="2664" customFormat="1" ht="13.5" thickBot="1">
      <c r="A54" s="2615" t="s">
        <v>2602</v>
      </c>
      <c r="B54" s="2661">
        <f t="shared" si="37"/>
        <v>196.62341248059772</v>
      </c>
      <c r="C54" s="2661">
        <f t="shared" si="37"/>
        <v>170.99125648199012</v>
      </c>
      <c r="D54" s="2661">
        <f t="shared" si="21"/>
        <v>170.99125648199012</v>
      </c>
      <c r="E54" s="2661">
        <f t="shared" si="38"/>
        <v>266.07857570490052</v>
      </c>
      <c r="F54" s="2661">
        <f t="shared" si="38"/>
        <v>154.53499328828505</v>
      </c>
      <c r="G54" s="3854">
        <v>2008</v>
      </c>
      <c r="H54" s="2662">
        <v>1</v>
      </c>
      <c r="I54" s="2662">
        <v>4.1399999999999997</v>
      </c>
      <c r="J54" s="2662">
        <v>3.45</v>
      </c>
      <c r="K54" s="2662">
        <v>4.95</v>
      </c>
      <c r="L54" s="2663">
        <v>4.82</v>
      </c>
      <c r="N54" s="2665">
        <f t="shared" si="23"/>
        <v>4.1399999999999999E-2</v>
      </c>
      <c r="O54" s="2666">
        <f t="shared" si="23"/>
        <v>3.4500000000000003E-2</v>
      </c>
      <c r="P54" s="2666">
        <f t="shared" si="23"/>
        <v>4.9500000000000002E-2</v>
      </c>
      <c r="Q54" s="2666">
        <f t="shared" si="23"/>
        <v>4.82E-2</v>
      </c>
      <c r="R54" s="2667"/>
      <c r="S54" s="2665">
        <f>B54/B55-1</f>
        <v>4.5869215322328349E-2</v>
      </c>
      <c r="T54" s="2666">
        <f>C54/C55-1</f>
        <v>3.6310645345394743E-2</v>
      </c>
      <c r="U54" s="2666">
        <f>E54/E55-1</f>
        <v>4.7553447657088688E-2</v>
      </c>
      <c r="V54" s="2666">
        <f>F54/F55-1</f>
        <v>4.4155360055980086E-2</v>
      </c>
      <c r="X54" s="2668"/>
      <c r="Y54" s="2668"/>
      <c r="Z54" s="2668"/>
    </row>
    <row r="55" spans="1:26" ht="13.5" thickBot="1">
      <c r="A55" s="2615" t="s">
        <v>2603</v>
      </c>
      <c r="B55" s="2620">
        <v>188</v>
      </c>
      <c r="C55" s="2620">
        <v>165</v>
      </c>
      <c r="D55" s="2620">
        <f t="shared" si="21"/>
        <v>165</v>
      </c>
      <c r="E55" s="2620">
        <v>254</v>
      </c>
      <c r="F55" s="2621">
        <v>148</v>
      </c>
      <c r="G55" s="3852">
        <v>2007</v>
      </c>
      <c r="H55" s="2669">
        <v>4</v>
      </c>
      <c r="I55" s="2669">
        <v>5.51</v>
      </c>
      <c r="J55" s="2669">
        <v>4.8899999999999997</v>
      </c>
      <c r="K55" s="2669">
        <v>6.43</v>
      </c>
      <c r="L55" s="2670">
        <v>5.36</v>
      </c>
      <c r="N55" s="2671">
        <f t="shared" ref="N55:O58" si="39">B55/B56-1</f>
        <v>4.1339718365245526E-2</v>
      </c>
      <c r="O55" s="2672">
        <f t="shared" si="39"/>
        <v>4.0324492593776018E-2</v>
      </c>
      <c r="P55" s="2672">
        <f t="shared" ref="P55:Q58" si="40">E55/E56-1</f>
        <v>6.1625555347990968E-2</v>
      </c>
      <c r="Q55" s="2672">
        <f t="shared" si="40"/>
        <v>4.6757569250590603E-2</v>
      </c>
      <c r="R55" s="2625"/>
      <c r="S55" s="2626"/>
      <c r="T55" s="2627"/>
      <c r="U55" s="2627"/>
      <c r="V55" s="2627"/>
      <c r="X55" s="2627"/>
      <c r="Y55" s="2627"/>
      <c r="Z55" s="2627"/>
    </row>
    <row r="56" spans="1:26">
      <c r="A56" s="2615" t="s">
        <v>2604</v>
      </c>
      <c r="B56" s="2628">
        <f t="shared" ref="B56:C58" si="41">B57+(B$55-B$59)*I56/SUM(I$55:I$58)</f>
        <v>180.5366651097618</v>
      </c>
      <c r="C56" s="2628">
        <f t="shared" si="41"/>
        <v>158.60435967302453</v>
      </c>
      <c r="D56" s="2628">
        <f t="shared" si="21"/>
        <v>158.60435967302453</v>
      </c>
      <c r="E56" s="2628">
        <f t="shared" ref="E56:F58" si="42">E57+(E$55-E$59)*K56/SUM(K$55:K$58)</f>
        <v>239.25573260785075</v>
      </c>
      <c r="F56" s="2628">
        <f t="shared" si="42"/>
        <v>141.38899430740037</v>
      </c>
      <c r="G56" s="3853">
        <v>2007</v>
      </c>
      <c r="H56" s="2639">
        <v>3</v>
      </c>
      <c r="I56" s="2639">
        <v>8.65</v>
      </c>
      <c r="J56" s="2639">
        <v>8.06</v>
      </c>
      <c r="K56" s="2639">
        <v>9.94</v>
      </c>
      <c r="L56" s="2640">
        <v>5.8</v>
      </c>
      <c r="N56" s="2671">
        <f t="shared" si="39"/>
        <v>6.940217571740015E-2</v>
      </c>
      <c r="O56" s="2672">
        <f t="shared" si="39"/>
        <v>7.1197482471153428E-2</v>
      </c>
      <c r="P56" s="2672">
        <f t="shared" si="40"/>
        <v>0.10529679922579582</v>
      </c>
      <c r="Q56" s="2672">
        <f t="shared" si="40"/>
        <v>5.3292245059512133E-2</v>
      </c>
      <c r="R56" s="2625"/>
      <c r="S56" s="2623"/>
      <c r="T56" s="2624"/>
      <c r="U56" s="2624"/>
      <c r="V56" s="2624"/>
      <c r="X56" s="2673"/>
      <c r="Y56" s="2673"/>
      <c r="Z56" s="2673"/>
    </row>
    <row r="57" spans="1:26">
      <c r="A57" s="2615" t="s">
        <v>2605</v>
      </c>
      <c r="B57" s="2628">
        <f t="shared" si="41"/>
        <v>168.82017748715555</v>
      </c>
      <c r="C57" s="2628">
        <f t="shared" si="41"/>
        <v>148.06267029972753</v>
      </c>
      <c r="D57" s="2628">
        <f t="shared" si="21"/>
        <v>148.06267029972753</v>
      </c>
      <c r="E57" s="2628">
        <f t="shared" si="42"/>
        <v>216.46288379323747</v>
      </c>
      <c r="F57" s="2628">
        <f t="shared" si="42"/>
        <v>134.23529411764704</v>
      </c>
      <c r="G57" s="3853">
        <v>2007</v>
      </c>
      <c r="H57" s="2619">
        <v>2</v>
      </c>
      <c r="I57" s="2619">
        <v>3.67</v>
      </c>
      <c r="J57" s="2619">
        <v>2.3199999999999998</v>
      </c>
      <c r="K57" s="2619">
        <v>5.0199999999999996</v>
      </c>
      <c r="L57" s="2630">
        <v>6.71</v>
      </c>
      <c r="N57" s="2671">
        <f t="shared" si="39"/>
        <v>3.0339138143848032E-2</v>
      </c>
      <c r="O57" s="2672">
        <f t="shared" si="39"/>
        <v>2.0922341588790472E-2</v>
      </c>
      <c r="P57" s="2672">
        <f t="shared" si="40"/>
        <v>5.6164796592717003E-2</v>
      </c>
      <c r="Q57" s="2672">
        <f t="shared" si="40"/>
        <v>6.5704536723887319E-2</v>
      </c>
      <c r="R57" s="2625"/>
      <c r="S57" s="2623"/>
      <c r="T57" s="2624"/>
      <c r="U57" s="2624"/>
      <c r="V57" s="2624"/>
      <c r="X57" s="2673"/>
      <c r="Y57" s="2673"/>
      <c r="Z57" s="2673"/>
    </row>
    <row r="58" spans="1:26">
      <c r="A58" s="2615" t="s">
        <v>2606</v>
      </c>
      <c r="B58" s="2628">
        <f t="shared" si="41"/>
        <v>163.84913591779542</v>
      </c>
      <c r="C58" s="2628">
        <f t="shared" si="41"/>
        <v>145.0283378746594</v>
      </c>
      <c r="D58" s="2628">
        <f t="shared" si="21"/>
        <v>145.0283378746594</v>
      </c>
      <c r="E58" s="2628">
        <f t="shared" si="42"/>
        <v>204.95180722891567</v>
      </c>
      <c r="F58" s="2628">
        <f t="shared" si="42"/>
        <v>125.95920303605313</v>
      </c>
      <c r="G58" s="3854">
        <v>2007</v>
      </c>
      <c r="H58" s="2618">
        <v>1</v>
      </c>
      <c r="I58" s="2618">
        <v>3.58</v>
      </c>
      <c r="J58" s="2618">
        <v>3.08</v>
      </c>
      <c r="K58" s="2618">
        <v>4.34</v>
      </c>
      <c r="L58" s="2629">
        <v>3.21</v>
      </c>
      <c r="N58" s="2674">
        <f t="shared" si="39"/>
        <v>3.0497710174814063E-2</v>
      </c>
      <c r="O58" s="2675">
        <f t="shared" si="39"/>
        <v>2.8569772160704998E-2</v>
      </c>
      <c r="P58" s="2675">
        <f t="shared" si="40"/>
        <v>5.1034908866234296E-2</v>
      </c>
      <c r="Q58" s="2675">
        <f t="shared" si="40"/>
        <v>3.245248390207478E-2</v>
      </c>
      <c r="R58" s="2625"/>
      <c r="S58" s="2631">
        <f>B58/B59-1</f>
        <v>3.0497710174814063E-2</v>
      </c>
      <c r="T58" s="2632">
        <f>C58/C59-1</f>
        <v>2.8569772160704998E-2</v>
      </c>
      <c r="U58" s="2632">
        <f>E58/E59-1</f>
        <v>5.1034908866234296E-2</v>
      </c>
      <c r="V58" s="2632">
        <f>F58/F59-1</f>
        <v>3.245248390207478E-2</v>
      </c>
      <c r="X58" s="2673"/>
      <c r="Y58" s="2673"/>
      <c r="Z58" s="2673"/>
    </row>
    <row r="59" spans="1:26" ht="13.5" thickBot="1">
      <c r="A59" s="2615" t="s">
        <v>2607</v>
      </c>
      <c r="B59" s="2642">
        <v>159</v>
      </c>
      <c r="C59" s="2642">
        <v>141</v>
      </c>
      <c r="D59" s="2642">
        <f t="shared" si="21"/>
        <v>141</v>
      </c>
      <c r="E59" s="2642">
        <v>195</v>
      </c>
      <c r="F59" s="2643">
        <v>122</v>
      </c>
      <c r="G59" s="3852">
        <v>2006</v>
      </c>
      <c r="H59" s="2634">
        <v>4</v>
      </c>
      <c r="I59" s="2634">
        <v>3.79</v>
      </c>
      <c r="J59" s="2634">
        <v>2.21</v>
      </c>
      <c r="K59" s="2634">
        <v>5.65</v>
      </c>
      <c r="L59" s="2635">
        <v>5.41</v>
      </c>
      <c r="N59" s="2671">
        <f t="shared" ref="N59:O62" si="43">I59/SUM(I$59:I$62)*(B$59/B$63-1)</f>
        <v>7.245466462748526E-2</v>
      </c>
      <c r="O59" s="2672">
        <f t="shared" si="43"/>
        <v>2.3237230038062766E-2</v>
      </c>
      <c r="P59" s="2672">
        <f t="shared" ref="P59:Q62" si="44">K59/SUM(K$59:K$62)*(E$59/E$63-1)</f>
        <v>0.16146893866323722</v>
      </c>
      <c r="Q59" s="2672">
        <f t="shared" si="44"/>
        <v>5.0755230321793784E-2</v>
      </c>
      <c r="R59" s="2625"/>
      <c r="S59" s="2626"/>
      <c r="T59" s="2627"/>
      <c r="U59" s="2627"/>
      <c r="V59" s="2627"/>
      <c r="X59" s="2673"/>
      <c r="Y59" s="2673"/>
      <c r="Z59" s="2673"/>
    </row>
    <row r="60" spans="1:26">
      <c r="A60" s="2615" t="s">
        <v>2608</v>
      </c>
      <c r="B60" s="2628">
        <f t="shared" ref="B60:C62" si="45">B61+(B$59-B$63)*I60/SUM(I$59:I$62)</f>
        <v>149.00125628140702</v>
      </c>
      <c r="C60" s="2628">
        <f t="shared" si="45"/>
        <v>137.95592286501378</v>
      </c>
      <c r="D60" s="2628">
        <f t="shared" si="21"/>
        <v>137.95592286501378</v>
      </c>
      <c r="E60" s="2628">
        <f t="shared" ref="E60:F62" si="46">E61+(E$59-E$63)*K60/SUM(K$59:K$62)</f>
        <v>169.97231450719823</v>
      </c>
      <c r="F60" s="2628">
        <f t="shared" si="46"/>
        <v>116.21390374331551</v>
      </c>
      <c r="G60" s="3853">
        <v>2006</v>
      </c>
      <c r="H60" s="2639">
        <v>3</v>
      </c>
      <c r="I60" s="2639">
        <v>0.92</v>
      </c>
      <c r="J60" s="2639">
        <v>1.08</v>
      </c>
      <c r="K60" s="2639">
        <v>0.73</v>
      </c>
      <c r="L60" s="2640">
        <v>1.08</v>
      </c>
      <c r="N60" s="2671">
        <f t="shared" si="43"/>
        <v>1.7587939698492462E-2</v>
      </c>
      <c r="O60" s="2672">
        <f t="shared" si="43"/>
        <v>1.1355750425840628E-2</v>
      </c>
      <c r="P60" s="2672">
        <f t="shared" si="44"/>
        <v>2.0862358446754544E-2</v>
      </c>
      <c r="Q60" s="2672">
        <f t="shared" si="44"/>
        <v>1.0132282578103011E-2</v>
      </c>
      <c r="R60" s="2625"/>
      <c r="S60" s="2623"/>
      <c r="T60" s="2624"/>
      <c r="U60" s="2624"/>
      <c r="V60" s="2624"/>
      <c r="X60" s="2673"/>
      <c r="Y60" s="2673"/>
      <c r="Z60" s="2673"/>
    </row>
    <row r="61" spans="1:26">
      <c r="A61" s="2615" t="s">
        <v>2609</v>
      </c>
      <c r="B61" s="2628">
        <f t="shared" si="45"/>
        <v>146.57412060301507</v>
      </c>
      <c r="C61" s="2628">
        <f t="shared" si="45"/>
        <v>136.46831955922866</v>
      </c>
      <c r="D61" s="2628">
        <f t="shared" si="21"/>
        <v>136.46831955922866</v>
      </c>
      <c r="E61" s="2628">
        <f t="shared" si="46"/>
        <v>166.73864894795128</v>
      </c>
      <c r="F61" s="2628">
        <f t="shared" si="46"/>
        <v>115.05882352941177</v>
      </c>
      <c r="G61" s="3853">
        <v>2006</v>
      </c>
      <c r="H61" s="2619">
        <v>2</v>
      </c>
      <c r="I61" s="2619">
        <v>0.96</v>
      </c>
      <c r="J61" s="2619">
        <v>0.25</v>
      </c>
      <c r="K61" s="2619">
        <v>1.9</v>
      </c>
      <c r="L61" s="2630">
        <v>0.95</v>
      </c>
      <c r="N61" s="2671">
        <f t="shared" si="43"/>
        <v>1.8352632728861701E-2</v>
      </c>
      <c r="O61" s="2672">
        <f t="shared" si="43"/>
        <v>2.6286459319075526E-3</v>
      </c>
      <c r="P61" s="2672">
        <f t="shared" si="44"/>
        <v>5.4299289107991269E-2</v>
      </c>
      <c r="Q61" s="2672">
        <f t="shared" si="44"/>
        <v>8.9126559714794995E-3</v>
      </c>
      <c r="R61" s="2625"/>
      <c r="S61" s="2623"/>
      <c r="T61" s="2624"/>
      <c r="U61" s="2624"/>
      <c r="V61" s="2624"/>
      <c r="X61" s="2673"/>
      <c r="Y61" s="2673"/>
      <c r="Z61" s="2673"/>
    </row>
    <row r="62" spans="1:26">
      <c r="A62" s="2615" t="s">
        <v>2610</v>
      </c>
      <c r="B62" s="2628">
        <f t="shared" si="45"/>
        <v>144.04145728643215</v>
      </c>
      <c r="C62" s="2628">
        <f t="shared" si="45"/>
        <v>136.12396694214877</v>
      </c>
      <c r="D62" s="2628">
        <f t="shared" si="21"/>
        <v>136.12396694214877</v>
      </c>
      <c r="E62" s="2628">
        <f t="shared" si="46"/>
        <v>158.32225913621264</v>
      </c>
      <c r="F62" s="2628">
        <f t="shared" si="46"/>
        <v>114.04278074866311</v>
      </c>
      <c r="G62" s="3854">
        <v>2006</v>
      </c>
      <c r="H62" s="2618">
        <v>1</v>
      </c>
      <c r="I62" s="2618">
        <v>2.29</v>
      </c>
      <c r="J62" s="2618">
        <v>3.72</v>
      </c>
      <c r="K62" s="2618">
        <v>0.75</v>
      </c>
      <c r="L62" s="2629">
        <v>0.04</v>
      </c>
      <c r="N62" s="2674">
        <f t="shared" si="43"/>
        <v>4.3778675988638847E-2</v>
      </c>
      <c r="O62" s="2675">
        <f t="shared" si="43"/>
        <v>3.9114251466784385E-2</v>
      </c>
      <c r="P62" s="2675">
        <f t="shared" si="44"/>
        <v>2.1433929911049188E-2</v>
      </c>
      <c r="Q62" s="2675">
        <f t="shared" si="44"/>
        <v>3.7526972511492629E-4</v>
      </c>
      <c r="R62" s="2625"/>
      <c r="S62" s="2631">
        <f>B62/B63-1</f>
        <v>4.3778675988638716E-2</v>
      </c>
      <c r="T62" s="2632">
        <f>C62/C63-1</f>
        <v>3.91142514667846E-2</v>
      </c>
      <c r="U62" s="2632">
        <f>E62/E63-1</f>
        <v>2.143392991104931E-2</v>
      </c>
      <c r="V62" s="2632">
        <f>F62/F63-1</f>
        <v>3.7526972511492396E-4</v>
      </c>
      <c r="X62" s="2673"/>
      <c r="Y62" s="2673"/>
      <c r="Z62" s="2673"/>
    </row>
    <row r="63" spans="1:26" ht="13.5" thickBot="1">
      <c r="A63" s="2615" t="s">
        <v>2611</v>
      </c>
      <c r="B63" s="2642">
        <v>138</v>
      </c>
      <c r="C63" s="2642">
        <v>131</v>
      </c>
      <c r="D63" s="2642">
        <f t="shared" si="21"/>
        <v>131</v>
      </c>
      <c r="E63" s="2642">
        <v>155</v>
      </c>
      <c r="F63" s="2643">
        <v>114</v>
      </c>
      <c r="G63" s="3852">
        <v>2005</v>
      </c>
      <c r="H63" s="2634">
        <v>4</v>
      </c>
      <c r="I63" s="2634">
        <v>3.29</v>
      </c>
      <c r="J63" s="2634">
        <v>1.44</v>
      </c>
      <c r="K63" s="2634">
        <v>0.66</v>
      </c>
      <c r="L63" s="2635">
        <v>7.78</v>
      </c>
      <c r="N63" s="2671">
        <f t="shared" ref="N63:O66" si="47">I63/SUM(I$63:I$66)*(B$63/B$67-1)</f>
        <v>9.9404603216919935E-2</v>
      </c>
      <c r="O63" s="2672">
        <f t="shared" si="47"/>
        <v>4.7636550760861554E-2</v>
      </c>
      <c r="P63" s="2672">
        <f t="shared" ref="P63:Q66" si="48">K63/SUM(K$63:K$66)*(E$63/E$67-1)</f>
        <v>8.3756345177664976E-2</v>
      </c>
      <c r="Q63" s="2672">
        <f t="shared" si="48"/>
        <v>5.2148766661559584E-2</v>
      </c>
      <c r="R63" s="2625"/>
      <c r="S63" s="2626"/>
      <c r="T63" s="2627"/>
      <c r="U63" s="2627"/>
      <c r="V63" s="2627"/>
      <c r="X63" s="2673"/>
      <c r="Y63" s="2673"/>
      <c r="Z63" s="2673"/>
    </row>
    <row r="64" spans="1:26">
      <c r="A64" s="2615" t="s">
        <v>2612</v>
      </c>
      <c r="B64" s="2628">
        <f t="shared" ref="B64:C66" si="49">B65+(B$63-B$67)*I64/SUM(I$63:I$66)</f>
        <v>125.9720430107527</v>
      </c>
      <c r="C64" s="2628">
        <f t="shared" si="49"/>
        <v>125.1883408071749</v>
      </c>
      <c r="D64" s="2628">
        <f t="shared" si="21"/>
        <v>125.1883408071749</v>
      </c>
      <c r="E64" s="2628">
        <f t="shared" ref="E64:F66" si="50">E65+(E$63-E$67)*K64/SUM(K$63:K$66)</f>
        <v>144.61421319796952</v>
      </c>
      <c r="F64" s="2628">
        <f t="shared" si="50"/>
        <v>108.42008196721311</v>
      </c>
      <c r="G64" s="3853">
        <v>2005</v>
      </c>
      <c r="H64" s="2639">
        <v>3</v>
      </c>
      <c r="I64" s="2639">
        <v>0.46</v>
      </c>
      <c r="J64" s="2639">
        <v>0.32</v>
      </c>
      <c r="K64" s="2639">
        <v>0.42</v>
      </c>
      <c r="L64" s="2640">
        <v>0.64</v>
      </c>
      <c r="N64" s="2671">
        <f t="shared" si="47"/>
        <v>1.3898515951301874E-2</v>
      </c>
      <c r="O64" s="2672">
        <f t="shared" si="47"/>
        <v>1.0585900169080346E-2</v>
      </c>
      <c r="P64" s="2672">
        <f t="shared" si="48"/>
        <v>5.3299492385786795E-2</v>
      </c>
      <c r="Q64" s="2672">
        <f t="shared" si="48"/>
        <v>4.2898728359123568E-3</v>
      </c>
      <c r="R64" s="2625"/>
      <c r="S64" s="2623"/>
      <c r="T64" s="2624"/>
      <c r="U64" s="2624"/>
      <c r="V64" s="2624"/>
      <c r="X64" s="2673"/>
      <c r="Y64" s="2673"/>
      <c r="Z64" s="2673"/>
    </row>
    <row r="65" spans="1:26">
      <c r="A65" s="2615" t="s">
        <v>2613</v>
      </c>
      <c r="B65" s="2628">
        <f t="shared" si="49"/>
        <v>124.29032258064517</v>
      </c>
      <c r="C65" s="2628">
        <f t="shared" si="49"/>
        <v>123.8968609865471</v>
      </c>
      <c r="D65" s="2628">
        <f t="shared" si="21"/>
        <v>123.8968609865471</v>
      </c>
      <c r="E65" s="2628">
        <f t="shared" si="50"/>
        <v>138.00507614213197</v>
      </c>
      <c r="F65" s="2628">
        <f t="shared" si="50"/>
        <v>107.96106557377048</v>
      </c>
      <c r="G65" s="3853">
        <v>2005</v>
      </c>
      <c r="H65" s="2619">
        <v>2</v>
      </c>
      <c r="I65" s="2619">
        <v>0.47</v>
      </c>
      <c r="J65" s="2619">
        <v>0.1</v>
      </c>
      <c r="K65" s="2619">
        <v>0.52</v>
      </c>
      <c r="L65" s="2630">
        <v>0.79</v>
      </c>
      <c r="N65" s="2671">
        <f t="shared" si="47"/>
        <v>1.420065760241713E-2</v>
      </c>
      <c r="O65" s="2672">
        <f t="shared" si="47"/>
        <v>3.3080938028376083E-3</v>
      </c>
      <c r="P65" s="2672">
        <f t="shared" si="48"/>
        <v>6.598984771573603E-2</v>
      </c>
      <c r="Q65" s="2672">
        <f t="shared" si="48"/>
        <v>5.2953117818293153E-3</v>
      </c>
      <c r="R65" s="2625"/>
      <c r="S65" s="2623"/>
      <c r="T65" s="2624"/>
      <c r="U65" s="2624"/>
      <c r="V65" s="2624"/>
      <c r="X65" s="2673"/>
      <c r="Y65" s="2673"/>
      <c r="Z65" s="2673"/>
    </row>
    <row r="66" spans="1:26">
      <c r="A66" s="2615" t="s">
        <v>2614</v>
      </c>
      <c r="B66" s="2628">
        <f t="shared" si="49"/>
        <v>122.57204301075269</v>
      </c>
      <c r="C66" s="2628">
        <f t="shared" si="49"/>
        <v>123.4932735426009</v>
      </c>
      <c r="D66" s="2628">
        <f t="shared" si="21"/>
        <v>123.4932735426009</v>
      </c>
      <c r="E66" s="2628">
        <f t="shared" si="50"/>
        <v>129.82233502538071</v>
      </c>
      <c r="F66" s="2628">
        <f t="shared" si="50"/>
        <v>107.39446721311475</v>
      </c>
      <c r="G66" s="3854">
        <v>2005</v>
      </c>
      <c r="H66" s="2618">
        <v>1</v>
      </c>
      <c r="I66" s="2618">
        <v>0.43</v>
      </c>
      <c r="J66" s="2618">
        <v>0.37</v>
      </c>
      <c r="K66" s="2618">
        <v>0.37</v>
      </c>
      <c r="L66" s="2629">
        <v>0.55000000000000004</v>
      </c>
      <c r="N66" s="2674">
        <f t="shared" si="47"/>
        <v>1.2992090997956099E-2</v>
      </c>
      <c r="O66" s="2675">
        <f t="shared" si="47"/>
        <v>1.2239947070499151E-2</v>
      </c>
      <c r="P66" s="2675">
        <f t="shared" si="48"/>
        <v>4.6954314720812178E-2</v>
      </c>
      <c r="Q66" s="2675">
        <f t="shared" si="48"/>
        <v>3.6866094683621815E-3</v>
      </c>
      <c r="R66" s="2625"/>
      <c r="S66" s="2631">
        <f>B66/B67-1</f>
        <v>1.2992090997956174E-2</v>
      </c>
      <c r="T66" s="2632">
        <f>C66/C67-1</f>
        <v>1.2239947070499246E-2</v>
      </c>
      <c r="U66" s="2632">
        <f>E66/E67-1</f>
        <v>4.695431472081224E-2</v>
      </c>
      <c r="V66" s="2632">
        <f>F66/F67-1</f>
        <v>3.6866094683620787E-3</v>
      </c>
      <c r="X66" s="2673"/>
      <c r="Y66" s="2673"/>
      <c r="Z66" s="2673"/>
    </row>
    <row r="67" spans="1:26" ht="13.5" thickBot="1">
      <c r="A67" s="2615" t="s">
        <v>2615</v>
      </c>
      <c r="B67" s="2658">
        <v>121</v>
      </c>
      <c r="C67" s="2658">
        <v>122</v>
      </c>
      <c r="D67" s="2658">
        <f t="shared" si="21"/>
        <v>122</v>
      </c>
      <c r="E67" s="2658">
        <v>124</v>
      </c>
      <c r="F67" s="2659">
        <v>107</v>
      </c>
      <c r="G67" s="3852">
        <v>2004</v>
      </c>
      <c r="H67" s="2634">
        <v>4</v>
      </c>
      <c r="I67" s="2634">
        <v>0.33</v>
      </c>
      <c r="J67" s="2634">
        <v>0.5</v>
      </c>
      <c r="K67" s="2634">
        <v>0.5</v>
      </c>
      <c r="L67" s="2635">
        <v>0</v>
      </c>
      <c r="N67" s="2671">
        <f t="shared" ref="N67:O70" si="51">I67/SUM(I$67:I$70)*(B$67/B$71-1)</f>
        <v>1.3391770148526898E-2</v>
      </c>
      <c r="O67" s="2672">
        <f t="shared" si="51"/>
        <v>1.063264221158958E-2</v>
      </c>
      <c r="P67" s="2672">
        <f t="shared" ref="P67:Q70" si="52">K67/SUM(K$67:K$70)*(E$67/E$71-1)</f>
        <v>2.2244466688911134E-2</v>
      </c>
      <c r="Q67" s="2672">
        <f t="shared" si="52"/>
        <v>0</v>
      </c>
      <c r="R67" s="2625"/>
      <c r="S67" s="2626"/>
      <c r="T67" s="2627"/>
      <c r="U67" s="2627"/>
      <c r="V67" s="2627"/>
      <c r="X67" s="2673"/>
      <c r="Y67" s="2673"/>
      <c r="Z67" s="2673"/>
    </row>
    <row r="68" spans="1:26">
      <c r="A68" s="2615" t="s">
        <v>2616</v>
      </c>
      <c r="B68" s="2628">
        <f t="shared" ref="B68:C70" si="53">B69+(B$67-B$71)*I68/SUM(I$67:I$70)</f>
        <v>119.51351351351352</v>
      </c>
      <c r="C68" s="2628">
        <f t="shared" si="53"/>
        <v>120.7878787878788</v>
      </c>
      <c r="D68" s="2628">
        <f t="shared" si="21"/>
        <v>120.7878787878788</v>
      </c>
      <c r="E68" s="2628">
        <f t="shared" ref="E68:F70" si="54">E69+(E$67-E$71)*K68/SUM(K$67:K$70)</f>
        <v>121.5975975975976</v>
      </c>
      <c r="F68" s="2628">
        <f t="shared" si="54"/>
        <v>107</v>
      </c>
      <c r="G68" s="3853">
        <v>2004</v>
      </c>
      <c r="H68" s="2639">
        <v>3</v>
      </c>
      <c r="I68" s="2639">
        <v>0.56000000000000005</v>
      </c>
      <c r="J68" s="2639">
        <v>0.8</v>
      </c>
      <c r="K68" s="2639">
        <v>0.83</v>
      </c>
      <c r="L68" s="2640">
        <v>0.06</v>
      </c>
      <c r="N68" s="2671">
        <f t="shared" si="51"/>
        <v>2.2725428130833527E-2</v>
      </c>
      <c r="O68" s="2672">
        <f t="shared" si="51"/>
        <v>1.7012227538543329E-2</v>
      </c>
      <c r="P68" s="2672">
        <f t="shared" si="52"/>
        <v>3.6925814703592477E-2</v>
      </c>
      <c r="Q68" s="2672">
        <f t="shared" si="52"/>
        <v>2.8846153846153744E-2</v>
      </c>
      <c r="R68" s="2625"/>
      <c r="S68" s="2623"/>
      <c r="T68" s="2624"/>
      <c r="U68" s="2624"/>
      <c r="V68" s="2624"/>
      <c r="X68" s="2673"/>
      <c r="Y68" s="2673"/>
      <c r="Z68" s="2673"/>
    </row>
    <row r="69" spans="1:26">
      <c r="A69" s="2615" t="s">
        <v>2617</v>
      </c>
      <c r="B69" s="2628">
        <f t="shared" si="53"/>
        <v>116.99099099099099</v>
      </c>
      <c r="C69" s="2628">
        <f t="shared" si="53"/>
        <v>118.84848484848486</v>
      </c>
      <c r="D69" s="2628">
        <f t="shared" si="21"/>
        <v>118.84848484848486</v>
      </c>
      <c r="E69" s="2628">
        <f t="shared" si="54"/>
        <v>117.60960960960961</v>
      </c>
      <c r="F69" s="2628">
        <f t="shared" si="54"/>
        <v>104</v>
      </c>
      <c r="G69" s="3853">
        <v>2004</v>
      </c>
      <c r="H69" s="2619">
        <v>2</v>
      </c>
      <c r="I69" s="2619">
        <v>1</v>
      </c>
      <c r="J69" s="2619">
        <v>1.5</v>
      </c>
      <c r="K69" s="2619">
        <v>1.5</v>
      </c>
      <c r="L69" s="2630">
        <v>0</v>
      </c>
      <c r="N69" s="2671">
        <f t="shared" si="51"/>
        <v>4.0581121662202721E-2</v>
      </c>
      <c r="O69" s="2672">
        <f t="shared" si="51"/>
        <v>3.1897926634768738E-2</v>
      </c>
      <c r="P69" s="2672">
        <f t="shared" si="52"/>
        <v>6.6733400066733395E-2</v>
      </c>
      <c r="Q69" s="2672">
        <f t="shared" si="52"/>
        <v>0</v>
      </c>
      <c r="R69" s="2625"/>
      <c r="S69" s="2623"/>
      <c r="T69" s="2624"/>
      <c r="U69" s="2624"/>
      <c r="V69" s="2624"/>
      <c r="X69" s="2673"/>
      <c r="Y69" s="2673"/>
      <c r="Z69" s="2673"/>
    </row>
    <row r="70" spans="1:26" s="2664" customFormat="1" ht="13.5" thickBot="1">
      <c r="A70" s="2615" t="s">
        <v>2618</v>
      </c>
      <c r="B70" s="2661">
        <f t="shared" si="53"/>
        <v>112.48648648648648</v>
      </c>
      <c r="C70" s="2661">
        <f t="shared" si="53"/>
        <v>115.21212121212122</v>
      </c>
      <c r="D70" s="2661">
        <f t="shared" si="21"/>
        <v>115.21212121212122</v>
      </c>
      <c r="E70" s="2661">
        <f t="shared" si="54"/>
        <v>110.4024024024024</v>
      </c>
      <c r="F70" s="2661">
        <f t="shared" si="54"/>
        <v>104</v>
      </c>
      <c r="G70" s="3854">
        <v>2004</v>
      </c>
      <c r="H70" s="2662">
        <v>1</v>
      </c>
      <c r="I70" s="2662">
        <v>0.33</v>
      </c>
      <c r="J70" s="2662">
        <v>0.5</v>
      </c>
      <c r="K70" s="2662">
        <v>0.5</v>
      </c>
      <c r="L70" s="2663">
        <v>0</v>
      </c>
      <c r="N70" s="2676">
        <f t="shared" si="51"/>
        <v>1.3391770148526898E-2</v>
      </c>
      <c r="O70" s="2677">
        <f t="shared" si="51"/>
        <v>1.063264221158958E-2</v>
      </c>
      <c r="P70" s="2677">
        <f t="shared" si="52"/>
        <v>2.2244466688911134E-2</v>
      </c>
      <c r="Q70" s="2677">
        <f t="shared" si="52"/>
        <v>0</v>
      </c>
      <c r="R70" s="2667"/>
      <c r="S70" s="2665">
        <f>B70/B71-1</f>
        <v>1.3391770148526883E-2</v>
      </c>
      <c r="T70" s="2666">
        <f>C70/C71-1</f>
        <v>1.063264221158966E-2</v>
      </c>
      <c r="U70" s="2666">
        <f>E70/E71-1</f>
        <v>2.2244466688911224E-2</v>
      </c>
      <c r="V70" s="2666">
        <f>F70/F71-1</f>
        <v>0</v>
      </c>
      <c r="X70" s="2678"/>
      <c r="Y70" s="2678"/>
      <c r="Z70" s="2678"/>
    </row>
    <row r="71" spans="1:26" ht="13.5" thickBot="1">
      <c r="A71" s="2615" t="s">
        <v>2619</v>
      </c>
      <c r="B71" s="2679">
        <v>111</v>
      </c>
      <c r="C71" s="2679">
        <v>114</v>
      </c>
      <c r="D71" s="2679">
        <f t="shared" si="21"/>
        <v>114</v>
      </c>
      <c r="E71" s="2679">
        <v>108</v>
      </c>
      <c r="F71" s="2680">
        <v>104</v>
      </c>
      <c r="G71" s="3852">
        <v>2003</v>
      </c>
      <c r="H71" s="2669">
        <v>4</v>
      </c>
      <c r="I71" s="2681"/>
      <c r="J71" s="2681"/>
      <c r="K71" s="2681"/>
      <c r="L71" s="2681"/>
      <c r="N71" s="2682"/>
      <c r="O71" s="2681"/>
      <c r="P71" s="2681"/>
      <c r="Q71" s="2681"/>
      <c r="S71" s="2682"/>
      <c r="T71" s="2681"/>
      <c r="U71" s="2681"/>
      <c r="V71" s="2681"/>
      <c r="X71" s="2673"/>
      <c r="Y71" s="2673"/>
      <c r="Z71" s="2673"/>
    </row>
    <row r="72" spans="1:26">
      <c r="A72" s="2615" t="s">
        <v>2620</v>
      </c>
      <c r="B72" s="2683">
        <f t="shared" ref="B72:C74" si="55">B73+(B$71-B$75)/4</f>
        <v>109.75</v>
      </c>
      <c r="C72" s="2683">
        <f t="shared" si="55"/>
        <v>112.25</v>
      </c>
      <c r="D72" s="2683">
        <f t="shared" si="21"/>
        <v>112.25</v>
      </c>
      <c r="E72" s="2683">
        <f t="shared" ref="E72:F74" si="56">E73+(E$71-E$75)/4</f>
        <v>107.25</v>
      </c>
      <c r="F72" s="2683">
        <f t="shared" si="56"/>
        <v>103.5</v>
      </c>
      <c r="G72" s="3853">
        <v>2003</v>
      </c>
      <c r="H72" s="2639">
        <v>3</v>
      </c>
      <c r="I72" s="2681"/>
      <c r="J72" s="2681"/>
      <c r="K72" s="2681"/>
      <c r="L72" s="2681"/>
      <c r="X72" s="2673"/>
      <c r="Y72" s="2673"/>
      <c r="Z72" s="2673"/>
    </row>
    <row r="73" spans="1:26">
      <c r="A73" s="2615" t="s">
        <v>2621</v>
      </c>
      <c r="B73" s="2683">
        <f t="shared" si="55"/>
        <v>108.5</v>
      </c>
      <c r="C73" s="2683">
        <f t="shared" si="55"/>
        <v>110.5</v>
      </c>
      <c r="D73" s="2683">
        <f t="shared" si="21"/>
        <v>110.5</v>
      </c>
      <c r="E73" s="2683">
        <f t="shared" si="56"/>
        <v>106.5</v>
      </c>
      <c r="F73" s="2683">
        <f t="shared" si="56"/>
        <v>103</v>
      </c>
      <c r="G73" s="3853">
        <v>2003</v>
      </c>
      <c r="H73" s="2619">
        <v>2</v>
      </c>
      <c r="I73" s="2681"/>
      <c r="J73" s="2681"/>
      <c r="K73" s="2681"/>
      <c r="L73" s="2681"/>
      <c r="X73" s="2673"/>
      <c r="Y73" s="2673"/>
      <c r="Z73" s="2673"/>
    </row>
    <row r="74" spans="1:26" ht="13.5" thickBot="1">
      <c r="A74" s="2615" t="s">
        <v>2622</v>
      </c>
      <c r="B74" s="2683">
        <f t="shared" si="55"/>
        <v>107.25</v>
      </c>
      <c r="C74" s="2683">
        <f t="shared" si="55"/>
        <v>108.75</v>
      </c>
      <c r="D74" s="2683">
        <f t="shared" si="21"/>
        <v>108.75</v>
      </c>
      <c r="E74" s="2683">
        <f t="shared" si="56"/>
        <v>105.75</v>
      </c>
      <c r="F74" s="2683">
        <f t="shared" si="56"/>
        <v>102.5</v>
      </c>
      <c r="G74" s="3854">
        <v>2003</v>
      </c>
      <c r="H74" s="2684">
        <v>1</v>
      </c>
      <c r="I74" s="2681"/>
      <c r="J74" s="2681"/>
      <c r="K74" s="2681"/>
      <c r="L74" s="2681"/>
      <c r="S74" s="2623"/>
      <c r="T74" s="2624"/>
      <c r="U74" s="2624"/>
      <c r="X74" s="2673"/>
      <c r="Y74" s="2673"/>
      <c r="Z74" s="2673"/>
    </row>
    <row r="75" spans="1:26" ht="13.5" thickBot="1">
      <c r="A75" s="2615" t="s">
        <v>2623</v>
      </c>
      <c r="B75" s="2685">
        <v>106</v>
      </c>
      <c r="C75" s="2685">
        <v>107</v>
      </c>
      <c r="D75" s="2685">
        <f t="shared" si="21"/>
        <v>107</v>
      </c>
      <c r="E75" s="2685">
        <v>105</v>
      </c>
      <c r="F75" s="2686">
        <v>102</v>
      </c>
      <c r="G75" s="3852">
        <v>2002</v>
      </c>
      <c r="H75" s="2634">
        <v>4</v>
      </c>
      <c r="I75" s="2681"/>
      <c r="J75" s="2681"/>
      <c r="K75" s="2681"/>
      <c r="L75" s="2681"/>
      <c r="N75" s="2682"/>
      <c r="O75" s="2681"/>
      <c r="P75" s="2681"/>
      <c r="Q75" s="2681"/>
      <c r="S75" s="2682"/>
      <c r="T75" s="2681"/>
      <c r="U75" s="2681"/>
      <c r="V75" s="2681"/>
      <c r="X75" s="2673"/>
      <c r="Y75" s="2673"/>
      <c r="Z75" s="2673"/>
    </row>
    <row r="76" spans="1:26">
      <c r="A76" s="2615" t="s">
        <v>2624</v>
      </c>
      <c r="B76" s="2683">
        <f t="shared" ref="B76:C78" si="57">B77+(B$75-B$79)/4</f>
        <v>105</v>
      </c>
      <c r="C76" s="2683">
        <f t="shared" si="57"/>
        <v>106</v>
      </c>
      <c r="D76" s="2683">
        <f t="shared" si="21"/>
        <v>106</v>
      </c>
      <c r="E76" s="2683">
        <f t="shared" ref="E76:F78" si="58">E77+(E$75-E$79)/4</f>
        <v>104.5</v>
      </c>
      <c r="F76" s="2683">
        <f t="shared" si="58"/>
        <v>101.5</v>
      </c>
      <c r="G76" s="3853">
        <v>2002</v>
      </c>
      <c r="H76" s="2639">
        <v>3</v>
      </c>
      <c r="I76" s="2681"/>
      <c r="J76" s="2681"/>
      <c r="K76" s="2681"/>
      <c r="L76" s="2681"/>
      <c r="X76" s="2673"/>
      <c r="Y76" s="2673"/>
      <c r="Z76" s="2673"/>
    </row>
    <row r="77" spans="1:26">
      <c r="A77" s="2615" t="s">
        <v>2625</v>
      </c>
      <c r="B77" s="2683">
        <f t="shared" si="57"/>
        <v>104</v>
      </c>
      <c r="C77" s="2683">
        <f t="shared" si="57"/>
        <v>105</v>
      </c>
      <c r="D77" s="2683">
        <f t="shared" si="21"/>
        <v>105</v>
      </c>
      <c r="E77" s="2683">
        <f t="shared" si="58"/>
        <v>104</v>
      </c>
      <c r="F77" s="2683">
        <f t="shared" si="58"/>
        <v>101</v>
      </c>
      <c r="G77" s="3853">
        <v>2002</v>
      </c>
      <c r="H77" s="2619">
        <v>2</v>
      </c>
      <c r="I77" s="2681"/>
      <c r="J77" s="2681"/>
      <c r="K77" s="2681"/>
      <c r="L77" s="2681"/>
      <c r="X77" s="2673"/>
      <c r="Y77" s="2673"/>
      <c r="Z77" s="2673"/>
    </row>
    <row r="78" spans="1:26" s="2650" customFormat="1" ht="13.5" thickBot="1">
      <c r="A78" s="2646" t="s">
        <v>2626</v>
      </c>
      <c r="B78" s="2687">
        <f t="shared" si="57"/>
        <v>103</v>
      </c>
      <c r="C78" s="2687">
        <f t="shared" si="57"/>
        <v>104</v>
      </c>
      <c r="D78" s="2687">
        <f t="shared" si="21"/>
        <v>104</v>
      </c>
      <c r="E78" s="2687">
        <f t="shared" si="58"/>
        <v>103.5</v>
      </c>
      <c r="F78" s="2687">
        <f t="shared" si="58"/>
        <v>100.5</v>
      </c>
      <c r="G78" s="3854">
        <v>2002</v>
      </c>
      <c r="H78" s="2688">
        <v>1</v>
      </c>
      <c r="I78" s="2689"/>
      <c r="J78" s="2689"/>
      <c r="K78" s="2689"/>
      <c r="L78" s="2689"/>
      <c r="N78" s="2690"/>
      <c r="S78" s="2690"/>
      <c r="X78" s="2691"/>
      <c r="Y78" s="2691"/>
      <c r="Z78" s="2691"/>
    </row>
    <row r="79" spans="1:26" ht="13.5" thickBot="1">
      <c r="B79" s="2692">
        <v>102</v>
      </c>
      <c r="C79" s="2693">
        <v>103</v>
      </c>
      <c r="D79" s="2693">
        <f t="shared" si="21"/>
        <v>103</v>
      </c>
      <c r="E79" s="2693">
        <v>103</v>
      </c>
      <c r="F79" s="2694">
        <v>100</v>
      </c>
      <c r="I79" s="2681"/>
      <c r="J79" s="2681"/>
      <c r="K79" s="2681"/>
      <c r="L79" s="2681"/>
      <c r="N79" s="2682"/>
      <c r="O79" s="2681"/>
      <c r="P79" s="2681"/>
      <c r="Q79" s="2681"/>
      <c r="S79" s="2682"/>
      <c r="T79" s="2681"/>
      <c r="U79" s="2681"/>
      <c r="V79" s="2681"/>
      <c r="X79" s="2627"/>
      <c r="Y79" s="2627"/>
      <c r="Z79" s="2627"/>
    </row>
    <row r="81" spans="1:22" s="2696" customFormat="1">
      <c r="A81" s="2695" t="s">
        <v>2627</v>
      </c>
      <c r="G81" s="2697"/>
      <c r="N81" s="2697"/>
      <c r="S81" s="2697"/>
    </row>
    <row r="82" spans="1:22" s="2696" customFormat="1">
      <c r="A82" s="2696" t="s">
        <v>2628</v>
      </c>
      <c r="G82" s="2697"/>
      <c r="N82" s="2697"/>
      <c r="S82" s="2697"/>
    </row>
    <row r="83" spans="1:22" s="2696" customFormat="1">
      <c r="A83" s="2696" t="s">
        <v>2629</v>
      </c>
      <c r="G83" s="2697"/>
      <c r="I83" s="2698"/>
      <c r="J83" s="2698"/>
      <c r="K83" s="2698"/>
      <c r="L83" s="2698"/>
      <c r="N83" s="2699"/>
      <c r="O83" s="2698"/>
      <c r="P83" s="2698"/>
      <c r="Q83" s="2698"/>
      <c r="S83" s="2699"/>
      <c r="T83" s="2698"/>
      <c r="U83" s="2698"/>
      <c r="V83" s="2698"/>
    </row>
    <row r="84" spans="1:22" s="2696" customFormat="1">
      <c r="A84" s="2696" t="s">
        <v>2630</v>
      </c>
      <c r="G84" s="2697"/>
      <c r="N84" s="2697"/>
      <c r="S84" s="2697"/>
    </row>
    <row r="91" spans="1:22" ht="13.5" thickBot="1"/>
    <row r="92" spans="1:22">
      <c r="G92" s="2622"/>
      <c r="S92" s="2700" t="s">
        <v>2631</v>
      </c>
      <c r="T92" s="2701" t="s">
        <v>2632</v>
      </c>
      <c r="U92" s="2701" t="s">
        <v>2633</v>
      </c>
      <c r="V92" s="2701" t="s">
        <v>2634</v>
      </c>
    </row>
    <row r="93" spans="1:22">
      <c r="G93" s="2622"/>
      <c r="N93" s="2626"/>
      <c r="O93" s="2627"/>
      <c r="P93" s="2627"/>
      <c r="Q93" s="2627"/>
      <c r="S93" s="2702">
        <v>2006</v>
      </c>
      <c r="T93" s="2703">
        <v>15.1</v>
      </c>
      <c r="U93" s="2703">
        <v>7.43</v>
      </c>
      <c r="V93" s="2703">
        <v>26.26</v>
      </c>
    </row>
    <row r="94" spans="1:22">
      <c r="G94" s="2622"/>
      <c r="N94" s="2626"/>
      <c r="O94" s="2627"/>
      <c r="P94" s="2627"/>
      <c r="Q94" s="2627"/>
      <c r="S94" s="2705">
        <v>2005</v>
      </c>
      <c r="T94" s="2704">
        <v>13.9</v>
      </c>
      <c r="U94" s="2704">
        <v>7.49</v>
      </c>
      <c r="V94" s="2704">
        <v>24.92</v>
      </c>
    </row>
    <row r="95" spans="1:22">
      <c r="G95" s="2622"/>
      <c r="N95" s="2626"/>
      <c r="O95" s="2627"/>
      <c r="P95" s="2627"/>
      <c r="Q95" s="2627"/>
      <c r="S95" s="2702">
        <v>2004</v>
      </c>
      <c r="T95" s="2703">
        <v>9.48</v>
      </c>
      <c r="U95" s="2703">
        <v>7.2</v>
      </c>
      <c r="V95" s="2703">
        <v>14.68</v>
      </c>
    </row>
    <row r="96" spans="1:22">
      <c r="G96" s="2622"/>
      <c r="N96" s="2626"/>
      <c r="O96" s="2627"/>
      <c r="P96" s="2627"/>
      <c r="Q96" s="2627"/>
      <c r="S96" s="2705">
        <v>2003</v>
      </c>
      <c r="T96" s="2704">
        <v>4.5</v>
      </c>
      <c r="U96" s="2704">
        <v>6.12</v>
      </c>
      <c r="V96" s="2704">
        <v>2.34</v>
      </c>
    </row>
    <row r="97" spans="7:22" ht="13.5" thickBot="1">
      <c r="G97" s="2622"/>
      <c r="N97" s="2626"/>
      <c r="O97" s="2627"/>
      <c r="P97" s="2627"/>
      <c r="Q97" s="2627"/>
      <c r="S97" s="2706">
        <v>2002</v>
      </c>
      <c r="T97" s="2707">
        <v>3.59</v>
      </c>
      <c r="U97" s="2707">
        <v>4.54</v>
      </c>
      <c r="V97" s="2707">
        <v>2.5499999999999998</v>
      </c>
    </row>
    <row r="98" spans="7:22">
      <c r="G98" s="2622"/>
      <c r="N98" s="2626"/>
      <c r="O98" s="2627"/>
      <c r="P98" s="2627"/>
      <c r="Q98" s="2627"/>
    </row>
    <row r="99" spans="7:22">
      <c r="G99" s="2622"/>
      <c r="N99" s="2626"/>
      <c r="O99" s="2627"/>
      <c r="P99" s="2627"/>
      <c r="Q99" s="2627"/>
    </row>
    <row r="100" spans="7:22">
      <c r="G100" s="2622"/>
      <c r="N100" s="2626"/>
      <c r="O100" s="2627"/>
      <c r="P100" s="2627"/>
      <c r="Q100" s="2627"/>
    </row>
    <row r="101" spans="7:22">
      <c r="G101" s="2622"/>
      <c r="N101" s="2626"/>
      <c r="O101" s="2627"/>
      <c r="P101" s="2627"/>
      <c r="Q101" s="2627"/>
    </row>
    <row r="102" spans="7:22">
      <c r="G102" s="2622"/>
      <c r="N102" s="2626"/>
      <c r="O102" s="2627"/>
      <c r="P102" s="2627"/>
      <c r="Q102" s="2627"/>
    </row>
    <row r="103" spans="7:22">
      <c r="G103" s="2622"/>
      <c r="N103" s="2626"/>
      <c r="O103" s="2627"/>
      <c r="P103" s="2627"/>
      <c r="Q103" s="2627"/>
    </row>
    <row r="104" spans="7:22">
      <c r="G104" s="2622"/>
      <c r="N104" s="2626"/>
      <c r="O104" s="2627"/>
      <c r="P104" s="2627"/>
      <c r="Q104" s="2627"/>
    </row>
    <row r="105" spans="7:22">
      <c r="G105" s="2622"/>
      <c r="N105" s="2626"/>
      <c r="O105" s="2627"/>
      <c r="P105" s="2627"/>
      <c r="Q105" s="2627"/>
    </row>
    <row r="106" spans="7:22">
      <c r="G106" s="2622"/>
      <c r="N106" s="2626"/>
      <c r="O106" s="2627"/>
      <c r="P106" s="2627"/>
      <c r="Q106" s="2627"/>
    </row>
    <row r="107" spans="7:22">
      <c r="G107" s="2622"/>
      <c r="N107" s="2626"/>
      <c r="O107" s="2627"/>
      <c r="P107" s="2627"/>
      <c r="Q107" s="2627"/>
    </row>
    <row r="108" spans="7:22">
      <c r="G108" s="2622"/>
      <c r="N108" s="2626"/>
      <c r="O108" s="2627"/>
      <c r="P108" s="2627"/>
      <c r="Q108" s="2627"/>
      <c r="S108" s="2622"/>
    </row>
    <row r="109" spans="7:22">
      <c r="G109" s="2622"/>
      <c r="N109" s="2626"/>
      <c r="O109" s="2627"/>
      <c r="P109" s="2627"/>
      <c r="Q109" s="2627"/>
      <c r="S109" s="2622"/>
    </row>
    <row r="110" spans="7:22">
      <c r="G110" s="2622"/>
      <c r="N110" s="2626"/>
      <c r="O110" s="2627"/>
      <c r="P110" s="2627"/>
      <c r="Q110" s="2627"/>
      <c r="S110" s="2622"/>
    </row>
    <row r="111" spans="7:22">
      <c r="G111" s="2622"/>
      <c r="N111" s="2626"/>
      <c r="O111" s="2627"/>
      <c r="P111" s="2627"/>
      <c r="Q111" s="2627"/>
      <c r="S111" s="2622"/>
    </row>
    <row r="112" spans="7:22">
      <c r="G112" s="2622"/>
      <c r="N112" s="2626"/>
      <c r="O112" s="2627"/>
      <c r="P112" s="2627"/>
      <c r="Q112" s="2627"/>
      <c r="S112" s="2622"/>
    </row>
    <row r="113" spans="7:19">
      <c r="G113" s="2622"/>
      <c r="N113" s="2626"/>
      <c r="O113" s="2627"/>
      <c r="P113" s="2627"/>
      <c r="Q113" s="2627"/>
      <c r="S113" s="2622"/>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245288.5平方米。</v>
      </c>
    </row>
    <row r="7" spans="1:4" ht="56.25">
      <c r="A7" s="1778" t="s">
        <v>2743</v>
      </c>
    </row>
    <row r="8" spans="1:4" ht="18.75">
      <c r="A8" s="1777" t="s">
        <v>1906</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2020年5月14日（评估专业人员勘察现场之日）</v>
      </c>
    </row>
    <row r="12" spans="1:4" ht="18.75">
      <c r="A12" s="1780" t="s">
        <v>2023</v>
      </c>
    </row>
    <row r="13" spans="1:4" ht="18.75">
      <c r="A13" s="1774" t="s">
        <v>2936</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根据《国有土地使用证》[]，估价对象（分摊）出让国有建设用地使用权面积为61677.15平方米。根据《建设工程规划许可证》[]、《出让合同》[]，估价对象规划建筑面积为245288.5平方米。</v>
      </c>
    </row>
    <row r="21" spans="1:1" ht="18.75">
      <c r="A21" s="1774" t="s">
        <v>2072</v>
      </c>
    </row>
    <row r="22" spans="1:1" ht="11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2943</v>
      </c>
      <c r="B1" s="3053"/>
      <c r="C1" s="3053"/>
      <c r="D1" s="3053"/>
      <c r="E1" s="3053"/>
      <c r="F1" s="3053"/>
    </row>
    <row r="2" spans="1:6" ht="14.25">
      <c r="A2" s="3054" t="s">
        <v>2938</v>
      </c>
      <c r="B2" s="3055" t="e">
        <f ca="1">SUMIF(B7:B14,"&lt;&gt;#ref!",B7:B14)</f>
        <v>#DIV/0!</v>
      </c>
      <c r="C2" s="3054" t="s">
        <v>2939</v>
      </c>
      <c r="D2" s="3053"/>
      <c r="E2" s="3053"/>
      <c r="F2" s="3053"/>
    </row>
    <row r="3" spans="1:6" ht="14.25">
      <c r="A3" s="3054" t="s">
        <v>2971</v>
      </c>
      <c r="B3" s="3055" t="e">
        <f ca="1">ROUND(B2*10000/E3,0)</f>
        <v>#DIV/0!</v>
      </c>
      <c r="C3" s="3054" t="s">
        <v>2076</v>
      </c>
      <c r="D3" s="3054" t="s">
        <v>2940</v>
      </c>
      <c r="E3" s="3055">
        <f ca="1">SUMIF(E7:E14,"&lt;&gt;#ref!",E7:E14)</f>
        <v>0</v>
      </c>
      <c r="F3" s="3053"/>
    </row>
    <row r="4" spans="1:6" ht="14.25">
      <c r="A4" s="3054" t="s">
        <v>2947</v>
      </c>
      <c r="B4" s="3055" t="e">
        <f ca="1">ROUND(B2*10000/E4,0)</f>
        <v>#DIV/0!</v>
      </c>
      <c r="C4" s="3054" t="s">
        <v>2076</v>
      </c>
      <c r="D4" s="3054" t="s">
        <v>2948</v>
      </c>
      <c r="E4" s="3055">
        <f ca="1">SUMIF(F7:F14,"&lt;&gt;#ref!",F7:F14)</f>
        <v>0</v>
      </c>
      <c r="F4" s="3053"/>
    </row>
    <row r="5" spans="1:6" ht="14.25">
      <c r="A5" s="3056"/>
      <c r="B5" s="1864"/>
      <c r="C5" s="1864"/>
      <c r="D5" s="1864"/>
      <c r="E5" s="1864"/>
      <c r="F5" s="3053"/>
    </row>
    <row r="6" spans="1:6" ht="28.5">
      <c r="A6" s="3057" t="s">
        <v>2944</v>
      </c>
      <c r="B6" s="3054" t="s">
        <v>2941</v>
      </c>
      <c r="C6" s="3055"/>
      <c r="D6" s="1864"/>
      <c r="E6" s="3054" t="s">
        <v>2942</v>
      </c>
      <c r="F6" s="3054" t="s">
        <v>2946</v>
      </c>
    </row>
    <row r="7" spans="1:6" ht="14.25">
      <c r="A7" s="259" t="s">
        <v>2945</v>
      </c>
      <c r="B7" s="3058" t="e">
        <f ca="1">SUMIF(INDIRECT("'"&amp;A7&amp;"'"&amp;"!A:A"),"总价",INDIRECT("'"&amp;A7&amp;"'"&amp;"!B:B"))</f>
        <v>#DIV/0!</v>
      </c>
      <c r="C7" s="3054" t="s">
        <v>2939</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2939</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2939</v>
      </c>
      <c r="D9" s="1864"/>
      <c r="E9" s="3059" t="e">
        <f t="shared" ca="1" si="1"/>
        <v>#REF!</v>
      </c>
      <c r="F9" s="3059" t="e">
        <f t="shared" ca="1" si="2"/>
        <v>#REF!</v>
      </c>
    </row>
    <row r="10" spans="1:6" ht="14.25">
      <c r="A10" s="259"/>
      <c r="B10" s="3058" t="e">
        <f t="shared" ca="1" si="0"/>
        <v>#REF!</v>
      </c>
      <c r="C10" s="3054" t="s">
        <v>2939</v>
      </c>
      <c r="D10" s="1864"/>
      <c r="E10" s="3059" t="e">
        <f t="shared" ca="1" si="1"/>
        <v>#REF!</v>
      </c>
      <c r="F10" s="3059" t="e">
        <f t="shared" ca="1" si="2"/>
        <v>#REF!</v>
      </c>
    </row>
    <row r="11" spans="1:6" ht="14.25">
      <c r="A11" s="259"/>
      <c r="B11" s="3058" t="e">
        <f t="shared" ca="1" si="0"/>
        <v>#REF!</v>
      </c>
      <c r="C11" s="3054" t="s">
        <v>2939</v>
      </c>
      <c r="D11" s="1864"/>
      <c r="E11" s="3059" t="e">
        <f t="shared" ca="1" si="1"/>
        <v>#REF!</v>
      </c>
      <c r="F11" s="3059" t="e">
        <f t="shared" ca="1" si="2"/>
        <v>#REF!</v>
      </c>
    </row>
    <row r="12" spans="1:6" ht="14.25">
      <c r="A12" s="259"/>
      <c r="B12" s="3058" t="e">
        <f t="shared" ca="1" si="0"/>
        <v>#REF!</v>
      </c>
      <c r="C12" s="3054" t="s">
        <v>2939</v>
      </c>
      <c r="D12" s="1864"/>
      <c r="E12" s="3059" t="e">
        <f t="shared" ca="1" si="1"/>
        <v>#REF!</v>
      </c>
      <c r="F12" s="3059" t="e">
        <f t="shared" ca="1" si="2"/>
        <v>#REF!</v>
      </c>
    </row>
    <row r="13" spans="1:6" ht="14.25">
      <c r="A13" s="259"/>
      <c r="B13" s="3058" t="e">
        <f t="shared" ca="1" si="0"/>
        <v>#REF!</v>
      </c>
      <c r="C13" s="3054" t="s">
        <v>2939</v>
      </c>
      <c r="D13" s="1864"/>
      <c r="E13" s="3059" t="e">
        <f t="shared" ca="1" si="1"/>
        <v>#REF!</v>
      </c>
      <c r="F13" s="3059" t="e">
        <f t="shared" ca="1" si="2"/>
        <v>#REF!</v>
      </c>
    </row>
    <row r="14" spans="1:6" ht="14.25">
      <c r="A14" s="3052"/>
      <c r="B14" s="3058" t="e">
        <f t="shared" ca="1" si="0"/>
        <v>#REF!</v>
      </c>
      <c r="C14" s="3054" t="s">
        <v>2939</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7" t="s">
        <v>2371</v>
      </c>
      <c r="F1" s="2348">
        <f ca="1">J54</f>
        <v>-2</v>
      </c>
      <c r="G1" s="773">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4"/>
      <c r="D2" s="2038"/>
      <c r="E2" s="2039"/>
      <c r="F2" s="2039"/>
      <c r="G2" s="1574"/>
      <c r="H2" s="1356"/>
      <c r="I2" s="2040"/>
      <c r="J2" s="2040"/>
      <c r="K2" s="2041"/>
      <c r="L2" s="2040"/>
      <c r="M2" s="2040"/>
    </row>
    <row r="3" spans="1:25" ht="18" customHeight="1">
      <c r="A3" s="1628" t="s">
        <v>1686</v>
      </c>
      <c r="B3" s="1385">
        <f ca="1">ROUND(B2*10000/'数据-汇总表'!E3,0)</f>
        <v>0</v>
      </c>
      <c r="C3" s="1344"/>
      <c r="D3" s="2038"/>
      <c r="E3" s="2039"/>
      <c r="F3" s="2039"/>
      <c r="G3" s="1574"/>
      <c r="H3" s="775" t="s">
        <v>695</v>
      </c>
      <c r="I3" s="2040"/>
      <c r="J3" s="2040"/>
      <c r="K3" s="2041"/>
      <c r="L3" s="2040"/>
      <c r="M3" s="2040"/>
    </row>
    <row r="4" spans="1:25" ht="18" customHeight="1">
      <c r="A4" s="1629" t="s">
        <v>696</v>
      </c>
      <c r="B4" s="1345">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2455</v>
      </c>
      <c r="C7" s="53">
        <f ca="1">C8+C12+C14</f>
        <v>0</v>
      </c>
      <c r="D7" s="2456" t="s">
        <v>2458</v>
      </c>
      <c r="E7" s="2450"/>
      <c r="F7" s="2451"/>
      <c r="G7" s="1576"/>
      <c r="H7" s="780">
        <v>1</v>
      </c>
      <c r="I7" s="781" t="s">
        <v>2455</v>
      </c>
      <c r="J7" s="53">
        <f ca="1">J8+J12+J14</f>
        <v>0</v>
      </c>
      <c r="K7" s="2456" t="s">
        <v>2458</v>
      </c>
      <c r="L7" s="2450"/>
      <c r="M7" s="2451"/>
    </row>
    <row r="8" spans="1:25" ht="18" customHeight="1">
      <c r="A8" s="1813" t="s">
        <v>1824</v>
      </c>
      <c r="B8" s="3861" t="s">
        <v>2460</v>
      </c>
      <c r="C8" s="1808">
        <f ca="1">ROUND(F8*F10*F9*(1-F11)/10000,0)</f>
        <v>0</v>
      </c>
      <c r="D8" s="1805" t="s">
        <v>2531</v>
      </c>
      <c r="E8" s="61" t="s">
        <v>637</v>
      </c>
      <c r="F8" s="784">
        <f ca="1">INDIRECT("'数据-取费表'!u"&amp;$G$1)</f>
        <v>0</v>
      </c>
      <c r="G8" s="1576"/>
      <c r="H8" s="2464" t="s">
        <v>1824</v>
      </c>
      <c r="I8" s="3861" t="s">
        <v>2460</v>
      </c>
      <c r="J8" s="782">
        <f ca="1">ROUND(M8*M10*M9*(1-M11)/10000,0)</f>
        <v>0</v>
      </c>
      <c r="K8" s="340" t="s">
        <v>2531</v>
      </c>
      <c r="L8" s="783" t="s">
        <v>1738</v>
      </c>
      <c r="M8" s="784">
        <f ca="1">INDIRECT("'数据-取费表'!z"&amp;$G$1)</f>
        <v>0</v>
      </c>
    </row>
    <row r="9" spans="1:25" ht="18" customHeight="1">
      <c r="A9" s="2460"/>
      <c r="B9" s="3862"/>
      <c r="C9" s="1809"/>
      <c r="D9" s="1806"/>
      <c r="E9" s="61" t="s">
        <v>638</v>
      </c>
      <c r="F9" s="784">
        <f ca="1">IF(INDIRECT("'数据-取费表'!ah"&amp;$G$1)="",INDIRECT("'数据-取费表'!k"&amp;$G$1),INDIRECT("'数据-取费表'!ah"&amp;$G$1))</f>
        <v>0</v>
      </c>
      <c r="G9" s="1576"/>
      <c r="H9" s="2449"/>
      <c r="I9" s="3862"/>
      <c r="J9" s="787"/>
      <c r="K9" s="788"/>
      <c r="L9" s="783" t="s">
        <v>1739</v>
      </c>
      <c r="M9" s="784">
        <f ca="1">F9</f>
        <v>0</v>
      </c>
    </row>
    <row r="10" spans="1:25" ht="18" customHeight="1">
      <c r="A10" s="2453"/>
      <c r="B10" s="3863"/>
      <c r="C10" s="1809"/>
      <c r="D10" s="1806"/>
      <c r="E10" s="61" t="s">
        <v>639</v>
      </c>
      <c r="F10" s="784">
        <f ca="1">INDIRECT("'数据-取费表'!ai"&amp;$G$1)</f>
        <v>0</v>
      </c>
      <c r="G10" s="1576"/>
      <c r="H10" s="2449"/>
      <c r="I10" s="3863"/>
      <c r="J10" s="787"/>
      <c r="K10" s="788"/>
      <c r="L10" s="783" t="s">
        <v>1740</v>
      </c>
      <c r="M10" s="784">
        <f ca="1">INDIRECT("'数据-取费表'!ai"&amp;$G$1)</f>
        <v>0</v>
      </c>
    </row>
    <row r="11" spans="1:25" ht="18" customHeight="1">
      <c r="A11" s="785"/>
      <c r="B11" s="3864"/>
      <c r="C11" s="1809"/>
      <c r="D11" s="1806"/>
      <c r="E11" s="61" t="s">
        <v>640</v>
      </c>
      <c r="F11" s="793">
        <f ca="1">INDIRECT("'数据-取费表'!w"&amp;$G$1)</f>
        <v>0</v>
      </c>
      <c r="G11" s="1576"/>
      <c r="H11" s="2465"/>
      <c r="I11" s="3863"/>
      <c r="J11" s="787"/>
      <c r="K11" s="788"/>
      <c r="L11" s="794" t="s">
        <v>1741</v>
      </c>
      <c r="M11" s="795">
        <f ca="1">INDIRECT("'数据-取费表'!ab"&amp;$G$1)</f>
        <v>0</v>
      </c>
    </row>
    <row r="12" spans="1:25" ht="18" customHeight="1">
      <c r="A12" s="1813" t="s">
        <v>1825</v>
      </c>
      <c r="B12" s="2454" t="s">
        <v>2456</v>
      </c>
      <c r="C12" s="798">
        <f ca="1">ROUND(IF(F12="押一",C8/12*F13,IF(F12="押二",C8/12*2*F13,IF(F12="押三",C8/12*3*F13,C13*F13))),0)</f>
        <v>0</v>
      </c>
      <c r="D12" s="2461" t="s">
        <v>2968</v>
      </c>
      <c r="E12" s="2458" t="s">
        <v>2461</v>
      </c>
      <c r="F12" s="2581"/>
      <c r="G12" s="1576"/>
      <c r="H12" s="2521" t="s">
        <v>1825</v>
      </c>
      <c r="I12" s="2526" t="s">
        <v>2456</v>
      </c>
      <c r="J12" s="782">
        <f ca="1">ROUND(IF(M12="押一",J8/12*M13,IF(M12="押二",J8/12*2*M13,IF(M12="押三",J8/12*3*M13,J13*M13))),0)</f>
        <v>0</v>
      </c>
      <c r="K12" s="2461" t="s">
        <v>2968</v>
      </c>
      <c r="L12" s="2458" t="s">
        <v>2461</v>
      </c>
      <c r="M12" s="2581"/>
    </row>
    <row r="13" spans="1:25" ht="18" customHeight="1">
      <c r="A13" s="789"/>
      <c r="B13" s="2455" t="s">
        <v>2570</v>
      </c>
      <c r="C13" s="2459"/>
      <c r="D13" s="788"/>
      <c r="E13" s="2458" t="s">
        <v>2453</v>
      </c>
      <c r="F13" s="795">
        <f ca="1">'数据-取费表'!B39</f>
        <v>1.4999999999999999E-2</v>
      </c>
      <c r="G13" s="1576"/>
      <c r="H13" s="2522"/>
      <c r="I13" s="2455" t="s">
        <v>2570</v>
      </c>
      <c r="J13" s="2459"/>
      <c r="K13" s="2523"/>
      <c r="L13" s="2458" t="s">
        <v>2453</v>
      </c>
      <c r="M13" s="2452">
        <f ca="1">'数据-取费表'!B39</f>
        <v>1.4999999999999999E-2</v>
      </c>
    </row>
    <row r="14" spans="1:25" ht="18" customHeight="1" thickBot="1">
      <c r="A14" s="2497" t="s">
        <v>2464</v>
      </c>
      <c r="B14" s="2498" t="s">
        <v>2457</v>
      </c>
      <c r="C14" s="2499"/>
      <c r="D14" s="2500"/>
      <c r="E14" s="2501"/>
      <c r="F14" s="2502"/>
      <c r="G14" s="1576"/>
      <c r="H14" s="2511" t="s">
        <v>2464</v>
      </c>
      <c r="I14" s="2524" t="s">
        <v>2457</v>
      </c>
      <c r="J14" s="2525"/>
      <c r="K14" s="2500"/>
      <c r="L14" s="2501"/>
      <c r="M14" s="2514"/>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2067</v>
      </c>
      <c r="I16" s="2214" t="s">
        <v>2821</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2068</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2067</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6</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2" t="str">
        <f>IF(F25&lt;=1,"单利计息。","复利计息。")&amp;"建造成本、管理费用、销售费用产生的利息。"</f>
        <v>复利计息。建造成本、管理费用、销售费用产生的利息。</v>
      </c>
      <c r="E24" s="1965"/>
      <c r="F24" s="56"/>
      <c r="G24" s="1576"/>
      <c r="H24" s="1814" t="s">
        <v>2068</v>
      </c>
      <c r="I24" s="783" t="s">
        <v>676</v>
      </c>
      <c r="J24" s="53">
        <f ca="1">ROUND(J16*M24,0)</f>
        <v>0</v>
      </c>
      <c r="K24" s="1960" t="s">
        <v>677</v>
      </c>
      <c r="L24" s="783" t="s">
        <v>649</v>
      </c>
      <c r="M24" s="816">
        <f ca="1">INDIRECT("'数据-取费表'!Ak"&amp;$G$1)</f>
        <v>0</v>
      </c>
    </row>
    <row r="25" spans="1:25" s="2047" customFormat="1" ht="18" customHeight="1">
      <c r="A25" s="802" t="s">
        <v>1875</v>
      </c>
      <c r="B25" s="783" t="s">
        <v>2434</v>
      </c>
      <c r="C25" s="53">
        <f ca="1">ROUND(IF('数据-取费表'!B22&lt;=1,(C21+C22)*F26*F25/2,(C21+C22)*(POWER((1+F26),F25/2)-1)),0)</f>
        <v>0</v>
      </c>
      <c r="D25" s="2531" t="str">
        <f>IF(F25&lt;=1,"(建造成本+管理费用)×利率×(建设周期÷2)","(建造成本+管理费用)×((1+利率)^(建设周期÷2)-1)")</f>
        <v>(建造成本+管理费用)×((1+利率)^(建设周期÷2)-1)</v>
      </c>
      <c r="E25" s="783" t="s">
        <v>678</v>
      </c>
      <c r="F25" s="639">
        <f>'数据-取费表'!B20</f>
        <v>2</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1E-3</v>
      </c>
      <c r="D26" s="2531"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59" t="s">
        <v>2818</v>
      </c>
      <c r="J27" s="798">
        <f ca="1">J7-J18</f>
        <v>0</v>
      </c>
      <c r="K27" s="1962" t="s">
        <v>700</v>
      </c>
      <c r="L27" s="1964"/>
      <c r="M27" s="819"/>
    </row>
    <row r="28" spans="1:25" ht="18" customHeight="1">
      <c r="A28" s="802" t="s">
        <v>1875</v>
      </c>
      <c r="B28" s="783" t="s">
        <v>2435</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0" t="s">
        <v>1883</v>
      </c>
      <c r="B31" s="2501" t="s">
        <v>2819</v>
      </c>
      <c r="C31" s="2504">
        <f ca="1">ROUND((C21+C22+C25+C28)/(1-F23-C26-C29-C30),0)</f>
        <v>0</v>
      </c>
      <c r="D31" s="2505"/>
      <c r="E31" s="2506"/>
      <c r="F31" s="2507"/>
      <c r="G31" s="1577"/>
      <c r="H31" s="822" t="s">
        <v>1872</v>
      </c>
      <c r="I31" s="2960" t="s">
        <v>2820</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7"/>
      <c r="F32" s="2451"/>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6</v>
      </c>
      <c r="G36" s="2045"/>
      <c r="H36" s="2048"/>
      <c r="I36" s="3860"/>
      <c r="J36" s="2062"/>
      <c r="K36" s="2063"/>
      <c r="L36" s="2062"/>
      <c r="M36" s="2062"/>
    </row>
    <row r="37" spans="1:18" ht="18" customHeight="1">
      <c r="A37" s="814"/>
      <c r="B37" s="792"/>
      <c r="C37" s="69"/>
      <c r="D37" s="815"/>
      <c r="E37" s="783" t="s">
        <v>674</v>
      </c>
      <c r="F37" s="784">
        <f ca="1">INDIRECT("'数据-取费表'!r"&amp;$G$1)</f>
        <v>0</v>
      </c>
      <c r="G37" s="2045"/>
      <c r="H37" s="2048"/>
      <c r="I37" s="3860"/>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0" t="s">
        <v>1879</v>
      </c>
      <c r="B40" s="2506" t="s">
        <v>666</v>
      </c>
      <c r="C40" s="2504">
        <f ca="1">ROUND(C7*F40,1)</f>
        <v>0</v>
      </c>
      <c r="D40" s="2505" t="s">
        <v>683</v>
      </c>
      <c r="E40" s="2506" t="s">
        <v>649</v>
      </c>
      <c r="F40" s="2502">
        <f ca="1">INDIRECT("'数据-取费表'!Am"&amp;$G$1)</f>
        <v>0</v>
      </c>
      <c r="G40" s="2045"/>
      <c r="H40" s="2060"/>
      <c r="I40" s="2064"/>
      <c r="J40" s="1971"/>
      <c r="K40" s="2066"/>
      <c r="L40" s="2060"/>
      <c r="M40" s="2060"/>
    </row>
    <row r="41" spans="1:18" ht="18" customHeight="1" thickTop="1">
      <c r="A41" s="1812">
        <v>4</v>
      </c>
      <c r="B41" s="1810" t="s">
        <v>692</v>
      </c>
      <c r="C41" s="1346"/>
      <c r="D41" s="1347"/>
      <c r="E41" s="1347"/>
      <c r="F41" s="1348"/>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49" t="s">
        <v>712</v>
      </c>
      <c r="E43" s="3070" t="s">
        <v>2956</v>
      </c>
      <c r="F43" s="3071">
        <f ca="1">INDIRECT("'数据-取费表'!j"&amp;$G$1)</f>
        <v>0</v>
      </c>
      <c r="G43" s="2045"/>
      <c r="H43" s="2045"/>
      <c r="I43" s="2045"/>
      <c r="J43" s="2045"/>
      <c r="K43" s="2066"/>
      <c r="L43" s="2045"/>
      <c r="M43" s="2045"/>
    </row>
    <row r="44" spans="1:18" ht="18" customHeight="1">
      <c r="A44" s="802" t="s">
        <v>1878</v>
      </c>
      <c r="B44" s="834" t="s">
        <v>713</v>
      </c>
      <c r="C44" s="1350">
        <f ca="1">C42-C43</f>
        <v>0</v>
      </c>
      <c r="D44" s="462" t="s">
        <v>714</v>
      </c>
      <c r="E44" s="463"/>
      <c r="F44" s="464"/>
      <c r="G44" s="2045"/>
      <c r="H44" s="2045"/>
      <c r="I44" s="2045"/>
      <c r="J44" s="2045"/>
      <c r="K44" s="2066"/>
      <c r="L44" s="2045"/>
      <c r="M44" s="2045"/>
    </row>
    <row r="45" spans="1:18" ht="18" customHeight="1">
      <c r="A45" s="802" t="s">
        <v>1879</v>
      </c>
      <c r="B45" s="1349" t="s">
        <v>715</v>
      </c>
      <c r="C45" s="2986">
        <f ca="1">ROUND(-PV(F45,F46,C44,0),0)</f>
        <v>0</v>
      </c>
      <c r="D45" s="1351" t="s">
        <v>716</v>
      </c>
      <c r="E45" s="805" t="s">
        <v>717</v>
      </c>
      <c r="F45" s="829">
        <f ca="1">INDIRECT("'数据-取费表'!h"&amp;$G$1)</f>
        <v>0</v>
      </c>
      <c r="G45" s="2045"/>
      <c r="H45" s="2045"/>
      <c r="I45" s="2045"/>
      <c r="J45" s="2045"/>
      <c r="K45" s="2066"/>
      <c r="L45" s="2045"/>
      <c r="M45" s="2045"/>
    </row>
    <row r="46" spans="1:18" ht="18" customHeight="1" thickBot="1">
      <c r="A46" s="830"/>
      <c r="B46" s="1352"/>
      <c r="C46" s="1353"/>
      <c r="D46" s="1354"/>
      <c r="E46" s="3072" t="s">
        <v>2959</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38" t="s">
        <v>2340</v>
      </c>
      <c r="J47" s="2339"/>
      <c r="K47" s="2340"/>
      <c r="L47" s="3104" t="str">
        <f ca="1">IF(M48="住宅",0,IF(L49&gt;J52,L61,J61))</f>
        <v>0</v>
      </c>
      <c r="O47" s="2354" t="s">
        <v>2407</v>
      </c>
      <c r="P47" s="1576"/>
      <c r="Q47" s="1587"/>
      <c r="R47" s="1576"/>
    </row>
    <row r="48" spans="1:18" s="2042" customFormat="1" ht="18" customHeight="1" thickBot="1">
      <c r="A48" s="2067"/>
      <c r="C48" s="2070"/>
      <c r="D48" s="2071"/>
      <c r="E48" s="2071"/>
      <c r="F48" s="2072"/>
      <c r="G48" s="2073"/>
      <c r="I48" s="3095" t="s">
        <v>2341</v>
      </c>
      <c r="J48" s="2341"/>
      <c r="K48" s="3101" t="s">
        <v>2346</v>
      </c>
      <c r="L48" s="3105">
        <f ca="1">INDIRECT("'数据-取费表'!d"&amp;$G$1)</f>
        <v>0</v>
      </c>
      <c r="M48" s="3069" t="str">
        <f>IF(ISNUMBER(FIND("住宅",C1)),"住宅","非住宅")</f>
        <v>非住宅</v>
      </c>
      <c r="O48" s="2355" t="s">
        <v>2372</v>
      </c>
      <c r="P48" s="2356" t="s">
        <v>2373</v>
      </c>
      <c r="Q48" s="2357" t="s">
        <v>2374</v>
      </c>
      <c r="R48" s="2356" t="s">
        <v>2375</v>
      </c>
    </row>
    <row r="49" spans="1:18" s="2042" customFormat="1" ht="18" customHeight="1" thickBot="1">
      <c r="A49" s="2067"/>
      <c r="D49" s="2074"/>
      <c r="E49" s="2075"/>
      <c r="F49" s="2072"/>
      <c r="G49" s="2073"/>
      <c r="H49" s="2076"/>
      <c r="I49" s="3074" t="s">
        <v>2342</v>
      </c>
      <c r="J49" s="2342"/>
      <c r="K49" s="3102" t="s">
        <v>2348</v>
      </c>
      <c r="L49" s="1891">
        <f ca="1">INDIRECT("'数据-取费表'!f"&amp;$G$1)</f>
        <v>0</v>
      </c>
      <c r="O49" s="2358" t="s">
        <v>2376</v>
      </c>
      <c r="P49" s="2359" t="s">
        <v>2402</v>
      </c>
      <c r="Q49" s="2360">
        <f ca="1">C41+J31</f>
        <v>0</v>
      </c>
      <c r="R49" s="2359" t="s">
        <v>2377</v>
      </c>
    </row>
    <row r="50" spans="1:18" s="2042" customFormat="1" ht="18" customHeight="1" thickBot="1">
      <c r="A50" s="2067"/>
      <c r="D50" s="2077"/>
      <c r="E50" s="2077"/>
      <c r="F50" s="2071"/>
      <c r="G50" s="2078"/>
      <c r="H50" s="2076"/>
      <c r="I50" s="3074" t="s">
        <v>2343</v>
      </c>
      <c r="J50" s="2343"/>
      <c r="K50" s="3103" t="s">
        <v>2349</v>
      </c>
      <c r="L50" s="2344"/>
      <c r="O50" s="2358" t="s">
        <v>2378</v>
      </c>
      <c r="P50" s="2359" t="s">
        <v>2403</v>
      </c>
      <c r="Q50" s="2360" t="str">
        <f ca="1">J61</f>
        <v>0</v>
      </c>
      <c r="R50" s="2359" t="s">
        <v>2379</v>
      </c>
    </row>
    <row r="51" spans="1:18" s="2042" customFormat="1" ht="18" customHeight="1" thickBot="1">
      <c r="A51" s="2079"/>
      <c r="D51" s="2077"/>
      <c r="E51" s="2077"/>
      <c r="F51" s="2068"/>
      <c r="H51" s="2076"/>
      <c r="I51" s="3074" t="s">
        <v>2344</v>
      </c>
      <c r="J51" s="3099">
        <f>SUMPRODUCT((I64:I66=J48)*(J63:L63=J49)*(J64:L66))</f>
        <v>0</v>
      </c>
      <c r="K51" s="3103" t="s">
        <v>2350</v>
      </c>
      <c r="L51" s="2344"/>
      <c r="O51" s="2361" t="s">
        <v>2380</v>
      </c>
      <c r="P51" s="2359" t="s">
        <v>2404</v>
      </c>
      <c r="Q51" s="2360">
        <f ca="1">C31</f>
        <v>0</v>
      </c>
      <c r="R51" s="2359" t="s">
        <v>2377</v>
      </c>
    </row>
    <row r="52" spans="1:18" s="2042" customFormat="1" ht="18" customHeight="1" thickBot="1">
      <c r="A52" s="2079"/>
      <c r="F52" s="2068"/>
      <c r="I52" s="3096" t="s">
        <v>2345</v>
      </c>
      <c r="J52" s="3100">
        <f>IF(J50="",J51,J50+J51-YEAR('数据-取费表'!B3))</f>
        <v>0</v>
      </c>
      <c r="K52" s="3074" t="s">
        <v>2351</v>
      </c>
      <c r="L52" s="3106">
        <f ca="1">C45</f>
        <v>0</v>
      </c>
      <c r="O52" s="2361" t="s">
        <v>2381</v>
      </c>
      <c r="P52" s="2359" t="s">
        <v>2382</v>
      </c>
      <c r="Q52" s="2362" t="e">
        <f ca="1">J59</f>
        <v>#VALUE!</v>
      </c>
      <c r="R52" s="2363"/>
    </row>
    <row r="53" spans="1:18" s="2042" customFormat="1" ht="18" customHeight="1" thickBot="1">
      <c r="A53" s="2079"/>
      <c r="F53" s="2068"/>
      <c r="I53" s="3097" t="s">
        <v>2418</v>
      </c>
      <c r="J53" s="2345"/>
      <c r="K53" s="3097" t="s">
        <v>2417</v>
      </c>
      <c r="L53" s="2345"/>
      <c r="O53" s="2361" t="s">
        <v>2383</v>
      </c>
      <c r="P53" s="2359" t="s">
        <v>2384</v>
      </c>
      <c r="Q53" s="2362">
        <f>J53</f>
        <v>0</v>
      </c>
      <c r="R53" s="2363"/>
    </row>
    <row r="54" spans="1:18" s="2042" customFormat="1" ht="29.25" thickBot="1">
      <c r="A54" s="2079"/>
      <c r="I54" s="3098" t="s">
        <v>2972</v>
      </c>
      <c r="J54" s="3177">
        <f ca="1">IF(M48="住宅",MAX(J52,L49-'数据-取费表'!B20),MIN(J52,L49-'数据-取费表'!B20))</f>
        <v>-2</v>
      </c>
      <c r="K54" s="3865"/>
      <c r="L54" s="3866"/>
      <c r="O54" s="2361" t="s">
        <v>2385</v>
      </c>
      <c r="P54" s="2359" t="s">
        <v>2386</v>
      </c>
      <c r="Q54" s="2360">
        <f ca="1">J54</f>
        <v>-2</v>
      </c>
      <c r="R54" s="2359" t="s">
        <v>2387</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8" t="s">
        <v>2388</v>
      </c>
      <c r="P55" s="2359" t="s">
        <v>2405</v>
      </c>
      <c r="Q55" s="2360">
        <f ca="1">Q49+Q50</f>
        <v>0</v>
      </c>
      <c r="R55" s="2363" t="s">
        <v>2389</v>
      </c>
    </row>
    <row r="56" spans="1:18" s="2042" customFormat="1" ht="16.5" thickBot="1">
      <c r="A56" s="2079"/>
      <c r="B56" s="2080"/>
      <c r="C56" s="2080"/>
      <c r="I56" s="3109" t="s">
        <v>2352</v>
      </c>
      <c r="J56" s="3049" t="e">
        <f ca="1">ROUND(IF(J48="钢混",J58/J51,1-(1-2%)*(J51-J58)/J51),3)</f>
        <v>#VALUE!</v>
      </c>
      <c r="K56" s="3110" t="s">
        <v>2353</v>
      </c>
      <c r="L56" s="2346"/>
      <c r="O56" s="2364" t="s">
        <v>2408</v>
      </c>
      <c r="P56" s="1576"/>
      <c r="Q56" s="1587"/>
      <c r="R56" s="1576"/>
    </row>
    <row r="57" spans="1:18" s="2042" customFormat="1" ht="43.5" thickBot="1">
      <c r="A57" s="2079"/>
      <c r="B57" s="2080"/>
      <c r="C57" s="2080"/>
      <c r="I57" s="3111" t="s">
        <v>2354</v>
      </c>
      <c r="J57" s="3121" t="s">
        <v>1678</v>
      </c>
      <c r="K57" s="3074" t="s">
        <v>2359</v>
      </c>
      <c r="L57" s="1891">
        <f ca="1">IF(L49&lt;J52,"——",L49-J52)</f>
        <v>0</v>
      </c>
      <c r="O57" s="2355" t="s">
        <v>2372</v>
      </c>
      <c r="P57" s="2356" t="s">
        <v>2373</v>
      </c>
      <c r="Q57" s="2357" t="s">
        <v>2374</v>
      </c>
      <c r="R57" s="2356" t="s">
        <v>2375</v>
      </c>
    </row>
    <row r="58" spans="1:18" s="2042" customFormat="1" ht="29.25" thickBot="1">
      <c r="A58" s="2079"/>
      <c r="B58" s="2080"/>
      <c r="C58" s="2080"/>
      <c r="I58" s="3112" t="s">
        <v>2355</v>
      </c>
      <c r="J58" s="3113" t="str">
        <f ca="1">IF(OR(M48="住宅",J52&lt;L49,J57="是"),"——",J52-L49)</f>
        <v>——</v>
      </c>
      <c r="K58" s="3074" t="s">
        <v>2360</v>
      </c>
      <c r="L58" s="1891">
        <f ca="1">IF(L49&lt;J52,"——",IF(L56="比较法",L50,IF(L56="基准地价",L51,L52)))</f>
        <v>0</v>
      </c>
      <c r="O58" s="2358" t="s">
        <v>2376</v>
      </c>
      <c r="P58" s="2359" t="s">
        <v>2402</v>
      </c>
      <c r="Q58" s="2360">
        <f ca="1">C41+J31</f>
        <v>0</v>
      </c>
      <c r="R58" s="2359" t="s">
        <v>2377</v>
      </c>
    </row>
    <row r="59" spans="1:18" s="2042" customFormat="1" ht="29.25" thickBot="1">
      <c r="A59" s="2079"/>
      <c r="B59" s="2080"/>
      <c r="C59" s="2080"/>
      <c r="I59" s="3112" t="s">
        <v>2356</v>
      </c>
      <c r="J59" s="3050" t="e">
        <f ca="1">IF(J56&lt;0.4,0.4,J56)</f>
        <v>#VALUE!</v>
      </c>
      <c r="K59" s="3074" t="s">
        <v>2361</v>
      </c>
      <c r="L59" s="1891">
        <f ca="1">IF(ISERROR(POWER(1+L53,L48-L49)*(POWER(1+L53,L49)-1)/(POWER(1+L53,L48)-1)),0,POWER(1+L53,L48-L49)*(POWER(1+L53,L49)-1)/(POWER(1+L53,L48)-1))</f>
        <v>0</v>
      </c>
      <c r="O59" s="2358" t="s">
        <v>2378</v>
      </c>
      <c r="P59" s="2359" t="s">
        <v>2409</v>
      </c>
      <c r="Q59" s="2360" t="e">
        <f ca="1">L61</f>
        <v>#DIV/0!</v>
      </c>
      <c r="R59" s="2363" t="s">
        <v>2411</v>
      </c>
    </row>
    <row r="60" spans="1:18" s="2042" customFormat="1" ht="29.25" thickBot="1">
      <c r="A60" s="2079"/>
      <c r="B60" s="2080"/>
      <c r="C60" s="2080"/>
      <c r="I60" s="3112" t="s">
        <v>2357</v>
      </c>
      <c r="J60" s="3113" t="str">
        <f ca="1">IF(OR(M48="住宅",J52&lt;L49,J57="是"),"——",ROUND(C30*J59,0))</f>
        <v>——</v>
      </c>
      <c r="K60" s="3074" t="s">
        <v>2362</v>
      </c>
      <c r="L60" s="1891">
        <f ca="1">IF(ISERROR(POWER(1+L53,L48-J52)*(POWER(1+L53,J52)-1)/(POWER(1+L53,L48)-1)),0,POWER(1+L53,L48-J52)*(POWER(1+L53,J52)-1)/(POWER(1+L53,L48)-1))</f>
        <v>0</v>
      </c>
      <c r="O60" s="2361" t="s">
        <v>2380</v>
      </c>
      <c r="P60" s="2359" t="s">
        <v>2410</v>
      </c>
      <c r="Q60" s="2360">
        <f>IF(L56="比较法",L50,IF(L56="基准地价",L51,0))</f>
        <v>0</v>
      </c>
      <c r="R60" s="2359" t="s">
        <v>2377</v>
      </c>
    </row>
    <row r="61" spans="1:18" s="2042" customFormat="1" ht="15.75" thickBot="1">
      <c r="A61" s="2079"/>
      <c r="B61" s="2080"/>
      <c r="C61" s="2080"/>
      <c r="I61" s="3114" t="s">
        <v>2358</v>
      </c>
      <c r="J61" s="3115" t="str">
        <f ca="1">IF(OR(M48="住宅",J52&lt;L49,J57="是"),"0",ROUND(J60/(1+J53)^J54,0))</f>
        <v>0</v>
      </c>
      <c r="K61" s="3116" t="s">
        <v>2363</v>
      </c>
      <c r="L61" s="3115" t="e">
        <f ca="1">IF(OR(M48="住宅",L49&lt;J52),0,ROUND(L58*(L59/L60-1),0))</f>
        <v>#DIV/0!</v>
      </c>
      <c r="O61" s="2361" t="s">
        <v>2381</v>
      </c>
      <c r="P61" s="2359" t="s">
        <v>2390</v>
      </c>
      <c r="Q61" s="2362">
        <f>L53</f>
        <v>0</v>
      </c>
      <c r="R61" s="2363"/>
    </row>
    <row r="62" spans="1:18" s="2042" customFormat="1" ht="20.25" thickBot="1">
      <c r="A62" s="2079"/>
      <c r="B62" s="2080"/>
      <c r="C62" s="2080"/>
      <c r="K62" s="2069"/>
      <c r="O62" s="2361" t="s">
        <v>2383</v>
      </c>
      <c r="P62" s="2359" t="s">
        <v>2391</v>
      </c>
      <c r="Q62" s="2360">
        <f ca="1">L59</f>
        <v>0</v>
      </c>
      <c r="R62" s="2363" t="s">
        <v>2392</v>
      </c>
    </row>
    <row r="63" spans="1:18" s="2042" customFormat="1" ht="20.25" thickBot="1">
      <c r="A63" s="2079"/>
      <c r="B63" s="2080"/>
      <c r="C63" s="2080"/>
      <c r="I63" s="3117" t="s">
        <v>2364</v>
      </c>
      <c r="J63" s="3118" t="s">
        <v>2365</v>
      </c>
      <c r="K63" s="3118" t="s">
        <v>2366</v>
      </c>
      <c r="L63" s="3118" t="s">
        <v>2347</v>
      </c>
      <c r="M63" s="3119" t="s">
        <v>2937</v>
      </c>
      <c r="O63" s="2361" t="s">
        <v>2385</v>
      </c>
      <c r="P63" s="2359" t="s">
        <v>2393</v>
      </c>
      <c r="Q63" s="2360">
        <f ca="1">L60</f>
        <v>0</v>
      </c>
      <c r="R63" s="2363" t="s">
        <v>2394</v>
      </c>
    </row>
    <row r="64" spans="1:18" s="2042" customFormat="1" ht="15.75" thickBot="1">
      <c r="A64" s="2079"/>
      <c r="B64" s="2080"/>
      <c r="C64" s="2080"/>
      <c r="I64" s="3117" t="s">
        <v>2367</v>
      </c>
      <c r="J64" s="3118">
        <v>70</v>
      </c>
      <c r="K64" s="3118">
        <v>50</v>
      </c>
      <c r="L64" s="3118">
        <v>80</v>
      </c>
      <c r="M64" s="3120">
        <v>0.02</v>
      </c>
      <c r="O64" s="2358" t="s">
        <v>2388</v>
      </c>
      <c r="P64" s="2359" t="s">
        <v>2405</v>
      </c>
      <c r="Q64" s="2360" t="e">
        <f ca="1">Q58+Q59</f>
        <v>#DIV/0!</v>
      </c>
      <c r="R64" s="2363" t="s">
        <v>2389</v>
      </c>
    </row>
    <row r="65" spans="1:18" s="2042" customFormat="1" ht="16.5" thickBot="1">
      <c r="A65" s="2079"/>
      <c r="B65" s="2080"/>
      <c r="C65" s="2080"/>
      <c r="I65" s="3117" t="s">
        <v>2368</v>
      </c>
      <c r="J65" s="3118">
        <v>50</v>
      </c>
      <c r="K65" s="3118">
        <v>35</v>
      </c>
      <c r="L65" s="3118">
        <v>60</v>
      </c>
      <c r="M65" s="845">
        <v>0</v>
      </c>
      <c r="O65" s="2364" t="s">
        <v>2412</v>
      </c>
      <c r="P65" s="1576"/>
      <c r="Q65" s="1587"/>
      <c r="R65" s="1576"/>
    </row>
    <row r="66" spans="1:18" s="2042" customFormat="1" ht="15.75" thickBot="1">
      <c r="A66" s="2079"/>
      <c r="B66" s="2080"/>
      <c r="C66" s="2080"/>
      <c r="I66" s="3117" t="s">
        <v>2369</v>
      </c>
      <c r="J66" s="3118">
        <v>40</v>
      </c>
      <c r="K66" s="3118">
        <v>30</v>
      </c>
      <c r="L66" s="3118">
        <v>50</v>
      </c>
      <c r="M66" s="3120">
        <v>0.02</v>
      </c>
      <c r="O66" s="2355" t="s">
        <v>2372</v>
      </c>
      <c r="P66" s="2356" t="s">
        <v>2373</v>
      </c>
      <c r="Q66" s="2357" t="s">
        <v>2374</v>
      </c>
      <c r="R66" s="2356" t="s">
        <v>2375</v>
      </c>
    </row>
    <row r="67" spans="1:18" s="2042" customFormat="1" ht="15.75" thickBot="1">
      <c r="A67" s="2079"/>
      <c r="B67" s="2080"/>
      <c r="C67" s="2080"/>
      <c r="K67" s="2069"/>
      <c r="O67" s="2358" t="s">
        <v>2376</v>
      </c>
      <c r="P67" s="2359" t="s">
        <v>2402</v>
      </c>
      <c r="Q67" s="2360">
        <f ca="1">C41+J31</f>
        <v>0</v>
      </c>
      <c r="R67" s="2359" t="s">
        <v>2377</v>
      </c>
    </row>
    <row r="68" spans="1:18" s="2042" customFormat="1" ht="20.25" thickBot="1">
      <c r="A68" s="2079"/>
      <c r="B68" s="2080"/>
      <c r="C68" s="2080"/>
      <c r="K68" s="2069"/>
      <c r="O68" s="2358" t="s">
        <v>2378</v>
      </c>
      <c r="P68" s="2359" t="s">
        <v>2409</v>
      </c>
      <c r="Q68" s="2360" t="e">
        <f ca="1">L61</f>
        <v>#DIV/0!</v>
      </c>
      <c r="R68" s="2363" t="s">
        <v>2411</v>
      </c>
    </row>
    <row r="69" spans="1:18" s="2042" customFormat="1" ht="21.75" thickBot="1">
      <c r="A69" s="2079"/>
      <c r="B69" s="2080"/>
      <c r="C69" s="2080"/>
      <c r="K69" s="2069"/>
      <c r="O69" s="2361" t="s">
        <v>2380</v>
      </c>
      <c r="P69" s="2359" t="s">
        <v>2410</v>
      </c>
      <c r="Q69" s="2365">
        <f ca="1">L52</f>
        <v>0</v>
      </c>
      <c r="R69" s="2366" t="s">
        <v>2413</v>
      </c>
    </row>
    <row r="70" spans="1:18" s="2042" customFormat="1" ht="20.25" thickBot="1">
      <c r="A70" s="2079"/>
      <c r="B70" s="2080"/>
      <c r="C70" s="2080"/>
      <c r="K70" s="2069"/>
      <c r="O70" s="2361" t="s">
        <v>2381</v>
      </c>
      <c r="P70" s="2367" t="s">
        <v>2395</v>
      </c>
      <c r="Q70" s="2360">
        <f ca="1">ROUND(Q71-Q72*Q73,0)</f>
        <v>0</v>
      </c>
      <c r="R70" s="2363"/>
    </row>
    <row r="71" spans="1:18" s="2042" customFormat="1" ht="15.75" thickBot="1">
      <c r="A71" s="2079"/>
      <c r="B71" s="2080"/>
      <c r="C71" s="2080"/>
      <c r="K71" s="2069"/>
      <c r="O71" s="2361" t="s">
        <v>2396</v>
      </c>
      <c r="P71" s="2367" t="s">
        <v>2397</v>
      </c>
      <c r="Q71" s="2360">
        <f ca="1">C42</f>
        <v>0</v>
      </c>
      <c r="R71" s="2359" t="s">
        <v>2377</v>
      </c>
    </row>
    <row r="72" spans="1:18" s="2042" customFormat="1" ht="15.75" thickBot="1">
      <c r="A72" s="2079"/>
      <c r="B72" s="2080"/>
      <c r="C72" s="2080"/>
      <c r="K72" s="2069"/>
      <c r="O72" s="2361" t="s">
        <v>2398</v>
      </c>
      <c r="P72" s="2367" t="s">
        <v>2399</v>
      </c>
      <c r="Q72" s="2360">
        <f ca="1">C15</f>
        <v>0</v>
      </c>
      <c r="R72" s="2359" t="s">
        <v>2377</v>
      </c>
    </row>
    <row r="73" spans="1:18" s="2042" customFormat="1" ht="15.75" thickBot="1">
      <c r="A73" s="2079"/>
      <c r="B73" s="2080"/>
      <c r="C73" s="2080"/>
      <c r="K73" s="2069"/>
      <c r="O73" s="2361" t="s">
        <v>2400</v>
      </c>
      <c r="P73" s="2367" t="s">
        <v>2401</v>
      </c>
      <c r="Q73" s="2362">
        <f ca="1">F43</f>
        <v>0</v>
      </c>
      <c r="R73" s="2363"/>
    </row>
    <row r="74" spans="1:18" s="2042" customFormat="1" ht="15.75" thickBot="1">
      <c r="A74" s="2079"/>
      <c r="B74" s="2080"/>
      <c r="C74" s="2080"/>
      <c r="K74" s="2069"/>
      <c r="O74" s="2361" t="s">
        <v>2383</v>
      </c>
      <c r="P74" s="2359" t="s">
        <v>2390</v>
      </c>
      <c r="Q74" s="2362">
        <f>L53</f>
        <v>0</v>
      </c>
      <c r="R74" s="2363"/>
    </row>
    <row r="75" spans="1:18" s="2042" customFormat="1" ht="20.25" thickBot="1">
      <c r="A75" s="2079"/>
      <c r="B75" s="2080"/>
      <c r="C75" s="2080"/>
      <c r="K75" s="2069"/>
      <c r="O75" s="2361" t="s">
        <v>2385</v>
      </c>
      <c r="P75" s="2359" t="s">
        <v>2391</v>
      </c>
      <c r="Q75" s="2360">
        <f ca="1">L59</f>
        <v>0</v>
      </c>
      <c r="R75" s="2363" t="s">
        <v>2392</v>
      </c>
    </row>
    <row r="76" spans="1:18" s="2042" customFormat="1" ht="20.25" thickBot="1">
      <c r="A76" s="2079"/>
      <c r="B76" s="2080"/>
      <c r="C76" s="2080"/>
      <c r="K76" s="2069"/>
      <c r="O76" s="2361" t="s">
        <v>2414</v>
      </c>
      <c r="P76" s="2359" t="s">
        <v>2393</v>
      </c>
      <c r="Q76" s="2360">
        <f ca="1">L60</f>
        <v>0</v>
      </c>
      <c r="R76" s="2363" t="s">
        <v>2394</v>
      </c>
    </row>
    <row r="77" spans="1:18" s="2042" customFormat="1" ht="15.75" thickBot="1">
      <c r="A77" s="2079"/>
      <c r="B77" s="2080"/>
      <c r="C77" s="2080"/>
      <c r="K77" s="2069"/>
      <c r="O77" s="2358" t="s">
        <v>2388</v>
      </c>
      <c r="P77" s="2359" t="s">
        <v>2405</v>
      </c>
      <c r="Q77" s="2360" t="e">
        <f ca="1">Q67+Q68</f>
        <v>#DIV/0!</v>
      </c>
      <c r="R77" s="2363"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3" priority="6">
      <formula>$F$12="自定义"</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K61">
    <cfRule type="expression" dxfId="9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N46" sqref="N46"/>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2583" t="s">
        <v>719</v>
      </c>
      <c r="C1" s="2584" t="s">
        <v>720</v>
      </c>
      <c r="D1" s="2585" t="s">
        <v>923</v>
      </c>
      <c r="E1" s="2586"/>
      <c r="F1" s="2758" t="s">
        <v>3337</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467</v>
      </c>
      <c r="B2" s="2582">
        <f>ROUND(B3*D3/10000,0)</f>
        <v>165100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519</v>
      </c>
      <c r="B3" s="850">
        <f>C49</f>
        <v>9423</v>
      </c>
      <c r="C3" s="851" t="s">
        <v>722</v>
      </c>
      <c r="D3" s="850">
        <f>SUMIF('数据-汇总表'!$C19:$C33,D1,'数据-汇总表'!$E19:$E33)</f>
        <v>175210</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793" t="s">
        <v>522</v>
      </c>
      <c r="D4" s="3794"/>
      <c r="E4" s="3817" t="s">
        <v>523</v>
      </c>
      <c r="F4" s="3818"/>
      <c r="G4" s="3793" t="s">
        <v>524</v>
      </c>
      <c r="H4" s="3794"/>
      <c r="I4" s="3793" t="s">
        <v>525</v>
      </c>
      <c r="J4" s="3794"/>
      <c r="K4" s="852" t="s">
        <v>526</v>
      </c>
      <c r="L4" s="2116"/>
      <c r="M4" s="2117"/>
      <c r="N4" s="2117"/>
      <c r="O4" s="2117"/>
      <c r="P4" s="3795" t="s">
        <v>527</v>
      </c>
      <c r="Q4" s="3796"/>
      <c r="R4" s="3781" t="s">
        <v>523</v>
      </c>
      <c r="S4" s="3782"/>
      <c r="T4" s="3781" t="s">
        <v>524</v>
      </c>
      <c r="U4" s="3782"/>
      <c r="V4" s="3801" t="s">
        <v>525</v>
      </c>
      <c r="W4" s="3801"/>
      <c r="X4" s="1551"/>
      <c r="Y4" s="3781" t="s">
        <v>527</v>
      </c>
      <c r="Z4" s="3782"/>
      <c r="AA4" s="3776" t="s">
        <v>523</v>
      </c>
      <c r="AB4" s="3776" t="s">
        <v>524</v>
      </c>
      <c r="AC4" s="3776" t="s">
        <v>525</v>
      </c>
    </row>
    <row r="5" spans="1:29" ht="15">
      <c r="A5" s="514"/>
      <c r="B5" s="515"/>
      <c r="C5" s="3804" t="s">
        <v>2924</v>
      </c>
      <c r="D5" s="3805"/>
      <c r="E5" s="3867" t="s">
        <v>3321</v>
      </c>
      <c r="F5" s="3820"/>
      <c r="G5" s="3868" t="s">
        <v>3322</v>
      </c>
      <c r="H5" s="3805"/>
      <c r="I5" s="3868" t="s">
        <v>3323</v>
      </c>
      <c r="J5" s="3805"/>
      <c r="K5" s="853"/>
      <c r="L5" s="2116"/>
      <c r="M5" s="2117"/>
      <c r="N5" s="2117"/>
      <c r="O5" s="2117"/>
      <c r="P5" s="3797"/>
      <c r="Q5" s="3798"/>
      <c r="R5" s="3783"/>
      <c r="S5" s="3784"/>
      <c r="T5" s="3783"/>
      <c r="U5" s="3784"/>
      <c r="V5" s="3801"/>
      <c r="W5" s="3801"/>
      <c r="X5" s="1551"/>
      <c r="Y5" s="3783"/>
      <c r="Z5" s="3784"/>
      <c r="AA5" s="3777"/>
      <c r="AB5" s="3777"/>
      <c r="AC5" s="3777"/>
    </row>
    <row r="6" spans="1:29" ht="15.75" thickBot="1">
      <c r="A6" s="516"/>
      <c r="B6" s="517"/>
      <c r="C6" s="3802" t="s">
        <v>2928</v>
      </c>
      <c r="D6" s="3803"/>
      <c r="E6" s="3821" t="s">
        <v>2928</v>
      </c>
      <c r="F6" s="3822"/>
      <c r="G6" s="3802" t="s">
        <v>2928</v>
      </c>
      <c r="H6" s="3803"/>
      <c r="I6" s="3802" t="s">
        <v>2928</v>
      </c>
      <c r="J6" s="3803"/>
      <c r="K6" s="853" t="s">
        <v>528</v>
      </c>
      <c r="L6" s="2116"/>
      <c r="M6" s="2117"/>
      <c r="N6" s="2117"/>
      <c r="O6" s="2117"/>
      <c r="P6" s="3799"/>
      <c r="Q6" s="3800"/>
      <c r="R6" s="3783"/>
      <c r="S6" s="3784"/>
      <c r="T6" s="3785"/>
      <c r="U6" s="3786"/>
      <c r="V6" s="3801"/>
      <c r="W6" s="3801"/>
      <c r="X6" s="1551"/>
      <c r="Y6" s="3785"/>
      <c r="Z6" s="3786"/>
      <c r="AA6" s="3778"/>
      <c r="AB6" s="3778"/>
      <c r="AC6" s="3778"/>
    </row>
    <row r="7" spans="1:29" s="1213" customFormat="1" ht="15.75" thickBot="1">
      <c r="A7" s="2863"/>
      <c r="B7" s="2870" t="s">
        <v>529</v>
      </c>
      <c r="C7" s="518">
        <f>'数据-取费表'!B2</f>
        <v>43965</v>
      </c>
      <c r="D7" s="519">
        <v>100</v>
      </c>
      <c r="E7" s="520">
        <v>43922</v>
      </c>
      <c r="F7" s="521">
        <f>SUMIF(58:58,YEAR(E7)&amp;"-"&amp;MONTH(E7),59:59)</f>
        <v>100</v>
      </c>
      <c r="G7" s="522">
        <v>43922</v>
      </c>
      <c r="H7" s="519">
        <f>SUMIF(58:58,YEAR(G7)&amp;"-"&amp;MONTH(G7),59:59)</f>
        <v>100</v>
      </c>
      <c r="I7" s="522">
        <v>43922</v>
      </c>
      <c r="J7" s="519">
        <f>SUMIF(58:58,YEAR(I7)&amp;"-"&amp;MONTH(I7),59:59)</f>
        <v>100</v>
      </c>
      <c r="K7" s="854"/>
      <c r="L7" s="2118"/>
      <c r="M7" s="2119"/>
      <c r="N7" s="2119"/>
      <c r="O7" s="2119"/>
      <c r="P7" s="3779" t="s">
        <v>530</v>
      </c>
      <c r="Q7" s="3788"/>
      <c r="R7" s="1552" t="s">
        <v>13</v>
      </c>
      <c r="S7" s="1553">
        <f t="shared" ref="S7:S15" si="0">F7</f>
        <v>100</v>
      </c>
      <c r="T7" s="1552" t="s">
        <v>13</v>
      </c>
      <c r="U7" s="1553">
        <f t="shared" ref="U7:U15" si="1">H7</f>
        <v>100</v>
      </c>
      <c r="V7" s="1552" t="s">
        <v>13</v>
      </c>
      <c r="W7" s="1553">
        <f t="shared" ref="W7:W15" si="2">J7</f>
        <v>100</v>
      </c>
      <c r="X7" s="1554"/>
      <c r="Y7" s="3779" t="s">
        <v>530</v>
      </c>
      <c r="Z7" s="3780"/>
      <c r="AA7" s="1555">
        <f>D7/F7</f>
        <v>1</v>
      </c>
      <c r="AB7" s="1555">
        <f>D7/H7</f>
        <v>1</v>
      </c>
      <c r="AC7" s="1555">
        <f>D7/J7</f>
        <v>1</v>
      </c>
    </row>
    <row r="8" spans="1:29" s="1213" customFormat="1" ht="15.75" thickBot="1">
      <c r="A8" s="2864"/>
      <c r="B8" s="2871"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8"/>
      <c r="M8" s="2119"/>
      <c r="N8" s="2119"/>
      <c r="O8" s="2119"/>
      <c r="P8" s="3779" t="s">
        <v>533</v>
      </c>
      <c r="Q8" s="3780"/>
      <c r="R8" s="1552" t="s">
        <v>13</v>
      </c>
      <c r="S8" s="1553">
        <f t="shared" si="0"/>
        <v>100</v>
      </c>
      <c r="T8" s="1552" t="s">
        <v>13</v>
      </c>
      <c r="U8" s="1553">
        <f t="shared" si="1"/>
        <v>100</v>
      </c>
      <c r="V8" s="1552" t="s">
        <v>13</v>
      </c>
      <c r="W8" s="1553">
        <f t="shared" si="2"/>
        <v>100</v>
      </c>
      <c r="X8" s="1554"/>
      <c r="Y8" s="3779" t="s">
        <v>533</v>
      </c>
      <c r="Z8" s="3780"/>
      <c r="AA8" s="1555">
        <f t="shared" ref="AA8:AA46" si="3">D8/F8</f>
        <v>1</v>
      </c>
      <c r="AB8" s="1555">
        <f t="shared" ref="AB8:AB46" si="4">D8/H8</f>
        <v>1</v>
      </c>
      <c r="AC8" s="1555">
        <f t="shared" ref="AC8:AC46" si="5">D8/J8</f>
        <v>1</v>
      </c>
    </row>
    <row r="9" spans="1:29" s="1213" customFormat="1" ht="15">
      <c r="A9" s="2865"/>
      <c r="B9" s="2872" t="s">
        <v>2752</v>
      </c>
      <c r="C9" s="3460" t="s">
        <v>3339</v>
      </c>
      <c r="D9" s="253">
        <v>100</v>
      </c>
      <c r="E9" s="3460" t="s">
        <v>3339</v>
      </c>
      <c r="F9" s="858">
        <f>SUMIF(63:63,E9,64:64)-SUMIF(63:63,C9,64:64)+100</f>
        <v>100</v>
      </c>
      <c r="G9" s="3460" t="s">
        <v>3339</v>
      </c>
      <c r="H9" s="253">
        <f>SUMIF(63:63,G9,64:64)-SUMIF(63:63,C9,64:64)+100</f>
        <v>100</v>
      </c>
      <c r="I9" s="3460" t="s">
        <v>3339</v>
      </c>
      <c r="J9" s="253">
        <f>SUMIF(63:63,I9,64:64)-SUMIF(63:63,C9,64:64)+100</f>
        <v>100</v>
      </c>
      <c r="K9" s="854"/>
      <c r="L9" s="2118"/>
      <c r="M9" s="2119"/>
      <c r="N9" s="2119"/>
      <c r="O9" s="2120"/>
      <c r="P9" s="3787" t="s">
        <v>535</v>
      </c>
      <c r="Q9" s="1144" t="str">
        <f t="shared" ref="Q9:Q15" si="6">B9</f>
        <v>用途</v>
      </c>
      <c r="R9" s="1552" t="s">
        <v>8</v>
      </c>
      <c r="S9" s="1553">
        <f t="shared" si="0"/>
        <v>100</v>
      </c>
      <c r="T9" s="1552" t="s">
        <v>8</v>
      </c>
      <c r="U9" s="1553">
        <f t="shared" si="1"/>
        <v>100</v>
      </c>
      <c r="V9" s="1552" t="s">
        <v>8</v>
      </c>
      <c r="W9" s="1553">
        <f t="shared" si="2"/>
        <v>100</v>
      </c>
      <c r="X9" s="1554"/>
      <c r="Y9" s="3744" t="s">
        <v>536</v>
      </c>
      <c r="Z9" s="1143" t="str">
        <f t="shared" ref="Z9:Z15" si="7">Q9</f>
        <v>用途</v>
      </c>
      <c r="AA9" s="1555">
        <f t="shared" si="3"/>
        <v>1</v>
      </c>
      <c r="AB9" s="1555">
        <f t="shared" si="4"/>
        <v>1</v>
      </c>
      <c r="AC9" s="1555">
        <f t="shared" si="5"/>
        <v>1</v>
      </c>
    </row>
    <row r="10" spans="1:29" s="1331" customFormat="1" ht="27">
      <c r="A10" s="2866"/>
      <c r="B10" s="2871" t="s">
        <v>2753</v>
      </c>
      <c r="C10" s="860" t="s">
        <v>3340</v>
      </c>
      <c r="D10" s="254">
        <v>100</v>
      </c>
      <c r="E10" s="860" t="s">
        <v>3340</v>
      </c>
      <c r="F10" s="862">
        <f>SUMIF(65:65,E10,66:66)-SUMIF(65:65,C10,66:66)+100</f>
        <v>100</v>
      </c>
      <c r="G10" s="860" t="s">
        <v>3340</v>
      </c>
      <c r="H10" s="254">
        <f>SUMIF(65:65,G10,66:66)-SUMIF(65:65,C10,66:66)+100</f>
        <v>100</v>
      </c>
      <c r="I10" s="860" t="s">
        <v>3340</v>
      </c>
      <c r="J10" s="254">
        <f>SUMIF(65:65,I10,66:66)-SUMIF(65:65,C10,66:66)+100</f>
        <v>100</v>
      </c>
      <c r="K10" s="863">
        <v>2</v>
      </c>
      <c r="L10" s="2121"/>
      <c r="M10" s="2161"/>
      <c r="N10" s="2161"/>
      <c r="O10" s="2122"/>
      <c r="P10" s="3787"/>
      <c r="Q10" s="1144" t="str">
        <f t="shared" si="6"/>
        <v>土地使用年限（年）</v>
      </c>
      <c r="R10" s="1552" t="s">
        <v>8</v>
      </c>
      <c r="S10" s="1553">
        <f t="shared" si="0"/>
        <v>100</v>
      </c>
      <c r="T10" s="1552" t="s">
        <v>8</v>
      </c>
      <c r="U10" s="1553">
        <f t="shared" si="1"/>
        <v>100</v>
      </c>
      <c r="V10" s="1552" t="s">
        <v>8</v>
      </c>
      <c r="W10" s="1553">
        <f t="shared" si="2"/>
        <v>100</v>
      </c>
      <c r="X10" s="1554"/>
      <c r="Y10" s="3744"/>
      <c r="Z10" s="1143" t="str">
        <f t="shared" si="7"/>
        <v>土地使用年限（年）</v>
      </c>
      <c r="AA10" s="1555">
        <f t="shared" si="3"/>
        <v>1</v>
      </c>
      <c r="AB10" s="1555">
        <f t="shared" si="4"/>
        <v>1</v>
      </c>
      <c r="AC10" s="1555">
        <f t="shared" si="5"/>
        <v>1</v>
      </c>
    </row>
    <row r="11" spans="1:29" ht="15.75" thickBot="1">
      <c r="A11" s="2867"/>
      <c r="B11" s="2871" t="s">
        <v>2754</v>
      </c>
      <c r="C11" s="532">
        <f>'数据-汇总表'!I4</f>
        <v>3.11</v>
      </c>
      <c r="D11" s="254">
        <v>100</v>
      </c>
      <c r="E11" s="533">
        <v>4.71</v>
      </c>
      <c r="F11" s="862">
        <f>LOOKUP(E11,68:68,69:69)-LOOKUP(C11,68:68,69:69)+100</f>
        <v>98</v>
      </c>
      <c r="G11" s="532">
        <v>2.97</v>
      </c>
      <c r="H11" s="254">
        <f>LOOKUP(G11,68:68,69:69)-LOOKUP(C11,68:68,69:69)+100</f>
        <v>102</v>
      </c>
      <c r="I11" s="532">
        <v>3.1</v>
      </c>
      <c r="J11" s="254">
        <f>LOOKUP(I11,68:68,69:69)-LOOKUP(C11,68:68,69:69)+100</f>
        <v>100</v>
      </c>
      <c r="K11" s="863">
        <v>2</v>
      </c>
      <c r="L11" s="2123"/>
      <c r="M11" s="2117"/>
      <c r="N11" s="2117"/>
      <c r="O11" s="2124"/>
      <c r="P11" s="3787"/>
      <c r="Q11" s="1144" t="str">
        <f t="shared" si="6"/>
        <v>容积率</v>
      </c>
      <c r="R11" s="1552" t="s">
        <v>11</v>
      </c>
      <c r="S11" s="1553">
        <f t="shared" si="0"/>
        <v>98</v>
      </c>
      <c r="T11" s="1552" t="s">
        <v>11</v>
      </c>
      <c r="U11" s="1553">
        <f t="shared" si="1"/>
        <v>102</v>
      </c>
      <c r="V11" s="1552" t="s">
        <v>11</v>
      </c>
      <c r="W11" s="1553">
        <f t="shared" si="2"/>
        <v>100</v>
      </c>
      <c r="X11" s="1554"/>
      <c r="Y11" s="3744"/>
      <c r="Z11" s="1143" t="str">
        <f t="shared" si="7"/>
        <v>容积率</v>
      </c>
      <c r="AA11" s="1555">
        <f t="shared" si="3"/>
        <v>1.0204081632653061</v>
      </c>
      <c r="AB11" s="1555">
        <f t="shared" si="4"/>
        <v>0.98039215686274506</v>
      </c>
      <c r="AC11" s="1555">
        <f t="shared" si="5"/>
        <v>1</v>
      </c>
    </row>
    <row r="12" spans="1:29" s="1213" customFormat="1" ht="15" hidden="1">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787"/>
      <c r="Q12" s="1144">
        <f t="shared" si="6"/>
        <v>111</v>
      </c>
      <c r="R12" s="1552" t="s">
        <v>11</v>
      </c>
      <c r="S12" s="1553">
        <f t="shared" si="0"/>
        <v>100</v>
      </c>
      <c r="T12" s="1552" t="s">
        <v>11</v>
      </c>
      <c r="U12" s="1553">
        <f t="shared" si="1"/>
        <v>100</v>
      </c>
      <c r="V12" s="1552" t="s">
        <v>11</v>
      </c>
      <c r="W12" s="1553">
        <f t="shared" si="2"/>
        <v>100</v>
      </c>
      <c r="X12" s="1554"/>
      <c r="Y12" s="3744"/>
      <c r="Z12" s="1143">
        <f t="shared" si="7"/>
        <v>111</v>
      </c>
      <c r="AA12" s="1555">
        <f>D12/F12</f>
        <v>1</v>
      </c>
      <c r="AB12" s="1555">
        <f>D12/H12</f>
        <v>1</v>
      </c>
      <c r="AC12" s="1555">
        <f>D12/J12</f>
        <v>1</v>
      </c>
    </row>
    <row r="13" spans="1:29" ht="15" hidden="1">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787"/>
      <c r="Q13" s="1144">
        <f t="shared" si="6"/>
        <v>111</v>
      </c>
      <c r="R13" s="1552" t="s">
        <v>11</v>
      </c>
      <c r="S13" s="1553">
        <f t="shared" si="0"/>
        <v>100</v>
      </c>
      <c r="T13" s="1552" t="s">
        <v>11</v>
      </c>
      <c r="U13" s="1553">
        <f t="shared" si="1"/>
        <v>100</v>
      </c>
      <c r="V13" s="1552" t="s">
        <v>11</v>
      </c>
      <c r="W13" s="1553">
        <f t="shared" si="2"/>
        <v>100</v>
      </c>
      <c r="X13" s="1554"/>
      <c r="Y13" s="3744"/>
      <c r="Z13" s="1143">
        <f t="shared" si="7"/>
        <v>111</v>
      </c>
      <c r="AA13" s="1555">
        <f t="shared" si="3"/>
        <v>1</v>
      </c>
      <c r="AB13" s="1555">
        <f t="shared" si="4"/>
        <v>1</v>
      </c>
      <c r="AC13" s="1555">
        <f t="shared" si="5"/>
        <v>1</v>
      </c>
    </row>
    <row r="14" spans="1:29" ht="15.75" hidden="1"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787"/>
      <c r="Q14" s="1144">
        <f t="shared" si="6"/>
        <v>111</v>
      </c>
      <c r="R14" s="1552" t="s">
        <v>11</v>
      </c>
      <c r="S14" s="1553">
        <f t="shared" si="0"/>
        <v>100</v>
      </c>
      <c r="T14" s="1552" t="s">
        <v>11</v>
      </c>
      <c r="U14" s="1553">
        <f t="shared" si="1"/>
        <v>100</v>
      </c>
      <c r="V14" s="1552" t="s">
        <v>11</v>
      </c>
      <c r="W14" s="1553">
        <f t="shared" si="2"/>
        <v>100</v>
      </c>
      <c r="X14" s="1554"/>
      <c r="Y14" s="3744"/>
      <c r="Z14" s="1143">
        <f t="shared" si="7"/>
        <v>111</v>
      </c>
      <c r="AA14" s="1555">
        <f t="shared" si="3"/>
        <v>1</v>
      </c>
      <c r="AB14" s="1555">
        <f t="shared" si="4"/>
        <v>1</v>
      </c>
      <c r="AC14" s="1555">
        <f t="shared" si="5"/>
        <v>1</v>
      </c>
    </row>
    <row r="15" spans="1:29" ht="99.75">
      <c r="A15" s="2861"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100</v>
      </c>
      <c r="K15" s="867">
        <v>2</v>
      </c>
      <c r="L15" s="2125"/>
      <c r="M15" s="2117"/>
      <c r="N15" s="2117"/>
      <c r="O15" s="2124"/>
      <c r="P15" s="3789" t="s">
        <v>540</v>
      </c>
      <c r="Q15" s="1556" t="str">
        <f t="shared" si="6"/>
        <v>居住社区成熟度</v>
      </c>
      <c r="R15" s="1557" t="s">
        <v>11</v>
      </c>
      <c r="S15" s="1558">
        <f t="shared" si="0"/>
        <v>102</v>
      </c>
      <c r="T15" s="1557" t="s">
        <v>11</v>
      </c>
      <c r="U15" s="1558">
        <f t="shared" si="1"/>
        <v>100</v>
      </c>
      <c r="V15" s="1557" t="s">
        <v>11</v>
      </c>
      <c r="W15" s="1558">
        <f t="shared" si="2"/>
        <v>100</v>
      </c>
      <c r="X15" s="1551"/>
      <c r="Y15" s="3789" t="s">
        <v>540</v>
      </c>
      <c r="Z15" s="1559" t="str">
        <f t="shared" si="7"/>
        <v>居住社区成熟度</v>
      </c>
      <c r="AA15" s="1560">
        <f t="shared" si="3"/>
        <v>0.98039215686274506</v>
      </c>
      <c r="AB15" s="1560">
        <f t="shared" si="4"/>
        <v>1</v>
      </c>
      <c r="AC15" s="1560">
        <f t="shared" si="5"/>
        <v>1</v>
      </c>
    </row>
    <row r="16" spans="1:29" ht="15">
      <c r="A16" s="531"/>
      <c r="B16" s="868"/>
      <c r="C16" s="575" t="s">
        <v>3294</v>
      </c>
      <c r="D16" s="554"/>
      <c r="E16" s="555" t="s">
        <v>3295</v>
      </c>
      <c r="F16" s="556"/>
      <c r="G16" s="557" t="s">
        <v>3294</v>
      </c>
      <c r="H16" s="558"/>
      <c r="I16" s="555" t="s">
        <v>3294</v>
      </c>
      <c r="J16" s="554"/>
      <c r="K16" s="869"/>
      <c r="L16" s="2125"/>
      <c r="M16" s="2117"/>
      <c r="N16" s="2117"/>
      <c r="O16" s="2124"/>
      <c r="P16" s="3790"/>
      <c r="Q16" s="1556"/>
      <c r="R16" s="1557"/>
      <c r="S16" s="1558"/>
      <c r="T16" s="1557"/>
      <c r="U16" s="1558"/>
      <c r="V16" s="1557"/>
      <c r="W16" s="1558"/>
      <c r="X16" s="1551"/>
      <c r="Y16" s="3790"/>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101</v>
      </c>
      <c r="G17" s="563"/>
      <c r="H17" s="564">
        <f>SUMIF(78:78,G18,79:79)-SUMIF(78:78,C18,79:79)+100</f>
        <v>100</v>
      </c>
      <c r="I17" s="561"/>
      <c r="J17" s="564">
        <f>SUMIF(78:78,I18,79:79)-SUMIF(78:78,C18,79:79)+100</f>
        <v>100</v>
      </c>
      <c r="K17" s="867">
        <v>1</v>
      </c>
      <c r="L17" s="2125"/>
      <c r="M17" s="2117"/>
      <c r="N17" s="2117"/>
      <c r="O17" s="2124"/>
      <c r="P17" s="3790"/>
      <c r="Q17" s="1556" t="str">
        <f>B17</f>
        <v>交通便捷度</v>
      </c>
      <c r="R17" s="1557" t="s">
        <v>11</v>
      </c>
      <c r="S17" s="1558">
        <f>F17</f>
        <v>101</v>
      </c>
      <c r="T17" s="1557" t="s">
        <v>11</v>
      </c>
      <c r="U17" s="1558">
        <f>H17</f>
        <v>100</v>
      </c>
      <c r="V17" s="1557" t="s">
        <v>11</v>
      </c>
      <c r="W17" s="1558">
        <f>J17</f>
        <v>100</v>
      </c>
      <c r="X17" s="1551"/>
      <c r="Y17" s="3790"/>
      <c r="Z17" s="1559" t="str">
        <f>Q17</f>
        <v>交通便捷度</v>
      </c>
      <c r="AA17" s="1560">
        <f t="shared" si="3"/>
        <v>0.99009900990099009</v>
      </c>
      <c r="AB17" s="1560">
        <f t="shared" si="4"/>
        <v>1</v>
      </c>
      <c r="AC17" s="1560">
        <f t="shared" si="5"/>
        <v>1</v>
      </c>
    </row>
    <row r="18" spans="1:29" ht="15">
      <c r="A18" s="531"/>
      <c r="B18" s="594"/>
      <c r="C18" s="872" t="s">
        <v>3294</v>
      </c>
      <c r="D18" s="558"/>
      <c r="E18" s="567" t="s">
        <v>3295</v>
      </c>
      <c r="F18" s="562"/>
      <c r="G18" s="568" t="s">
        <v>3294</v>
      </c>
      <c r="H18" s="554"/>
      <c r="I18" s="567" t="s">
        <v>3294</v>
      </c>
      <c r="J18" s="554"/>
      <c r="K18" s="869"/>
      <c r="L18" s="2125"/>
      <c r="M18" s="2117"/>
      <c r="N18" s="2117"/>
      <c r="O18" s="2124"/>
      <c r="P18" s="3790"/>
      <c r="Q18" s="1556"/>
      <c r="R18" s="1557"/>
      <c r="S18" s="1558"/>
      <c r="T18" s="1557"/>
      <c r="U18" s="1558"/>
      <c r="V18" s="1557"/>
      <c r="W18" s="1558"/>
      <c r="X18" s="1551"/>
      <c r="Y18" s="3790"/>
      <c r="Z18" s="1559"/>
      <c r="AA18" s="1560">
        <v>1</v>
      </c>
      <c r="AB18" s="1560">
        <v>1</v>
      </c>
      <c r="AC18" s="1560">
        <v>1</v>
      </c>
    </row>
    <row r="19" spans="1:29" ht="42.75">
      <c r="A19" s="531"/>
      <c r="B19" s="2560" t="s">
        <v>2543</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v>2</v>
      </c>
      <c r="L19" s="2125"/>
      <c r="M19" s="2117"/>
      <c r="N19" s="2117"/>
      <c r="O19" s="2124"/>
      <c r="P19" s="3790"/>
      <c r="Q19" s="1556" t="str">
        <f>B19</f>
        <v>公共配套设施</v>
      </c>
      <c r="R19" s="1557" t="s">
        <v>11</v>
      </c>
      <c r="S19" s="1558">
        <f>F19</f>
        <v>102</v>
      </c>
      <c r="T19" s="1557" t="s">
        <v>11</v>
      </c>
      <c r="U19" s="1558">
        <f>H19</f>
        <v>102</v>
      </c>
      <c r="V19" s="1557" t="s">
        <v>11</v>
      </c>
      <c r="W19" s="1558">
        <f>J19</f>
        <v>100</v>
      </c>
      <c r="X19" s="1551"/>
      <c r="Y19" s="3790"/>
      <c r="Z19" s="1559" t="str">
        <f>Q19</f>
        <v>公共配套设施</v>
      </c>
      <c r="AA19" s="1560">
        <f t="shared" si="3"/>
        <v>0.98039215686274506</v>
      </c>
      <c r="AB19" s="1560">
        <f t="shared" si="4"/>
        <v>0.98039215686274506</v>
      </c>
      <c r="AC19" s="1560">
        <f t="shared" si="5"/>
        <v>1</v>
      </c>
    </row>
    <row r="20" spans="1:29" ht="15">
      <c r="A20" s="531"/>
      <c r="B20" s="594"/>
      <c r="C20" s="575" t="s">
        <v>3294</v>
      </c>
      <c r="D20" s="554"/>
      <c r="E20" s="555" t="s">
        <v>3295</v>
      </c>
      <c r="F20" s="556"/>
      <c r="G20" s="557" t="s">
        <v>3295</v>
      </c>
      <c r="H20" s="554"/>
      <c r="I20" s="555" t="s">
        <v>3294</v>
      </c>
      <c r="J20" s="554"/>
      <c r="K20" s="869"/>
      <c r="L20" s="2125"/>
      <c r="M20" s="2117"/>
      <c r="N20" s="2117"/>
      <c r="O20" s="2124"/>
      <c r="P20" s="3790"/>
      <c r="Q20" s="1556"/>
      <c r="R20" s="1557"/>
      <c r="S20" s="1558"/>
      <c r="T20" s="1557"/>
      <c r="U20" s="1558"/>
      <c r="V20" s="1557"/>
      <c r="W20" s="1558"/>
      <c r="X20" s="1551"/>
      <c r="Y20" s="3790"/>
      <c r="Z20" s="1559"/>
      <c r="AA20" s="1560">
        <v>1</v>
      </c>
      <c r="AB20" s="1560">
        <v>1</v>
      </c>
      <c r="AC20" s="1560">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790"/>
      <c r="Q21" s="2539" t="str">
        <f>B21</f>
        <v>基础设施水平</v>
      </c>
      <c r="R21" s="1557" t="s">
        <v>11</v>
      </c>
      <c r="S21" s="1558">
        <f>F21</f>
        <v>100</v>
      </c>
      <c r="T21" s="1557" t="s">
        <v>11</v>
      </c>
      <c r="U21" s="1558">
        <f>H21</f>
        <v>100</v>
      </c>
      <c r="V21" s="1557" t="s">
        <v>11</v>
      </c>
      <c r="W21" s="1558">
        <f>J21</f>
        <v>100</v>
      </c>
      <c r="X21" s="2541"/>
      <c r="Y21" s="3790"/>
      <c r="Z21" s="2540" t="str">
        <f>Q21</f>
        <v>基础设施水平</v>
      </c>
      <c r="AA21" s="1560">
        <f>D21/F21</f>
        <v>1</v>
      </c>
      <c r="AB21" s="1560">
        <f>D21/H21</f>
        <v>1</v>
      </c>
      <c r="AC21" s="1560">
        <f>D21/J21</f>
        <v>1</v>
      </c>
    </row>
    <row r="22" spans="1:29" ht="15">
      <c r="A22" s="531"/>
      <c r="B22" s="920"/>
      <c r="C22" s="872" t="s">
        <v>3296</v>
      </c>
      <c r="D22" s="554"/>
      <c r="E22" s="872" t="s">
        <v>3296</v>
      </c>
      <c r="F22" s="556"/>
      <c r="G22" s="872" t="s">
        <v>3296</v>
      </c>
      <c r="H22" s="554"/>
      <c r="I22" s="872" t="s">
        <v>3296</v>
      </c>
      <c r="J22" s="554"/>
      <c r="K22" s="2559"/>
      <c r="L22" s="2125"/>
      <c r="M22" s="2117"/>
      <c r="N22" s="2117"/>
      <c r="O22" s="2124"/>
      <c r="P22" s="3790"/>
      <c r="Q22" s="2539"/>
      <c r="R22" s="1557"/>
      <c r="S22" s="1558"/>
      <c r="T22" s="1557"/>
      <c r="U22" s="1558"/>
      <c r="V22" s="1557"/>
      <c r="W22" s="1558"/>
      <c r="X22" s="2541"/>
      <c r="Y22" s="3790"/>
      <c r="Z22" s="2540"/>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790"/>
      <c r="Q23" s="1556" t="str">
        <f>B23</f>
        <v>自然及人文环境</v>
      </c>
      <c r="R23" s="1557" t="s">
        <v>11</v>
      </c>
      <c r="S23" s="1558">
        <f>F23</f>
        <v>100</v>
      </c>
      <c r="T23" s="1557" t="s">
        <v>11</v>
      </c>
      <c r="U23" s="1558">
        <f>H23</f>
        <v>100</v>
      </c>
      <c r="V23" s="1557" t="s">
        <v>11</v>
      </c>
      <c r="W23" s="1558">
        <f>J23</f>
        <v>100</v>
      </c>
      <c r="X23" s="1551"/>
      <c r="Y23" s="3790"/>
      <c r="Z23" s="1559" t="str">
        <f>Q23</f>
        <v>自然及人文环境</v>
      </c>
      <c r="AA23" s="1560">
        <f t="shared" si="3"/>
        <v>1</v>
      </c>
      <c r="AB23" s="1560">
        <f t="shared" si="4"/>
        <v>1</v>
      </c>
      <c r="AC23" s="1560">
        <f t="shared" si="5"/>
        <v>1</v>
      </c>
    </row>
    <row r="24" spans="1:29" ht="15">
      <c r="A24" s="531"/>
      <c r="B24" s="594"/>
      <c r="C24" s="575" t="s">
        <v>3294</v>
      </c>
      <c r="D24" s="554"/>
      <c r="E24" s="575" t="s">
        <v>3294</v>
      </c>
      <c r="F24" s="556"/>
      <c r="G24" s="575" t="s">
        <v>3294</v>
      </c>
      <c r="H24" s="554"/>
      <c r="I24" s="575" t="s">
        <v>3294</v>
      </c>
      <c r="J24" s="554"/>
      <c r="K24" s="869"/>
      <c r="L24" s="2125"/>
      <c r="M24" s="2117"/>
      <c r="N24" s="2117"/>
      <c r="O24" s="2124"/>
      <c r="P24" s="3790"/>
      <c r="Q24" s="1556"/>
      <c r="R24" s="1557"/>
      <c r="S24" s="1558"/>
      <c r="T24" s="1557"/>
      <c r="U24" s="1558"/>
      <c r="V24" s="1557"/>
      <c r="W24" s="1558"/>
      <c r="X24" s="1551"/>
      <c r="Y24" s="3790"/>
      <c r="Z24" s="1559"/>
      <c r="AA24" s="1560">
        <v>1</v>
      </c>
      <c r="AB24" s="1560">
        <v>1</v>
      </c>
      <c r="AC24" s="1560">
        <v>1</v>
      </c>
    </row>
    <row r="25" spans="1:29" ht="15" hidden="1">
      <c r="A25" s="531"/>
      <c r="B25" s="1878" t="s">
        <v>2254</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790"/>
      <c r="Q25" s="1556" t="str">
        <f t="shared" ref="Q25:Q46" si="8">B25</f>
        <v>楼层-1</v>
      </c>
      <c r="R25" s="1557" t="s">
        <v>11</v>
      </c>
      <c r="S25" s="1558">
        <f>F25</f>
        <v>100</v>
      </c>
      <c r="T25" s="1557" t="s">
        <v>11</v>
      </c>
      <c r="U25" s="1558">
        <f>H25</f>
        <v>100</v>
      </c>
      <c r="V25" s="1557" t="s">
        <v>11</v>
      </c>
      <c r="W25" s="1558">
        <f>J25</f>
        <v>100</v>
      </c>
      <c r="X25" s="1551"/>
      <c r="Y25" s="3790"/>
      <c r="Z25" s="1559" t="str">
        <f>Q25</f>
        <v>楼层-1</v>
      </c>
      <c r="AA25" s="1560">
        <f t="shared" si="3"/>
        <v>1</v>
      </c>
      <c r="AB25" s="1560">
        <f t="shared" si="4"/>
        <v>1</v>
      </c>
      <c r="AC25" s="1560">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790"/>
      <c r="Q26" s="1556" t="str">
        <f t="shared" si="8"/>
        <v>朝向</v>
      </c>
      <c r="R26" s="1557" t="s">
        <v>11</v>
      </c>
      <c r="S26" s="1558">
        <f>F26</f>
        <v>100</v>
      </c>
      <c r="T26" s="1557" t="s">
        <v>11</v>
      </c>
      <c r="U26" s="1558">
        <f>H26</f>
        <v>100</v>
      </c>
      <c r="V26" s="1557" t="s">
        <v>11</v>
      </c>
      <c r="W26" s="1558">
        <f>J26</f>
        <v>100</v>
      </c>
      <c r="X26" s="1551"/>
      <c r="Y26" s="3790"/>
      <c r="Z26" s="1559" t="str">
        <f>Q26</f>
        <v>朝向</v>
      </c>
      <c r="AA26" s="1560">
        <f t="shared" si="3"/>
        <v>1</v>
      </c>
      <c r="AB26" s="1560">
        <f t="shared" si="4"/>
        <v>1</v>
      </c>
      <c r="AC26" s="1560">
        <f t="shared" si="5"/>
        <v>1</v>
      </c>
    </row>
    <row r="27" spans="1:29" s="1213"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790"/>
      <c r="Q27" s="1144" t="str">
        <f t="shared" si="8"/>
        <v>道路级别</v>
      </c>
      <c r="R27" s="1552" t="s">
        <v>11</v>
      </c>
      <c r="S27" s="1553">
        <f>F27</f>
        <v>100</v>
      </c>
      <c r="T27" s="1552" t="s">
        <v>11</v>
      </c>
      <c r="U27" s="1553">
        <f>H27</f>
        <v>100</v>
      </c>
      <c r="V27" s="1552" t="s">
        <v>11</v>
      </c>
      <c r="W27" s="1553">
        <f>J27</f>
        <v>100</v>
      </c>
      <c r="X27" s="1554"/>
      <c r="Y27" s="3790"/>
      <c r="Z27" s="1143"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790"/>
      <c r="Q28" s="1556">
        <f t="shared" si="8"/>
        <v>111</v>
      </c>
      <c r="R28" s="1557" t="s">
        <v>11</v>
      </c>
      <c r="S28" s="1558">
        <f t="shared" ref="S28:S46" si="9">F28</f>
        <v>100</v>
      </c>
      <c r="T28" s="1557" t="s">
        <v>11</v>
      </c>
      <c r="U28" s="1558">
        <f t="shared" ref="U28:U46" si="10">H28</f>
        <v>100</v>
      </c>
      <c r="V28" s="1557" t="s">
        <v>11</v>
      </c>
      <c r="W28" s="1558">
        <f t="shared" ref="W28:W46" si="11">J28</f>
        <v>100</v>
      </c>
      <c r="X28" s="1551"/>
      <c r="Y28" s="3790"/>
      <c r="Z28" s="1559">
        <f t="shared" ref="Z28:Z46" si="12">Q28</f>
        <v>111</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790"/>
      <c r="Q29" s="1556">
        <f t="shared" si="8"/>
        <v>111</v>
      </c>
      <c r="R29" s="1557" t="s">
        <v>11</v>
      </c>
      <c r="S29" s="1558">
        <f t="shared" si="9"/>
        <v>100</v>
      </c>
      <c r="T29" s="1557" t="s">
        <v>11</v>
      </c>
      <c r="U29" s="1558">
        <f t="shared" si="10"/>
        <v>100</v>
      </c>
      <c r="V29" s="1557" t="s">
        <v>11</v>
      </c>
      <c r="W29" s="1558">
        <f t="shared" si="11"/>
        <v>100</v>
      </c>
      <c r="X29" s="1551"/>
      <c r="Y29" s="3790"/>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790"/>
      <c r="Q30" s="1556">
        <f t="shared" si="8"/>
        <v>111</v>
      </c>
      <c r="R30" s="1557" t="s">
        <v>11</v>
      </c>
      <c r="S30" s="1558">
        <f t="shared" si="9"/>
        <v>100</v>
      </c>
      <c r="T30" s="1557" t="s">
        <v>11</v>
      </c>
      <c r="U30" s="1558">
        <f t="shared" si="10"/>
        <v>100</v>
      </c>
      <c r="V30" s="1557" t="s">
        <v>11</v>
      </c>
      <c r="W30" s="1558">
        <f t="shared" si="11"/>
        <v>100</v>
      </c>
      <c r="X30" s="1551"/>
      <c r="Y30" s="3790"/>
      <c r="Z30" s="1559">
        <f t="shared" si="12"/>
        <v>111</v>
      </c>
      <c r="AA30" s="1560">
        <f t="shared" si="3"/>
        <v>1</v>
      </c>
      <c r="AB30" s="1560">
        <f t="shared" si="4"/>
        <v>1</v>
      </c>
      <c r="AC30" s="1560">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790"/>
      <c r="Q31" s="1556">
        <f t="shared" si="8"/>
        <v>111</v>
      </c>
      <c r="R31" s="1557" t="s">
        <v>11</v>
      </c>
      <c r="S31" s="1558">
        <f t="shared" si="9"/>
        <v>100</v>
      </c>
      <c r="T31" s="1557" t="s">
        <v>11</v>
      </c>
      <c r="U31" s="1558">
        <f t="shared" si="10"/>
        <v>100</v>
      </c>
      <c r="V31" s="1557" t="s">
        <v>11</v>
      </c>
      <c r="W31" s="1558">
        <f t="shared" si="11"/>
        <v>100</v>
      </c>
      <c r="X31" s="1551"/>
      <c r="Y31" s="3790"/>
      <c r="Z31" s="1559">
        <f t="shared" si="12"/>
        <v>111</v>
      </c>
      <c r="AA31" s="1560">
        <f t="shared" si="3"/>
        <v>1</v>
      </c>
      <c r="AB31" s="1560">
        <f t="shared" si="4"/>
        <v>1</v>
      </c>
      <c r="AC31" s="1560">
        <f t="shared" si="5"/>
        <v>1</v>
      </c>
    </row>
    <row r="32" spans="1:29" ht="15">
      <c r="A32" s="2858" t="s">
        <v>2751</v>
      </c>
      <c r="B32" s="172" t="s">
        <v>725</v>
      </c>
      <c r="C32" s="877" t="s">
        <v>3190</v>
      </c>
      <c r="D32" s="596">
        <v>100</v>
      </c>
      <c r="E32" s="877" t="s">
        <v>3190</v>
      </c>
      <c r="F32" s="574">
        <f>SUMIF(100:100,E32,101:101)-SUMIF(100:100,C32,101:101)+100</f>
        <v>100</v>
      </c>
      <c r="G32" s="877" t="s">
        <v>3190</v>
      </c>
      <c r="H32" s="596">
        <f>SUMIF(100:100,G32,101:101)-SUMIF(100:100,C32,101:101)+100</f>
        <v>100</v>
      </c>
      <c r="I32" s="877" t="s">
        <v>3190</v>
      </c>
      <c r="J32" s="539">
        <f>SUMIF(100:100,I32,101:101)-SUMIF(100:100,C32,101:101)+100</f>
        <v>100</v>
      </c>
      <c r="K32" s="863">
        <v>2</v>
      </c>
      <c r="L32" s="2125"/>
      <c r="M32" s="2117"/>
      <c r="N32" s="2117"/>
      <c r="O32" s="2124"/>
      <c r="P32" s="3791" t="s">
        <v>550</v>
      </c>
      <c r="Q32" s="1556" t="str">
        <f t="shared" si="8"/>
        <v>建筑类型</v>
      </c>
      <c r="R32" s="1557" t="s">
        <v>11</v>
      </c>
      <c r="S32" s="1558">
        <f t="shared" si="9"/>
        <v>100</v>
      </c>
      <c r="T32" s="1557" t="s">
        <v>11</v>
      </c>
      <c r="U32" s="1558">
        <f t="shared" si="10"/>
        <v>100</v>
      </c>
      <c r="V32" s="1557" t="s">
        <v>11</v>
      </c>
      <c r="W32" s="1558">
        <f t="shared" si="11"/>
        <v>100</v>
      </c>
      <c r="X32" s="1551"/>
      <c r="Y32" s="3792" t="s">
        <v>550</v>
      </c>
      <c r="Z32" s="1559" t="str">
        <f t="shared" si="12"/>
        <v>建筑类型</v>
      </c>
      <c r="AA32" s="1560">
        <f t="shared" si="3"/>
        <v>1</v>
      </c>
      <c r="AB32" s="1560">
        <f t="shared" si="4"/>
        <v>1</v>
      </c>
      <c r="AC32" s="1560">
        <f t="shared" si="5"/>
        <v>1</v>
      </c>
    </row>
    <row r="33" spans="1:29" s="1332" customFormat="1" ht="15">
      <c r="A33" s="602"/>
      <c r="B33" s="526" t="s">
        <v>726</v>
      </c>
      <c r="C33" s="878">
        <f>'数据-汇总表'!E3</f>
        <v>245288.5</v>
      </c>
      <c r="D33" s="254">
        <v>100</v>
      </c>
      <c r="E33" s="533">
        <v>600000</v>
      </c>
      <c r="F33" s="862">
        <f>LOOKUP(E33,103:103,104:104)-LOOKUP(C33,103:103,104:104)+100</f>
        <v>102</v>
      </c>
      <c r="G33" s="532">
        <v>560000</v>
      </c>
      <c r="H33" s="254">
        <f>LOOKUP(G33,103:103,104:104)-LOOKUP(C33,103:103,104:104)+100</f>
        <v>101</v>
      </c>
      <c r="I33" s="533">
        <v>328954</v>
      </c>
      <c r="J33" s="254">
        <f>LOOKUP(I33,103:103,104:104)-LOOKUP(C33,103:103,104:104)+100</f>
        <v>100</v>
      </c>
      <c r="K33" s="864"/>
      <c r="L33" s="2123"/>
      <c r="M33" s="2154"/>
      <c r="N33" s="2154"/>
      <c r="O33" s="2126"/>
      <c r="P33" s="3792"/>
      <c r="Q33" s="1588" t="str">
        <f t="shared" si="8"/>
        <v>项目建筑规模</v>
      </c>
      <c r="R33" s="1561" t="s">
        <v>11</v>
      </c>
      <c r="S33" s="1562">
        <f t="shared" si="9"/>
        <v>102</v>
      </c>
      <c r="T33" s="1561" t="s">
        <v>11</v>
      </c>
      <c r="U33" s="1562">
        <f t="shared" si="10"/>
        <v>101</v>
      </c>
      <c r="V33" s="1561" t="s">
        <v>11</v>
      </c>
      <c r="W33" s="1562">
        <f t="shared" si="11"/>
        <v>100</v>
      </c>
      <c r="X33" s="1563"/>
      <c r="Y33" s="3792"/>
      <c r="Z33" s="1564" t="str">
        <f t="shared" si="12"/>
        <v>项目建筑规模</v>
      </c>
      <c r="AA33" s="1560">
        <f t="shared" si="3"/>
        <v>0.98039215686274506</v>
      </c>
      <c r="AB33" s="1560">
        <f t="shared" si="4"/>
        <v>0.99009900990099009</v>
      </c>
      <c r="AC33" s="1560">
        <f t="shared" si="5"/>
        <v>1</v>
      </c>
    </row>
    <row r="34" spans="1:29" ht="15">
      <c r="A34" s="593"/>
      <c r="B34" s="526" t="s">
        <v>727</v>
      </c>
      <c r="C34" s="879" t="s">
        <v>3312</v>
      </c>
      <c r="D34" s="539">
        <v>100</v>
      </c>
      <c r="E34" s="879" t="s">
        <v>3312</v>
      </c>
      <c r="F34" s="574">
        <f>SUMIF(105:105,E34,106:106)-SUMIF(105:105,C34,106:106)+100</f>
        <v>100</v>
      </c>
      <c r="G34" s="879" t="s">
        <v>3312</v>
      </c>
      <c r="H34" s="539">
        <f>SUMIF(105:105,G34,106:106)-SUMIF(105:105,C34,106:106)+100</f>
        <v>100</v>
      </c>
      <c r="I34" s="879" t="s">
        <v>3312</v>
      </c>
      <c r="J34" s="539">
        <f>SUMIF(105:105,I34,106:106)-SUMIF(105:105,C34,106:106)+100</f>
        <v>100</v>
      </c>
      <c r="K34" s="863">
        <v>2</v>
      </c>
      <c r="L34" s="2125"/>
      <c r="M34" s="2117"/>
      <c r="N34" s="2117"/>
      <c r="O34" s="2124"/>
      <c r="P34" s="3792"/>
      <c r="Q34" s="1556" t="str">
        <f t="shared" si="8"/>
        <v>建筑结构</v>
      </c>
      <c r="R34" s="1557" t="s">
        <v>11</v>
      </c>
      <c r="S34" s="1558">
        <f t="shared" si="9"/>
        <v>100</v>
      </c>
      <c r="T34" s="1557" t="s">
        <v>11</v>
      </c>
      <c r="U34" s="1558">
        <f t="shared" si="10"/>
        <v>100</v>
      </c>
      <c r="V34" s="1557" t="s">
        <v>11</v>
      </c>
      <c r="W34" s="1558">
        <f t="shared" si="11"/>
        <v>100</v>
      </c>
      <c r="X34" s="1551"/>
      <c r="Y34" s="3792"/>
      <c r="Z34" s="1559" t="str">
        <f t="shared" si="12"/>
        <v>建筑结构</v>
      </c>
      <c r="AA34" s="1560">
        <f t="shared" si="3"/>
        <v>1</v>
      </c>
      <c r="AB34" s="1560">
        <f t="shared" si="4"/>
        <v>1</v>
      </c>
      <c r="AC34" s="1560">
        <f t="shared" si="5"/>
        <v>1</v>
      </c>
    </row>
    <row r="35" spans="1:29" ht="15">
      <c r="A35" s="593"/>
      <c r="B35" s="526" t="s">
        <v>728</v>
      </c>
      <c r="C35" s="598" t="s">
        <v>3326</v>
      </c>
      <c r="D35" s="539">
        <v>100</v>
      </c>
      <c r="E35" s="598" t="s">
        <v>3326</v>
      </c>
      <c r="F35" s="574">
        <f>SUMIF(107:107,E35,108:108)-SUMIF(107:107,C35,108:108)+100</f>
        <v>100</v>
      </c>
      <c r="G35" s="598" t="s">
        <v>3326</v>
      </c>
      <c r="H35" s="539">
        <f>SUMIF(107:107,G35,108:108)-SUMIF(107:107,C35,108:108)+100</f>
        <v>100</v>
      </c>
      <c r="I35" s="598" t="s">
        <v>3326</v>
      </c>
      <c r="J35" s="539">
        <f>SUMIF(107:107,I35,108:108)-SUMIF(107:107,C35,108:108)+100</f>
        <v>100</v>
      </c>
      <c r="K35" s="863">
        <v>2</v>
      </c>
      <c r="L35" s="2125"/>
      <c r="M35" s="2117"/>
      <c r="N35" s="2117"/>
      <c r="O35" s="2124"/>
      <c r="P35" s="3792"/>
      <c r="Q35" s="1556" t="str">
        <f t="shared" si="8"/>
        <v>建筑品质</v>
      </c>
      <c r="R35" s="1557" t="s">
        <v>11</v>
      </c>
      <c r="S35" s="1558">
        <f t="shared" si="9"/>
        <v>100</v>
      </c>
      <c r="T35" s="1557" t="s">
        <v>11</v>
      </c>
      <c r="U35" s="1558">
        <f t="shared" si="10"/>
        <v>100</v>
      </c>
      <c r="V35" s="1557" t="s">
        <v>11</v>
      </c>
      <c r="W35" s="1558">
        <f t="shared" si="11"/>
        <v>100</v>
      </c>
      <c r="X35" s="1551"/>
      <c r="Y35" s="3792"/>
      <c r="Z35" s="1559" t="str">
        <f t="shared" si="12"/>
        <v>建筑品质</v>
      </c>
      <c r="AA35" s="1560">
        <f t="shared" si="3"/>
        <v>1</v>
      </c>
      <c r="AB35" s="1560">
        <f t="shared" si="4"/>
        <v>1</v>
      </c>
      <c r="AC35" s="1560">
        <f t="shared" si="5"/>
        <v>1</v>
      </c>
    </row>
    <row r="36" spans="1:29" ht="15">
      <c r="A36" s="593"/>
      <c r="B36" s="526" t="s">
        <v>729</v>
      </c>
      <c r="C36" s="598" t="s">
        <v>3328</v>
      </c>
      <c r="D36" s="539">
        <v>100</v>
      </c>
      <c r="E36" s="598" t="s">
        <v>3328</v>
      </c>
      <c r="F36" s="574">
        <f>SUMIF(109:109,E36,110:110)-SUMIF(109:109,C36,110:110)+100</f>
        <v>100</v>
      </c>
      <c r="G36" s="598" t="s">
        <v>3328</v>
      </c>
      <c r="H36" s="539">
        <f>SUMIF(109:109,G36,110:110)-SUMIF(109:109,C36,110:110)+100</f>
        <v>100</v>
      </c>
      <c r="I36" s="598" t="s">
        <v>3328</v>
      </c>
      <c r="J36" s="539">
        <f>SUMIF(109:109,I36,110:110)-SUMIF(109:109,C36,110:110)+100</f>
        <v>100</v>
      </c>
      <c r="K36" s="863">
        <v>2</v>
      </c>
      <c r="L36" s="2125"/>
      <c r="M36" s="2117"/>
      <c r="N36" s="2117"/>
      <c r="O36" s="2124"/>
      <c r="P36" s="3792"/>
      <c r="Q36" s="1556" t="str">
        <f t="shared" si="8"/>
        <v>公共部分装修</v>
      </c>
      <c r="R36" s="1557" t="s">
        <v>11</v>
      </c>
      <c r="S36" s="1558">
        <f t="shared" si="9"/>
        <v>100</v>
      </c>
      <c r="T36" s="1557" t="s">
        <v>11</v>
      </c>
      <c r="U36" s="1558">
        <f t="shared" si="10"/>
        <v>100</v>
      </c>
      <c r="V36" s="1557" t="s">
        <v>11</v>
      </c>
      <c r="W36" s="1558">
        <f t="shared" si="11"/>
        <v>100</v>
      </c>
      <c r="X36" s="1551"/>
      <c r="Y36" s="3792"/>
      <c r="Z36" s="1559" t="str">
        <f t="shared" si="12"/>
        <v>公共部分装修</v>
      </c>
      <c r="AA36" s="1560">
        <f t="shared" si="3"/>
        <v>1</v>
      </c>
      <c r="AB36" s="1560">
        <f t="shared" si="4"/>
        <v>1</v>
      </c>
      <c r="AC36" s="1560">
        <f t="shared" si="5"/>
        <v>1</v>
      </c>
    </row>
    <row r="37" spans="1:29" s="1213"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8"/>
      <c r="M37" s="2119"/>
      <c r="N37" s="2119"/>
      <c r="O37" s="2120"/>
      <c r="P37" s="3792"/>
      <c r="Q37" s="1144" t="str">
        <f t="shared" si="8"/>
        <v>成新度</v>
      </c>
      <c r="R37" s="1552" t="s">
        <v>11</v>
      </c>
      <c r="S37" s="1553">
        <f t="shared" si="9"/>
        <v>100</v>
      </c>
      <c r="T37" s="1552" t="s">
        <v>11</v>
      </c>
      <c r="U37" s="1553">
        <f t="shared" si="10"/>
        <v>100</v>
      </c>
      <c r="V37" s="1552" t="s">
        <v>11</v>
      </c>
      <c r="W37" s="1553">
        <f t="shared" si="11"/>
        <v>100</v>
      </c>
      <c r="X37" s="1554"/>
      <c r="Y37" s="3792"/>
      <c r="Z37" s="1143" t="str">
        <f t="shared" si="12"/>
        <v>成新度</v>
      </c>
      <c r="AA37" s="1555">
        <f t="shared" si="3"/>
        <v>1</v>
      </c>
      <c r="AB37" s="1555">
        <f t="shared" si="4"/>
        <v>1</v>
      </c>
      <c r="AC37" s="1555">
        <f t="shared" si="5"/>
        <v>1</v>
      </c>
    </row>
    <row r="38" spans="1:29" ht="15">
      <c r="A38" s="593"/>
      <c r="B38" s="526" t="s">
        <v>731</v>
      </c>
      <c r="C38" s="598" t="s">
        <v>3330</v>
      </c>
      <c r="D38" s="539">
        <v>100</v>
      </c>
      <c r="E38" s="598" t="s">
        <v>3330</v>
      </c>
      <c r="F38" s="574">
        <f>SUMIF(114:114,E38,115:115)-SUMIF(114:114,C38,115:115)+100</f>
        <v>100</v>
      </c>
      <c r="G38" s="598" t="s">
        <v>3330</v>
      </c>
      <c r="H38" s="539">
        <f>SUMIF(114:114,G38,115:115)-SUMIF(114:114,C38,115:115)+100</f>
        <v>100</v>
      </c>
      <c r="I38" s="598" t="s">
        <v>3330</v>
      </c>
      <c r="J38" s="539">
        <f>SUMIF(114:114,I38,115:115)-SUMIF(114:114,C38,115:115)+100</f>
        <v>100</v>
      </c>
      <c r="K38" s="863">
        <v>2</v>
      </c>
      <c r="L38" s="2125"/>
      <c r="M38" s="2117"/>
      <c r="N38" s="2117"/>
      <c r="O38" s="2124"/>
      <c r="P38" s="3792" t="s">
        <v>550</v>
      </c>
      <c r="Q38" s="1556" t="str">
        <f t="shared" si="8"/>
        <v>物业管理</v>
      </c>
      <c r="R38" s="1557" t="s">
        <v>11</v>
      </c>
      <c r="S38" s="1558">
        <f t="shared" si="9"/>
        <v>100</v>
      </c>
      <c r="T38" s="1557" t="s">
        <v>11</v>
      </c>
      <c r="U38" s="1558">
        <f t="shared" si="10"/>
        <v>100</v>
      </c>
      <c r="V38" s="1557" t="s">
        <v>11</v>
      </c>
      <c r="W38" s="1558">
        <f t="shared" si="11"/>
        <v>100</v>
      </c>
      <c r="X38" s="1551"/>
      <c r="Y38" s="3792" t="s">
        <v>550</v>
      </c>
      <c r="Z38" s="1559" t="str">
        <f t="shared" si="12"/>
        <v>物业管理</v>
      </c>
      <c r="AA38" s="1560">
        <f t="shared" si="3"/>
        <v>1</v>
      </c>
      <c r="AB38" s="1560">
        <f t="shared" si="4"/>
        <v>1</v>
      </c>
      <c r="AC38" s="1560">
        <f t="shared" si="5"/>
        <v>1</v>
      </c>
    </row>
    <row r="39" spans="1:29" ht="15">
      <c r="A39" s="593"/>
      <c r="B39" s="1878" t="s">
        <v>2561</v>
      </c>
      <c r="C39" s="598" t="s">
        <v>3296</v>
      </c>
      <c r="D39" s="539">
        <v>100</v>
      </c>
      <c r="E39" s="598" t="s">
        <v>3296</v>
      </c>
      <c r="F39" s="574">
        <f>SUMIF(116:116,E39,117:117)-SUMIF(116:116,C39,117:117)+100</f>
        <v>100</v>
      </c>
      <c r="G39" s="598" t="s">
        <v>3296</v>
      </c>
      <c r="H39" s="539">
        <f>SUMIF(116:116,G39,117:117)-SUMIF(116:116,C39,117:117)+100</f>
        <v>100</v>
      </c>
      <c r="I39" s="598" t="s">
        <v>3296</v>
      </c>
      <c r="J39" s="539">
        <f>SUMIF(116:116,I39,117:117)-SUMIF(116:116,C39,117:117)+100</f>
        <v>100</v>
      </c>
      <c r="K39" s="863">
        <v>2</v>
      </c>
      <c r="L39" s="2125"/>
      <c r="M39" s="2117"/>
      <c r="N39" s="2117"/>
      <c r="O39" s="2124"/>
      <c r="P39" s="3792"/>
      <c r="Q39" s="1556" t="str">
        <f t="shared" si="8"/>
        <v>市政基础设施</v>
      </c>
      <c r="R39" s="1557" t="s">
        <v>11</v>
      </c>
      <c r="S39" s="1558">
        <f t="shared" si="9"/>
        <v>100</v>
      </c>
      <c r="T39" s="1557" t="s">
        <v>11</v>
      </c>
      <c r="U39" s="1558">
        <f t="shared" si="10"/>
        <v>100</v>
      </c>
      <c r="V39" s="1557" t="s">
        <v>11</v>
      </c>
      <c r="W39" s="1558">
        <f t="shared" si="11"/>
        <v>100</v>
      </c>
      <c r="X39" s="1551"/>
      <c r="Y39" s="3792"/>
      <c r="Z39" s="1559" t="str">
        <f t="shared" si="12"/>
        <v>市政基础设施</v>
      </c>
      <c r="AA39" s="1560">
        <f t="shared" si="3"/>
        <v>1</v>
      </c>
      <c r="AB39" s="1560">
        <f t="shared" si="4"/>
        <v>1</v>
      </c>
      <c r="AC39" s="1560">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25"/>
      <c r="M40" s="2117"/>
      <c r="N40" s="2117"/>
      <c r="O40" s="2124"/>
      <c r="P40" s="3792"/>
      <c r="Q40" s="1556" t="str">
        <f t="shared" si="8"/>
        <v>房型</v>
      </c>
      <c r="R40" s="1557" t="s">
        <v>11</v>
      </c>
      <c r="S40" s="1558">
        <f t="shared" si="9"/>
        <v>100</v>
      </c>
      <c r="T40" s="1557" t="s">
        <v>11</v>
      </c>
      <c r="U40" s="1558">
        <f t="shared" si="10"/>
        <v>100</v>
      </c>
      <c r="V40" s="1557" t="s">
        <v>11</v>
      </c>
      <c r="W40" s="1558">
        <f t="shared" si="11"/>
        <v>100</v>
      </c>
      <c r="X40" s="1551"/>
      <c r="Y40" s="3792"/>
      <c r="Z40" s="1559" t="str">
        <f t="shared" si="12"/>
        <v>房型</v>
      </c>
      <c r="AA40" s="1560">
        <f t="shared" si="3"/>
        <v>1</v>
      </c>
      <c r="AB40" s="1560">
        <f t="shared" si="4"/>
        <v>1</v>
      </c>
      <c r="AC40" s="1560">
        <f t="shared" si="5"/>
        <v>1</v>
      </c>
    </row>
    <row r="41" spans="1:29" s="1332"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792"/>
      <c r="Q41" s="1588" t="str">
        <f t="shared" si="8"/>
        <v>单套/主力户型建筑面积</v>
      </c>
      <c r="R41" s="1561" t="s">
        <v>11</v>
      </c>
      <c r="S41" s="1562">
        <f t="shared" si="9"/>
        <v>100</v>
      </c>
      <c r="T41" s="1561" t="s">
        <v>11</v>
      </c>
      <c r="U41" s="1562">
        <f t="shared" si="10"/>
        <v>100</v>
      </c>
      <c r="V41" s="1561" t="s">
        <v>11</v>
      </c>
      <c r="W41" s="1562">
        <f t="shared" si="11"/>
        <v>100</v>
      </c>
      <c r="X41" s="1563"/>
      <c r="Y41" s="3792"/>
      <c r="Z41" s="1564" t="str">
        <f t="shared" si="12"/>
        <v>单套/主力户型建筑面积</v>
      </c>
      <c r="AA41" s="1560">
        <f t="shared" si="3"/>
        <v>1</v>
      </c>
      <c r="AB41" s="1560">
        <f t="shared" si="4"/>
        <v>1</v>
      </c>
      <c r="AC41" s="1560">
        <f t="shared" si="5"/>
        <v>1</v>
      </c>
    </row>
    <row r="42" spans="1:29" ht="15">
      <c r="A42" s="593"/>
      <c r="B42" s="526" t="s">
        <v>734</v>
      </c>
      <c r="C42" s="598" t="s">
        <v>3328</v>
      </c>
      <c r="D42" s="539">
        <v>100</v>
      </c>
      <c r="E42" s="873" t="s">
        <v>3334</v>
      </c>
      <c r="F42" s="574">
        <f>SUMIF(122:122,E42,123:123)-SUMIF(122:122,C42,123:123)+100</f>
        <v>91</v>
      </c>
      <c r="G42" s="598" t="s">
        <v>3334</v>
      </c>
      <c r="H42" s="539">
        <f>SUMIF(122:122,G42,123:123)-SUMIF(122:122,C42,123:123)+100</f>
        <v>91</v>
      </c>
      <c r="I42" s="873" t="s">
        <v>3328</v>
      </c>
      <c r="J42" s="539">
        <f>SUMIF(122:122,I42,123:123)-SUMIF(122:122,C42,123:123)+100</f>
        <v>100</v>
      </c>
      <c r="K42" s="863">
        <v>3</v>
      </c>
      <c r="L42" s="2125"/>
      <c r="M42" s="2117"/>
      <c r="N42" s="2117"/>
      <c r="O42" s="2124"/>
      <c r="P42" s="3792"/>
      <c r="Q42" s="1556" t="str">
        <f t="shared" si="8"/>
        <v>内部装修</v>
      </c>
      <c r="R42" s="1557" t="s">
        <v>11</v>
      </c>
      <c r="S42" s="1558">
        <f t="shared" si="9"/>
        <v>91</v>
      </c>
      <c r="T42" s="1557" t="s">
        <v>11</v>
      </c>
      <c r="U42" s="1558">
        <f t="shared" si="10"/>
        <v>91</v>
      </c>
      <c r="V42" s="1557" t="s">
        <v>11</v>
      </c>
      <c r="W42" s="1558">
        <f t="shared" si="11"/>
        <v>100</v>
      </c>
      <c r="X42" s="1551"/>
      <c r="Y42" s="3792"/>
      <c r="Z42" s="1559" t="str">
        <f t="shared" si="12"/>
        <v>内部装修</v>
      </c>
      <c r="AA42" s="1560">
        <f t="shared" si="3"/>
        <v>1.098901098901099</v>
      </c>
      <c r="AB42" s="1560">
        <f t="shared" si="4"/>
        <v>1.098901098901099</v>
      </c>
      <c r="AC42" s="1560">
        <f t="shared" si="5"/>
        <v>1</v>
      </c>
    </row>
    <row r="43" spans="1:29" ht="27">
      <c r="A43" s="593"/>
      <c r="B43" s="526" t="s">
        <v>735</v>
      </c>
      <c r="C43" s="598" t="s">
        <v>3295</v>
      </c>
      <c r="D43" s="539">
        <v>100</v>
      </c>
      <c r="E43" s="598" t="s">
        <v>3295</v>
      </c>
      <c r="F43" s="574">
        <f>SUMIF(124:124,E43,125:125)-SUMIF(124:124,C43,125:125)+100</f>
        <v>100</v>
      </c>
      <c r="G43" s="598" t="s">
        <v>3295</v>
      </c>
      <c r="H43" s="539">
        <f>SUMIF(124:124,G43,125:125)-SUMIF(124:124,C43,125:125)+100</f>
        <v>100</v>
      </c>
      <c r="I43" s="598" t="s">
        <v>3295</v>
      </c>
      <c r="J43" s="539">
        <f>SUMIF(124:124,I43,125:125)-SUMIF(124:124,C43,125:125)+100</f>
        <v>100</v>
      </c>
      <c r="K43" s="863"/>
      <c r="L43" s="2125"/>
      <c r="M43" s="2117"/>
      <c r="N43" s="2117"/>
      <c r="O43" s="2124"/>
      <c r="P43" s="3792"/>
      <c r="Q43" s="1556" t="str">
        <f t="shared" si="8"/>
        <v>内部装修维护情况</v>
      </c>
      <c r="R43" s="1557" t="s">
        <v>11</v>
      </c>
      <c r="S43" s="1558">
        <f t="shared" si="9"/>
        <v>100</v>
      </c>
      <c r="T43" s="1557" t="s">
        <v>11</v>
      </c>
      <c r="U43" s="1558">
        <f t="shared" si="10"/>
        <v>100</v>
      </c>
      <c r="V43" s="1557" t="s">
        <v>11</v>
      </c>
      <c r="W43" s="1558">
        <f t="shared" si="11"/>
        <v>100</v>
      </c>
      <c r="X43" s="1551"/>
      <c r="Y43" s="3792"/>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792"/>
      <c r="Q44" s="1144">
        <f t="shared" si="8"/>
        <v>111</v>
      </c>
      <c r="R44" s="1552" t="s">
        <v>11</v>
      </c>
      <c r="S44" s="1553">
        <f t="shared" si="9"/>
        <v>100</v>
      </c>
      <c r="T44" s="1552" t="s">
        <v>11</v>
      </c>
      <c r="U44" s="1553">
        <f t="shared" si="10"/>
        <v>100</v>
      </c>
      <c r="V44" s="1552" t="s">
        <v>11</v>
      </c>
      <c r="W44" s="1553">
        <f t="shared" si="11"/>
        <v>100</v>
      </c>
      <c r="X44" s="1554"/>
      <c r="Y44" s="3792"/>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792"/>
      <c r="Q45" s="1556">
        <f t="shared" si="8"/>
        <v>111</v>
      </c>
      <c r="R45" s="1557" t="s">
        <v>11</v>
      </c>
      <c r="S45" s="1558">
        <f t="shared" si="9"/>
        <v>100</v>
      </c>
      <c r="T45" s="1557" t="s">
        <v>11</v>
      </c>
      <c r="U45" s="1558">
        <f t="shared" si="10"/>
        <v>100</v>
      </c>
      <c r="V45" s="1557" t="s">
        <v>11</v>
      </c>
      <c r="W45" s="1558">
        <f t="shared" si="11"/>
        <v>100</v>
      </c>
      <c r="X45" s="1551"/>
      <c r="Y45" s="3792"/>
      <c r="Z45" s="1559">
        <f t="shared" si="12"/>
        <v>111</v>
      </c>
      <c r="AA45" s="1560">
        <f t="shared" si="3"/>
        <v>1</v>
      </c>
      <c r="AB45" s="1560">
        <f t="shared" si="4"/>
        <v>1</v>
      </c>
      <c r="AC45" s="1560">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871"/>
      <c r="Q46" s="1556">
        <f t="shared" si="8"/>
        <v>111</v>
      </c>
      <c r="R46" s="1557" t="s">
        <v>10</v>
      </c>
      <c r="S46" s="1558">
        <f t="shared" si="9"/>
        <v>100</v>
      </c>
      <c r="T46" s="1557" t="s">
        <v>10</v>
      </c>
      <c r="U46" s="1558">
        <f t="shared" si="10"/>
        <v>100</v>
      </c>
      <c r="V46" s="1557" t="s">
        <v>10</v>
      </c>
      <c r="W46" s="1558">
        <f t="shared" si="11"/>
        <v>100</v>
      </c>
      <c r="X46" s="1551"/>
      <c r="Y46" s="3871"/>
      <c r="Z46" s="1559">
        <f t="shared" si="12"/>
        <v>111</v>
      </c>
      <c r="AA46" s="1560">
        <f t="shared" si="3"/>
        <v>1</v>
      </c>
      <c r="AB46" s="1560">
        <f t="shared" si="4"/>
        <v>1</v>
      </c>
      <c r="AC46" s="1560">
        <f t="shared" si="5"/>
        <v>1</v>
      </c>
    </row>
    <row r="47" spans="1:29" ht="15">
      <c r="A47" s="606" t="s">
        <v>736</v>
      </c>
      <c r="B47" s="885"/>
      <c r="C47" s="2587" t="s">
        <v>9</v>
      </c>
      <c r="D47" s="2588"/>
      <c r="E47" s="2589">
        <v>9230</v>
      </c>
      <c r="F47" s="2590"/>
      <c r="G47" s="2591">
        <v>9000</v>
      </c>
      <c r="H47" s="2592"/>
      <c r="I47" s="2589">
        <v>9200</v>
      </c>
      <c r="J47" s="2592"/>
      <c r="K47" s="1589"/>
      <c r="L47" s="2127"/>
      <c r="M47" s="2128"/>
      <c r="N47" s="2117"/>
      <c r="O47" s="2128"/>
      <c r="P47" s="3787" t="str">
        <f>A47</f>
        <v>成交单价（元/平方米）</v>
      </c>
      <c r="Q47" s="3787"/>
      <c r="R47" s="3870">
        <f>E47</f>
        <v>9230</v>
      </c>
      <c r="S47" s="3870"/>
      <c r="T47" s="3870">
        <f>G47</f>
        <v>9000</v>
      </c>
      <c r="U47" s="3870"/>
      <c r="V47" s="3870">
        <f>I47</f>
        <v>9200</v>
      </c>
      <c r="W47" s="3870"/>
      <c r="X47" s="1543"/>
      <c r="Y47" s="1565"/>
      <c r="Z47" s="1543"/>
      <c r="AA47" s="1543"/>
      <c r="AB47" s="1543"/>
      <c r="AC47" s="1543"/>
    </row>
    <row r="48" spans="1:29" ht="15.75" thickBot="1">
      <c r="A48" s="614" t="s">
        <v>2756</v>
      </c>
      <c r="B48" s="886"/>
      <c r="C48" s="2593">
        <f>R49</f>
        <v>9423</v>
      </c>
      <c r="D48" s="2594"/>
      <c r="E48" s="2595">
        <f>R48</f>
        <v>9656</v>
      </c>
      <c r="F48" s="2595"/>
      <c r="G48" s="2593">
        <f>T48</f>
        <v>9412</v>
      </c>
      <c r="H48" s="2594"/>
      <c r="I48" s="2595">
        <f>V48</f>
        <v>9200</v>
      </c>
      <c r="J48" s="2594"/>
      <c r="K48" s="1590"/>
      <c r="L48" s="2127"/>
      <c r="M48" s="2128"/>
      <c r="N48" s="2128"/>
      <c r="O48" s="2128"/>
      <c r="P48" s="3787" t="str">
        <f>A48</f>
        <v>比较价格（元/平方米）</v>
      </c>
      <c r="Q48" s="3787"/>
      <c r="R48" s="3870">
        <f>IF(F1="售价",ROUND(PRODUCT(R47,AA7:AA46),0),ROUND(PRODUCT(R47,AA7:AA46),1))</f>
        <v>9656</v>
      </c>
      <c r="S48" s="3870"/>
      <c r="T48" s="3870">
        <f>IF(F1="售价",ROUND(PRODUCT(T47,AB7:AB46),0),ROUND(PRODUCT(T47,AB7:AB46),1))</f>
        <v>9412</v>
      </c>
      <c r="U48" s="3870"/>
      <c r="V48" s="3870">
        <f>IF(F1="售价",ROUND(PRODUCT(V47,AC7:AC46),0),ROUND(PRODUCT(V47,AC7:AC46),1))</f>
        <v>9200</v>
      </c>
      <c r="W48" s="3870"/>
      <c r="X48" s="1543"/>
      <c r="Y48" s="1543"/>
      <c r="Z48" s="1543"/>
      <c r="AA48" s="1543"/>
      <c r="AB48" s="1543"/>
      <c r="AC48" s="1543"/>
    </row>
    <row r="49" spans="1:29" ht="15.75" thickBot="1">
      <c r="A49" s="620" t="s">
        <v>2930</v>
      </c>
      <c r="B49" s="621"/>
      <c r="C49" s="2596">
        <f>R49</f>
        <v>9423</v>
      </c>
      <c r="D49" s="2596"/>
      <c r="E49" s="2596"/>
      <c r="F49" s="2596"/>
      <c r="G49" s="2596"/>
      <c r="H49" s="2596"/>
      <c r="I49" s="2596"/>
      <c r="J49" s="2596"/>
      <c r="K49" s="1591"/>
      <c r="L49" s="2127"/>
      <c r="M49" s="2128"/>
      <c r="N49" s="2128"/>
      <c r="O49" s="2128"/>
      <c r="P49" s="3808" t="str">
        <f>A49</f>
        <v>估价对象XX用房的比较价格（楼面单价，元/平方米）</v>
      </c>
      <c r="Q49" s="3809"/>
      <c r="R49" s="3869">
        <f>IF(F1="售价",ROUND(AVERAGE(R48:V48),0),ROUND(AVERAGE(R48:V48),1))</f>
        <v>9423</v>
      </c>
      <c r="S49" s="3869"/>
      <c r="T49" s="3869"/>
      <c r="U49" s="3869"/>
      <c r="V49" s="3869"/>
      <c r="W49" s="3869"/>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4.6153846153846212E-2</v>
      </c>
      <c r="F52" s="626" t="str">
        <f>IF(OR(E52&gt;=0.3,E52&lt;=-0.3),"超过30%","")</f>
        <v/>
      </c>
      <c r="G52" s="625">
        <f>IF(G47&lt;G48,G48/G47-1,G47/G48-1)</f>
        <v>4.5777777777777695E-2</v>
      </c>
      <c r="H52" s="626" t="str">
        <f>IF(OR(G52&gt;=0.3,G52&lt;=-0.3),"超过30%","")</f>
        <v/>
      </c>
      <c r="I52" s="625">
        <f>IF(I47&lt;I48,I48/I47-1,I47/I48-1)</f>
        <v>0</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2.5924351891202679E-2</v>
      </c>
      <c r="F53" s="626" t="str">
        <f>IF(OR(E53&gt;=0.2,E53&lt;=-0.2),"超过20%","")</f>
        <v/>
      </c>
      <c r="G53" s="625">
        <f>IF(G48&lt;I48,I48/G48-1,G48/I48-1)</f>
        <v>2.3043478260869499E-2</v>
      </c>
      <c r="H53" s="626" t="str">
        <f>IF(OR(G53&gt;=0.2,G53&lt;=-0.2),"超过20%","")</f>
        <v/>
      </c>
      <c r="I53" s="625">
        <f>IF(I48&lt;E48,E48/I48-1,I48/E48-1)</f>
        <v>4.9565217391304373E-2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f>IF(E47&lt;G47,G47/E47-1,E47/G47-1)</f>
        <v>2.5555555555555554E-2</v>
      </c>
      <c r="F54" s="626" t="str">
        <f>IF(OR(E54&gt;=0.3,E54&lt;=-0.3),"超过30%","")</f>
        <v/>
      </c>
      <c r="G54" s="625">
        <f>IF(G47&lt;I47,I47/G47-1,G47/I47-1)</f>
        <v>2.2222222222222143E-2</v>
      </c>
      <c r="H54" s="626" t="str">
        <f>IF(OR(G54&gt;=0.3,G54&lt;=-0.3),"超过30%","")</f>
        <v/>
      </c>
      <c r="I54" s="625">
        <f>IF(I47&lt;E47,E47/I47-1,I47/E47-1)</f>
        <v>3.260869565217428E-3</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5"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v>100</v>
      </c>
      <c r="E59" s="649">
        <v>100</v>
      </c>
      <c r="F59" s="649">
        <v>100</v>
      </c>
      <c r="G59" s="649">
        <v>100</v>
      </c>
      <c r="H59" s="649">
        <v>99.5</v>
      </c>
      <c r="I59" s="649">
        <v>99.5</v>
      </c>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4">C66-$K10</f>
        <v>98</v>
      </c>
      <c r="E66" s="678">
        <f t="shared" si="14"/>
        <v>96</v>
      </c>
      <c r="F66" s="678">
        <f t="shared" si="14"/>
        <v>94</v>
      </c>
      <c r="G66" s="678">
        <f t="shared" si="14"/>
        <v>92</v>
      </c>
      <c r="H66" s="678">
        <f t="shared" si="14"/>
        <v>90</v>
      </c>
      <c r="I66" s="678">
        <f t="shared" si="14"/>
        <v>88</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0（含）-1</v>
      </c>
      <c r="D67" s="681" t="str">
        <f t="shared" ref="D67:L67" si="15">D68&amp;"（含）"&amp;"-"&amp;E68</f>
        <v>1（含）-2</v>
      </c>
      <c r="E67" s="681" t="str">
        <f t="shared" si="15"/>
        <v>2（含）-3</v>
      </c>
      <c r="F67" s="681" t="str">
        <f t="shared" si="15"/>
        <v>3（含）-4</v>
      </c>
      <c r="G67" s="681" t="str">
        <f t="shared" si="15"/>
        <v>4（含）-</v>
      </c>
      <c r="H67" s="681" t="str">
        <f t="shared" si="15"/>
        <v>（含）-</v>
      </c>
      <c r="I67" s="681" t="str">
        <f t="shared" si="15"/>
        <v>（含）-</v>
      </c>
      <c r="J67" s="681" t="str">
        <f t="shared" si="15"/>
        <v>（含）-</v>
      </c>
      <c r="K67" s="681" t="str">
        <f t="shared" si="15"/>
        <v>（含）-</v>
      </c>
      <c r="L67" s="681" t="str">
        <f t="shared" si="15"/>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v>4</v>
      </c>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6">C69-$K11</f>
        <v>98</v>
      </c>
      <c r="E69" s="678">
        <f t="shared" si="16"/>
        <v>96</v>
      </c>
      <c r="F69" s="678">
        <f t="shared" si="16"/>
        <v>94</v>
      </c>
      <c r="G69" s="678">
        <f t="shared" si="16"/>
        <v>92</v>
      </c>
      <c r="H69" s="678">
        <f t="shared" si="16"/>
        <v>90</v>
      </c>
      <c r="I69" s="678">
        <f t="shared" si="16"/>
        <v>88</v>
      </c>
      <c r="J69" s="678">
        <f t="shared" si="16"/>
        <v>86</v>
      </c>
      <c r="K69" s="678">
        <f t="shared" si="16"/>
        <v>84</v>
      </c>
      <c r="L69" s="678">
        <f t="shared" si="16"/>
        <v>82</v>
      </c>
      <c r="M69" s="679">
        <f t="shared" si="16"/>
        <v>80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99</v>
      </c>
      <c r="E79" s="678">
        <f>D79-$K17</f>
        <v>98</v>
      </c>
      <c r="F79" s="678">
        <f>E79-$K17</f>
        <v>97</v>
      </c>
      <c r="G79" s="678">
        <f>F79-$K17</f>
        <v>96</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1879" t="s">
        <v>2255</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459" t="s">
        <v>3324</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9">C101-$K32</f>
        <v>98</v>
      </c>
      <c r="E101" s="678">
        <f t="shared" si="19"/>
        <v>96</v>
      </c>
      <c r="F101" s="678">
        <f t="shared" si="19"/>
        <v>94</v>
      </c>
      <c r="G101" s="678">
        <f t="shared" si="19"/>
        <v>92</v>
      </c>
      <c r="H101" s="678">
        <f t="shared" si="19"/>
        <v>90</v>
      </c>
      <c r="I101" s="678">
        <f t="shared" si="19"/>
        <v>88</v>
      </c>
      <c r="J101" s="678">
        <f t="shared" si="19"/>
        <v>86</v>
      </c>
      <c r="K101" s="678">
        <f t="shared" si="19"/>
        <v>84</v>
      </c>
      <c r="L101" s="678">
        <f t="shared" si="19"/>
        <v>82</v>
      </c>
      <c r="M101" s="678">
        <f t="shared" si="19"/>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748</v>
      </c>
      <c r="C102" s="707" t="str">
        <f>C103&amp;"(含)"&amp;"-"&amp;D103</f>
        <v>0(含)-200000</v>
      </c>
      <c r="D102" s="707" t="str">
        <f t="shared" ref="D102:L102" si="20">D103&amp;"(含)"&amp;"-"&amp;E103</f>
        <v>200000(含)-400000</v>
      </c>
      <c r="E102" s="707" t="str">
        <f t="shared" si="20"/>
        <v>400000(含)-600000</v>
      </c>
      <c r="F102" s="707" t="str">
        <f t="shared" si="20"/>
        <v>600000(含)-800000</v>
      </c>
      <c r="G102" s="707" t="str">
        <f t="shared" si="20"/>
        <v>800000(含)-</v>
      </c>
      <c r="H102" s="707" t="str">
        <f t="shared" si="20"/>
        <v>(含)-</v>
      </c>
      <c r="I102" s="707" t="str">
        <f t="shared" si="20"/>
        <v>(含)-</v>
      </c>
      <c r="J102" s="707" t="str">
        <f t="shared" si="20"/>
        <v>(含)-</v>
      </c>
      <c r="K102" s="707" t="str">
        <f t="shared" si="20"/>
        <v>(含)-</v>
      </c>
      <c r="L102" s="707" t="str">
        <f t="shared" si="20"/>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v>0</v>
      </c>
      <c r="D103" s="729">
        <v>200000</v>
      </c>
      <c r="E103" s="729">
        <v>400000</v>
      </c>
      <c r="F103" s="729">
        <v>600000</v>
      </c>
      <c r="G103" s="729">
        <v>800000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v>100</v>
      </c>
      <c r="D104" s="670">
        <v>101</v>
      </c>
      <c r="E104" s="670">
        <v>102</v>
      </c>
      <c r="F104" s="670">
        <v>103</v>
      </c>
      <c r="G104" s="670">
        <v>104</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450" t="s">
        <v>3325</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1">C106-$K34</f>
        <v>98</v>
      </c>
      <c r="E106" s="678">
        <f t="shared" si="21"/>
        <v>96</v>
      </c>
      <c r="F106" s="678">
        <f t="shared" si="21"/>
        <v>94</v>
      </c>
      <c r="G106" s="678">
        <f t="shared" si="21"/>
        <v>92</v>
      </c>
      <c r="H106" s="678">
        <f t="shared" si="21"/>
        <v>90</v>
      </c>
      <c r="I106" s="678">
        <f t="shared" si="21"/>
        <v>88</v>
      </c>
      <c r="J106" s="678">
        <f t="shared" si="21"/>
        <v>86</v>
      </c>
      <c r="K106" s="678">
        <f t="shared" si="21"/>
        <v>84</v>
      </c>
      <c r="L106" s="678">
        <f t="shared" si="21"/>
        <v>82</v>
      </c>
      <c r="M106" s="678">
        <f t="shared" si="21"/>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449" t="s">
        <v>3327</v>
      </c>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2">C108-$K35</f>
        <v>98</v>
      </c>
      <c r="E108" s="678">
        <f t="shared" si="22"/>
        <v>96</v>
      </c>
      <c r="F108" s="678">
        <f t="shared" si="22"/>
        <v>94</v>
      </c>
      <c r="G108" s="678">
        <f t="shared" si="22"/>
        <v>92</v>
      </c>
      <c r="H108" s="678">
        <f t="shared" si="22"/>
        <v>90</v>
      </c>
      <c r="I108" s="678">
        <f t="shared" si="22"/>
        <v>88</v>
      </c>
      <c r="J108" s="678">
        <f t="shared" si="22"/>
        <v>86</v>
      </c>
      <c r="K108" s="678">
        <f t="shared" si="22"/>
        <v>84</v>
      </c>
      <c r="L108" s="678">
        <f t="shared" si="22"/>
        <v>82</v>
      </c>
      <c r="M108" s="678">
        <f t="shared" si="22"/>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450" t="s">
        <v>3329</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3">C110-$K36</f>
        <v>98</v>
      </c>
      <c r="E110" s="678">
        <f t="shared" si="23"/>
        <v>96</v>
      </c>
      <c r="F110" s="678">
        <f t="shared" si="23"/>
        <v>94</v>
      </c>
      <c r="G110" s="678">
        <f t="shared" si="23"/>
        <v>92</v>
      </c>
      <c r="H110" s="678">
        <f t="shared" si="23"/>
        <v>90</v>
      </c>
      <c r="I110" s="678">
        <f t="shared" si="23"/>
        <v>88</v>
      </c>
      <c r="J110" s="678">
        <f t="shared" si="23"/>
        <v>86</v>
      </c>
      <c r="K110" s="678">
        <f t="shared" si="23"/>
        <v>84</v>
      </c>
      <c r="L110" s="678">
        <f t="shared" si="23"/>
        <v>82</v>
      </c>
      <c r="M110" s="678">
        <f t="shared" si="23"/>
        <v>80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450" t="s">
        <v>3331</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98</v>
      </c>
      <c r="E115" s="678">
        <f t="shared" si="24"/>
        <v>96</v>
      </c>
      <c r="F115" s="678">
        <f t="shared" si="24"/>
        <v>94</v>
      </c>
      <c r="G115" s="678">
        <f t="shared" si="24"/>
        <v>92</v>
      </c>
      <c r="H115" s="678">
        <f t="shared" si="24"/>
        <v>90</v>
      </c>
      <c r="I115" s="678">
        <f t="shared" si="24"/>
        <v>88</v>
      </c>
      <c r="J115" s="678">
        <f t="shared" si="24"/>
        <v>86</v>
      </c>
      <c r="K115" s="678">
        <f t="shared" si="24"/>
        <v>84</v>
      </c>
      <c r="L115" s="678">
        <f t="shared" si="24"/>
        <v>82</v>
      </c>
      <c r="M115" s="678">
        <f t="shared" si="24"/>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2553</v>
      </c>
      <c r="C116" s="3450" t="s">
        <v>3300</v>
      </c>
      <c r="D116" s="3450" t="s">
        <v>3296</v>
      </c>
      <c r="E116" s="687" t="s">
        <v>3301</v>
      </c>
      <c r="F116" s="687" t="s">
        <v>3302</v>
      </c>
      <c r="G116" s="687" t="s">
        <v>3303</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5">C119-$K40</f>
        <v>98</v>
      </c>
      <c r="E119" s="678">
        <f t="shared" si="25"/>
        <v>96</v>
      </c>
      <c r="F119" s="678">
        <f t="shared" si="25"/>
        <v>94</v>
      </c>
      <c r="G119" s="678">
        <f t="shared" si="25"/>
        <v>92</v>
      </c>
      <c r="H119" s="678">
        <f t="shared" si="25"/>
        <v>90</v>
      </c>
      <c r="I119" s="678">
        <f t="shared" si="25"/>
        <v>88</v>
      </c>
      <c r="J119" s="678">
        <f t="shared" si="25"/>
        <v>86</v>
      </c>
      <c r="K119" s="678">
        <f t="shared" si="25"/>
        <v>84</v>
      </c>
      <c r="L119" s="678">
        <f t="shared" si="25"/>
        <v>82</v>
      </c>
      <c r="M119" s="678">
        <f t="shared" si="25"/>
        <v>80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450" t="s">
        <v>3332</v>
      </c>
      <c r="D122" s="3450" t="s">
        <v>3333</v>
      </c>
      <c r="E122" s="3450" t="s">
        <v>3336</v>
      </c>
      <c r="F122" s="3449" t="s">
        <v>3335</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97</v>
      </c>
      <c r="E123" s="678">
        <f t="shared" si="26"/>
        <v>94</v>
      </c>
      <c r="F123" s="678">
        <f t="shared" si="26"/>
        <v>91</v>
      </c>
      <c r="G123" s="678">
        <f t="shared" si="26"/>
        <v>88</v>
      </c>
      <c r="H123" s="678">
        <f t="shared" si="26"/>
        <v>85</v>
      </c>
      <c r="I123" s="678">
        <f t="shared" si="26"/>
        <v>82</v>
      </c>
      <c r="J123" s="678">
        <f t="shared" si="26"/>
        <v>79</v>
      </c>
      <c r="K123" s="678">
        <f t="shared" si="26"/>
        <v>76</v>
      </c>
      <c r="L123" s="678">
        <f t="shared" si="26"/>
        <v>73</v>
      </c>
      <c r="M123" s="678">
        <f t="shared" si="26"/>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2256</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2257</v>
      </c>
      <c r="C137" s="1902"/>
      <c r="D137" s="1902"/>
      <c r="E137" s="1902"/>
      <c r="F137" s="1902"/>
      <c r="G137" s="1903"/>
      <c r="H137" s="1904"/>
      <c r="I137" s="1905" t="s">
        <v>2258</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2259</v>
      </c>
      <c r="D138" s="1908" t="s">
        <v>2260</v>
      </c>
      <c r="E138" s="1909" t="s">
        <v>2261</v>
      </c>
      <c r="F138" s="1910" t="s">
        <v>2262</v>
      </c>
      <c r="G138" s="1908" t="s">
        <v>2263</v>
      </c>
      <c r="H138" s="1911" t="s">
        <v>2264</v>
      </c>
      <c r="I138" s="1912"/>
      <c r="J138" s="1908" t="s">
        <v>2265</v>
      </c>
      <c r="K138" s="1911" t="s">
        <v>2266</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2267</v>
      </c>
      <c r="E139" s="1882">
        <v>100</v>
      </c>
      <c r="F139" s="1883">
        <v>102.5</v>
      </c>
      <c r="G139" s="1913" t="s">
        <v>2268</v>
      </c>
      <c r="H139" s="1884">
        <v>105</v>
      </c>
      <c r="I139" s="1914" t="s">
        <v>2269</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2270</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2271</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2272</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2273</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2274</v>
      </c>
      <c r="E144" s="1888">
        <v>102</v>
      </c>
      <c r="F144" s="1894">
        <v>100</v>
      </c>
      <c r="G144" s="1917" t="s">
        <v>2274</v>
      </c>
      <c r="H144" s="1890">
        <v>105</v>
      </c>
      <c r="I144" s="1916" t="s">
        <v>2273</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2275</v>
      </c>
      <c r="C145" s="1895">
        <f>ROUND(MAX(C139:C144)/MIN(C139:C144)-1,3)</f>
        <v>7.2999999999999995E-2</v>
      </c>
      <c r="D145" s="1919"/>
      <c r="E145" s="1919"/>
      <c r="F145" s="1920" t="s">
        <v>2276</v>
      </c>
      <c r="G145" s="1921"/>
      <c r="H145" s="1922"/>
      <c r="I145" s="1923" t="s">
        <v>2273</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4" zoomScale="80" zoomScaleNormal="80" workbookViewId="0">
      <selection activeCell="D41" sqref="D41"/>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3122</v>
      </c>
      <c r="D1" s="3073" t="s">
        <v>3314</v>
      </c>
      <c r="E1" s="2347" t="s">
        <v>2371</v>
      </c>
      <c r="F1" s="2348">
        <f ca="1">J53</f>
        <v>37.159999999999997</v>
      </c>
      <c r="G1" s="773">
        <f>MATCH(C1,'数据-取费表'!A6:A16,0)+5</f>
        <v>7</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15524</v>
      </c>
      <c r="C2" s="2040"/>
      <c r="D2" s="2038"/>
      <c r="E2" s="2039"/>
      <c r="F2" s="2039"/>
      <c r="G2" s="1574"/>
      <c r="H2" s="2040"/>
      <c r="I2" s="2040"/>
      <c r="J2" s="2040"/>
      <c r="K2" s="2041"/>
      <c r="L2" s="2040"/>
      <c r="M2" s="2040"/>
    </row>
    <row r="3" spans="1:33" ht="18" customHeight="1" thickBot="1">
      <c r="A3" s="832" t="s">
        <v>1727</v>
      </c>
      <c r="B3" s="833">
        <f ca="1">IF(ISERROR(B2*10000/F43),0,ROUND(B2*10000/F43,0))</f>
        <v>11525</v>
      </c>
      <c r="C3" s="2040"/>
      <c r="D3" s="2038"/>
      <c r="E3" s="2039"/>
      <c r="F3" s="2039"/>
      <c r="G3" s="1574"/>
      <c r="H3" s="775" t="s">
        <v>695</v>
      </c>
      <c r="I3" s="1356"/>
      <c r="J3" s="1356"/>
      <c r="K3" s="1575"/>
      <c r="L3" s="1356"/>
      <c r="M3" s="1356"/>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2455</v>
      </c>
      <c r="C5" s="55">
        <f ca="1">C6+C10+C12</f>
        <v>886</v>
      </c>
      <c r="D5" s="2456" t="s">
        <v>2458</v>
      </c>
      <c r="E5" s="2450"/>
      <c r="F5" s="2451"/>
      <c r="G5" s="1576"/>
      <c r="H5" s="780">
        <v>1</v>
      </c>
      <c r="I5" s="781" t="s">
        <v>2455</v>
      </c>
      <c r="J5" s="55">
        <f ca="1">J6+J10+J12</f>
        <v>0</v>
      </c>
      <c r="K5" s="2456" t="s">
        <v>2458</v>
      </c>
      <c r="L5" s="2450"/>
      <c r="M5" s="2451"/>
    </row>
    <row r="6" spans="1:33" ht="18" customHeight="1">
      <c r="A6" s="1813" t="s">
        <v>1824</v>
      </c>
      <c r="B6" s="3861" t="s">
        <v>2460</v>
      </c>
      <c r="C6" s="782">
        <f ca="1">ROUND(F6*F8*F7*(1-F9)/10000,0)</f>
        <v>885</v>
      </c>
      <c r="D6" s="2457" t="s">
        <v>2459</v>
      </c>
      <c r="E6" s="783" t="s">
        <v>1738</v>
      </c>
      <c r="F6" s="784">
        <f ca="1">INDIRECT("'数据-取费表'!u"&amp;$G$1)</f>
        <v>2</v>
      </c>
      <c r="G6" s="1576"/>
      <c r="H6" s="2464" t="s">
        <v>2465</v>
      </c>
      <c r="I6" s="3861" t="s">
        <v>2460</v>
      </c>
      <c r="J6" s="782">
        <f ca="1">ROUND(M6*M8*M7*(1-M9)/10000,0)</f>
        <v>0</v>
      </c>
      <c r="K6" s="340" t="s">
        <v>1737</v>
      </c>
      <c r="L6" s="783" t="s">
        <v>1738</v>
      </c>
      <c r="M6" s="784">
        <f ca="1">INDIRECT("'数据-取费表'!z"&amp;$G$1)</f>
        <v>0</v>
      </c>
    </row>
    <row r="7" spans="1:33" ht="18" customHeight="1">
      <c r="A7" s="2460"/>
      <c r="B7" s="3862"/>
      <c r="C7" s="787"/>
      <c r="D7" s="788"/>
      <c r="E7" s="783" t="s">
        <v>1739</v>
      </c>
      <c r="F7" s="784">
        <f ca="1">IF(INDIRECT("'数据-取费表'!ah"&amp;$G$1)="",INDIRECT("'数据-取费表'!k"&amp;$G$1),INDIRECT("'数据-取费表'!ah"&amp;$G$1))</f>
        <v>13469.99</v>
      </c>
      <c r="G7" s="1576"/>
      <c r="H7" s="2449"/>
      <c r="I7" s="3862"/>
      <c r="J7" s="787"/>
      <c r="K7" s="788"/>
      <c r="L7" s="783" t="s">
        <v>1739</v>
      </c>
      <c r="M7" s="784">
        <f ca="1">F7</f>
        <v>13469.99</v>
      </c>
    </row>
    <row r="8" spans="1:33" ht="18" customHeight="1">
      <c r="A8" s="2453"/>
      <c r="B8" s="3863"/>
      <c r="C8" s="787"/>
      <c r="D8" s="788"/>
      <c r="E8" s="783" t="s">
        <v>1740</v>
      </c>
      <c r="F8" s="784">
        <f ca="1">INDIRECT("'数据-取费表'!ai"&amp;$G$1)</f>
        <v>365</v>
      </c>
      <c r="G8" s="1576"/>
      <c r="H8" s="2449"/>
      <c r="I8" s="3863"/>
      <c r="J8" s="787"/>
      <c r="K8" s="788"/>
      <c r="L8" s="783" t="s">
        <v>1740</v>
      </c>
      <c r="M8" s="784">
        <f ca="1">INDIRECT("'数据-取费表'!ai"&amp;$G$1)</f>
        <v>365</v>
      </c>
    </row>
    <row r="9" spans="1:33" ht="18" customHeight="1">
      <c r="A9" s="785"/>
      <c r="B9" s="3864"/>
      <c r="C9" s="787"/>
      <c r="D9" s="788"/>
      <c r="E9" s="783" t="s">
        <v>1741</v>
      </c>
      <c r="F9" s="793">
        <f ca="1">INDIRECT("'数据-取费表'!w"&amp;$G$1)</f>
        <v>0.1</v>
      </c>
      <c r="G9" s="1576"/>
      <c r="H9" s="2465"/>
      <c r="I9" s="3863"/>
      <c r="J9" s="787"/>
      <c r="K9" s="788"/>
      <c r="L9" s="794" t="s">
        <v>1741</v>
      </c>
      <c r="M9" s="795">
        <f ca="1">INDIRECT("'数据-取费表'!ab"&amp;$G$1)</f>
        <v>0</v>
      </c>
    </row>
    <row r="10" spans="1:33" ht="18" customHeight="1">
      <c r="A10" s="1813" t="s">
        <v>2463</v>
      </c>
      <c r="B10" s="2454" t="s">
        <v>2456</v>
      </c>
      <c r="C10" s="798">
        <f ca="1">ROUND(IF(F10="押一",C6/12*F11,IF(F10="押二",C6/12*2*F11,IF(F10="押三",C6/12*3*F11,C11*F11))),0)</f>
        <v>1</v>
      </c>
      <c r="D10" s="2461" t="s">
        <v>2968</v>
      </c>
      <c r="E10" s="2458" t="s">
        <v>2461</v>
      </c>
      <c r="F10" s="2581" t="s">
        <v>3310</v>
      </c>
      <c r="G10" s="1576"/>
      <c r="H10" s="2521" t="s">
        <v>2466</v>
      </c>
      <c r="I10" s="2526" t="s">
        <v>2456</v>
      </c>
      <c r="J10" s="782">
        <f ca="1">ROUND(IF(M10="押一",J6/12*M11,IF(M10="押二",J6/12*2*M11,IF(M10="押三",J6/12*3*M11,J11*M11))),0)</f>
        <v>0</v>
      </c>
      <c r="K10" s="2461" t="s">
        <v>2968</v>
      </c>
      <c r="L10" s="2458" t="s">
        <v>2461</v>
      </c>
      <c r="M10" s="2581"/>
    </row>
    <row r="11" spans="1:33" ht="18" customHeight="1">
      <c r="A11" s="789"/>
      <c r="B11" s="2455" t="s">
        <v>2570</v>
      </c>
      <c r="C11" s="2459"/>
      <c r="D11" s="788"/>
      <c r="E11" s="2458" t="s">
        <v>2462</v>
      </c>
      <c r="F11" s="795">
        <f ca="1">'数据-取费表'!B39</f>
        <v>1.4999999999999999E-2</v>
      </c>
      <c r="G11" s="1576"/>
      <c r="H11" s="2522"/>
      <c r="I11" s="2455" t="s">
        <v>2570</v>
      </c>
      <c r="J11" s="2459"/>
      <c r="K11" s="2523"/>
      <c r="L11" s="2458" t="s">
        <v>2462</v>
      </c>
      <c r="M11" s="2452">
        <f ca="1">'数据-取费表'!B39</f>
        <v>1.4999999999999999E-2</v>
      </c>
    </row>
    <row r="12" spans="1:33" ht="18" customHeight="1" thickBot="1">
      <c r="A12" s="2497" t="s">
        <v>2464</v>
      </c>
      <c r="B12" s="2498" t="s">
        <v>2457</v>
      </c>
      <c r="C12" s="2499"/>
      <c r="D12" s="2500"/>
      <c r="E12" s="2501"/>
      <c r="F12" s="2502"/>
      <c r="G12" s="1576"/>
      <c r="H12" s="2511" t="s">
        <v>2467</v>
      </c>
      <c r="I12" s="2524" t="s">
        <v>2457</v>
      </c>
      <c r="J12" s="2525"/>
      <c r="K12" s="2500"/>
      <c r="L12" s="2501"/>
      <c r="M12" s="2514"/>
    </row>
    <row r="13" spans="1:33" ht="18" customHeight="1" thickTop="1">
      <c r="A13" s="1812">
        <v>2</v>
      </c>
      <c r="B13" s="1810" t="s">
        <v>1742</v>
      </c>
      <c r="C13" s="791">
        <f ca="1">ROUND(C29*F13,0)</f>
        <v>4148</v>
      </c>
      <c r="D13" s="1817" t="s">
        <v>2294</v>
      </c>
      <c r="E13" s="1817" t="s">
        <v>1744</v>
      </c>
      <c r="F13" s="2496">
        <f ca="1">INDIRECT("'数据-取费表'!y"&amp;$G$1)</f>
        <v>1</v>
      </c>
      <c r="G13" s="1576"/>
      <c r="H13" s="1812">
        <v>2</v>
      </c>
      <c r="I13" s="1810" t="s">
        <v>1742</v>
      </c>
      <c r="J13" s="1802">
        <f ca="1">ROUND(J14*J15,0)</f>
        <v>0</v>
      </c>
      <c r="K13" s="1804" t="s">
        <v>1743</v>
      </c>
      <c r="L13" s="2512"/>
      <c r="M13" s="2513"/>
    </row>
    <row r="14" spans="1:33" ht="18" customHeight="1">
      <c r="A14" s="1631" t="s">
        <v>1884</v>
      </c>
      <c r="B14" s="783" t="s">
        <v>645</v>
      </c>
      <c r="C14" s="803">
        <f ca="1">INDIRECT("'数据-取费表'!m"&amp;$G$1)+INDIRECT("'数据-取费表'!t"&amp;$G$1)</f>
        <v>2736</v>
      </c>
      <c r="D14" s="1962" t="s">
        <v>1745</v>
      </c>
      <c r="E14" s="1963"/>
      <c r="F14" s="804"/>
      <c r="G14" s="1576"/>
      <c r="H14" s="1632" t="s">
        <v>1830</v>
      </c>
      <c r="I14" s="2214" t="s">
        <v>2822</v>
      </c>
      <c r="J14" s="53">
        <f ca="1">C29</f>
        <v>4148</v>
      </c>
      <c r="K14" s="26"/>
      <c r="L14" s="800"/>
      <c r="M14" s="801"/>
    </row>
    <row r="15" spans="1:33" s="2047" customFormat="1" ht="18" customHeight="1" thickBot="1">
      <c r="A15" s="1631" t="s">
        <v>1885</v>
      </c>
      <c r="B15" s="783" t="s">
        <v>647</v>
      </c>
      <c r="C15" s="53">
        <f ca="1">ROUND(C14*F15,0)</f>
        <v>82</v>
      </c>
      <c r="D15" s="805" t="s">
        <v>1746</v>
      </c>
      <c r="E15" s="805" t="s">
        <v>1747</v>
      </c>
      <c r="F15" s="806">
        <f>'数据-取费表'!B33</f>
        <v>0.03</v>
      </c>
      <c r="G15" s="1577"/>
      <c r="H15" s="2511" t="s">
        <v>1889</v>
      </c>
      <c r="I15" s="2506" t="s">
        <v>1744</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412</v>
      </c>
      <c r="K16" s="1804" t="s">
        <v>1750</v>
      </c>
      <c r="L16" s="2446"/>
      <c r="M16" s="2451"/>
    </row>
    <row r="17" spans="1:33" s="2047" customFormat="1" ht="18" customHeight="1">
      <c r="A17" s="1631" t="s">
        <v>1887</v>
      </c>
      <c r="B17" s="783" t="s">
        <v>653</v>
      </c>
      <c r="C17" s="53">
        <f ca="1">ROUND(F17*(F43+INDIRECT("'数据-取费表'!S"&amp;$G$1))/10000,0)</f>
        <v>274</v>
      </c>
      <c r="D17" s="783" t="s">
        <v>1751</v>
      </c>
      <c r="E17" s="783" t="s">
        <v>1752</v>
      </c>
      <c r="F17" s="56">
        <f>'数据-取费表'!B35</f>
        <v>200</v>
      </c>
      <c r="G17" s="1577"/>
      <c r="H17" s="1632" t="s">
        <v>1830</v>
      </c>
      <c r="I17" s="783" t="s">
        <v>656</v>
      </c>
      <c r="J17" s="53">
        <f ca="1">ROUND(IF(项目基本情况!B11="自然人",J6*M17/(1+'数据-取费表'!C42),J18+J19+J20),0)</f>
        <v>350</v>
      </c>
      <c r="K17" s="2445" t="s">
        <v>1753</v>
      </c>
      <c r="L17" s="2444" t="s">
        <v>1754</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41</v>
      </c>
      <c r="D18" s="783" t="s">
        <v>1746</v>
      </c>
      <c r="E18" s="783" t="s">
        <v>1747</v>
      </c>
      <c r="F18" s="808">
        <f>'数据-取费表'!B36</f>
        <v>1.4999999999999999E-2</v>
      </c>
      <c r="G18" s="1577"/>
      <c r="H18" s="1631" t="s">
        <v>1884</v>
      </c>
      <c r="I18" s="783" t="s">
        <v>1755</v>
      </c>
      <c r="J18" s="53">
        <f ca="1">ROUND(J6*M18/(1+'数据-取费表'!C42),1)</f>
        <v>0</v>
      </c>
      <c r="K18" s="2444" t="s">
        <v>1756</v>
      </c>
      <c r="L18" s="783" t="s">
        <v>1747</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3133</v>
      </c>
      <c r="D19" s="260" t="s">
        <v>1757</v>
      </c>
      <c r="E19" s="1965"/>
      <c r="F19" s="56"/>
      <c r="G19" s="1576"/>
      <c r="H19" s="1631" t="s">
        <v>1885</v>
      </c>
      <c r="I19" s="783" t="s">
        <v>1758</v>
      </c>
      <c r="J19" s="53">
        <f ca="1">IF(K19="按租金收入计税",ROUND(J6*M19/(1+'数据-取费表'!C42),1),ROUND(C29*F33*0.7,1))</f>
        <v>348.4</v>
      </c>
      <c r="K19" s="810" t="s">
        <v>665</v>
      </c>
      <c r="L19" s="783" t="s">
        <v>1747</v>
      </c>
      <c r="M19" s="808">
        <f>IF(K19="按租金收入计税",'数据-取费表'!B51,'数据-取费表'!B50)</f>
        <v>1.2E-2</v>
      </c>
    </row>
    <row r="20" spans="1:33" s="2047" customFormat="1" ht="18" customHeight="1">
      <c r="A20" s="1632" t="s">
        <v>1889</v>
      </c>
      <c r="B20" s="783" t="s">
        <v>666</v>
      </c>
      <c r="C20" s="53">
        <f ca="1">ROUND(C19*F20,0)</f>
        <v>63</v>
      </c>
      <c r="D20" s="811" t="s">
        <v>1759</v>
      </c>
      <c r="E20" s="783" t="s">
        <v>1747</v>
      </c>
      <c r="F20" s="808">
        <f>'数据-取费表'!B37</f>
        <v>0.02</v>
      </c>
      <c r="G20" s="1577"/>
      <c r="H20" s="1634" t="s">
        <v>1880</v>
      </c>
      <c r="I20" s="340" t="s">
        <v>1760</v>
      </c>
      <c r="J20" s="54">
        <f ca="1">ROUND(M20*M21/10000,0)</f>
        <v>2</v>
      </c>
      <c r="K20" s="813" t="s">
        <v>1761</v>
      </c>
      <c r="L20" s="783" t="s">
        <v>1762</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6"/>
      <c r="I21" s="792"/>
      <c r="J21" s="69"/>
      <c r="K21" s="815"/>
      <c r="L21" s="783" t="s">
        <v>1766</v>
      </c>
      <c r="M21" s="784">
        <f ca="1">INDIRECT("'数据-取费表'!r"&amp;$G$1)</f>
        <v>3439.39</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2"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62</v>
      </c>
      <c r="K22" s="2444" t="s">
        <v>1769</v>
      </c>
      <c r="L22" s="783" t="s">
        <v>1747</v>
      </c>
      <c r="M22" s="816">
        <f ca="1">INDIRECT("'数据-取费表'!Ak"&amp;$G$1)</f>
        <v>1.4999999999999999E-2</v>
      </c>
    </row>
    <row r="23" spans="1:33" s="2047" customFormat="1" ht="18" customHeight="1">
      <c r="A23" s="1631" t="s">
        <v>1831</v>
      </c>
      <c r="B23" s="783" t="s">
        <v>2532</v>
      </c>
      <c r="C23" s="53">
        <f ca="1">ROUND(IF('数据-取费表'!B22&lt;=1,(C19+C20)*F24*F23/2,(C19+C20)*(POWER((1+F24),F23/2)-1)),0)</f>
        <v>152</v>
      </c>
      <c r="D23" s="2531" t="str">
        <f>IF(F23&lt;=1,"(建造成本+管理费用)×利率×(建设周期÷2)","(建造成本+管理费用)×((1+利率)^(建设周期÷2)-1)")</f>
        <v>(建造成本+管理费用)×((1+利率)^(建设周期÷2)-1)</v>
      </c>
      <c r="E23" s="783" t="s">
        <v>1770</v>
      </c>
      <c r="F23" s="639">
        <f>'数据-取费表'!B20</f>
        <v>2</v>
      </c>
      <c r="G23" s="1577"/>
      <c r="H23" s="1632" t="s">
        <v>1890</v>
      </c>
      <c r="I23" s="783" t="s">
        <v>679</v>
      </c>
      <c r="J23" s="53">
        <f ca="1">ROUND(J13*M23,0)</f>
        <v>0</v>
      </c>
      <c r="K23" s="2444" t="s">
        <v>1771</v>
      </c>
      <c r="L23" s="783" t="s">
        <v>1747</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1E-3</v>
      </c>
      <c r="D24" s="2531" t="str">
        <f>IF(F23&lt;=1,"销售费用×利率×(建设周期÷2)","销售费用×((1+利率)^(建设周期÷2)-1)")</f>
        <v>销售费用×((1+利率)^(建设周期÷2)-1)</v>
      </c>
      <c r="E24" s="783" t="s">
        <v>1773</v>
      </c>
      <c r="F24" s="818">
        <f ca="1">'数据-取费表'!B40</f>
        <v>4.7500000000000001E-2</v>
      </c>
      <c r="G24" s="1577"/>
      <c r="H24" s="2511" t="s">
        <v>1891</v>
      </c>
      <c r="I24" s="2506" t="s">
        <v>666</v>
      </c>
      <c r="J24" s="2504">
        <f ca="1">ROUND(J5*M24,0)</f>
        <v>0</v>
      </c>
      <c r="K24" s="2505" t="s">
        <v>1774</v>
      </c>
      <c r="L24" s="2506" t="s">
        <v>1747</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58" t="s">
        <v>2818</v>
      </c>
      <c r="J25" s="791">
        <f ca="1">J5-J16</f>
        <v>-412</v>
      </c>
      <c r="K25" s="2508" t="s">
        <v>1777</v>
      </c>
      <c r="L25" s="2509"/>
      <c r="M25" s="2510"/>
    </row>
    <row r="26" spans="1:33" ht="18" customHeight="1">
      <c r="A26" s="1631" t="s">
        <v>1831</v>
      </c>
      <c r="B26" s="783" t="s">
        <v>2435</v>
      </c>
      <c r="C26" s="53">
        <f ca="1">ROUND((C19+C20)*F26,0)</f>
        <v>479</v>
      </c>
      <c r="D26" s="811" t="s">
        <v>1778</v>
      </c>
      <c r="E26" s="794" t="s">
        <v>1779</v>
      </c>
      <c r="F26" s="793">
        <f ca="1">INDIRECT("'数据-取费表'!q"&amp;$G$1)</f>
        <v>0.15</v>
      </c>
      <c r="G26" s="1576"/>
      <c r="H26" s="2462" t="s">
        <v>1780</v>
      </c>
      <c r="I26" s="2215" t="s">
        <v>2823</v>
      </c>
      <c r="J26" s="782">
        <f ca="1">IF(J5&lt;&gt;0,ROUND(J25*(1-((1+M28)/(1+M26))^M27)/(M26-M28),0),0)</f>
        <v>0</v>
      </c>
      <c r="K26" s="813" t="s">
        <v>1781</v>
      </c>
      <c r="L26" s="783" t="s">
        <v>2416</v>
      </c>
      <c r="M26" s="793">
        <f ca="1">INDIRECT("'数据-取费表'!I"&amp;$G$1)</f>
        <v>5.5E-2</v>
      </c>
    </row>
    <row r="27" spans="1:33" ht="18" customHeight="1">
      <c r="A27" s="1631" t="s">
        <v>1832</v>
      </c>
      <c r="B27" s="783" t="s">
        <v>686</v>
      </c>
      <c r="C27" s="53">
        <f ca="1">ROUND(F21*F26,4)</f>
        <v>3.0000000000000001E-3</v>
      </c>
      <c r="D27" s="811" t="s">
        <v>1782</v>
      </c>
      <c r="E27" s="805"/>
      <c r="F27" s="806"/>
      <c r="G27" s="1576"/>
      <c r="H27" s="2463"/>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5.33E-2</v>
      </c>
      <c r="D28" s="811" t="s">
        <v>2296</v>
      </c>
      <c r="E28" s="783" t="s">
        <v>1785</v>
      </c>
      <c r="F28" s="808">
        <f>'数据-取费表'!B41</f>
        <v>5.6000000000000001E-2</v>
      </c>
      <c r="G28" s="1577"/>
      <c r="H28" s="1812"/>
      <c r="I28" s="790"/>
      <c r="J28" s="791"/>
      <c r="K28" s="815"/>
      <c r="L28" s="783" t="s">
        <v>1786</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1892</v>
      </c>
      <c r="B29" s="2501" t="s">
        <v>2297</v>
      </c>
      <c r="C29" s="2504">
        <f ca="1">ROUND((C19+C20+C23+C26)/(1-F21-C24-C27-C28),0)</f>
        <v>4148</v>
      </c>
      <c r="D29" s="2505"/>
      <c r="E29" s="2506"/>
      <c r="F29" s="2507"/>
      <c r="G29" s="1577"/>
      <c r="H29" s="822" t="s">
        <v>1787</v>
      </c>
      <c r="I29" s="823" t="s">
        <v>1788</v>
      </c>
      <c r="J29" s="824">
        <f ca="1">ROUND(J26/(1+F40)^F41,0)</f>
        <v>0</v>
      </c>
      <c r="K29" s="825" t="s">
        <v>1789</v>
      </c>
      <c r="L29" s="826"/>
      <c r="M29" s="827">
        <f ca="1">INDIRECT("'数据-取费表'!k"&amp;$G$1)</f>
        <v>13469.99</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228</v>
      </c>
      <c r="D30" s="1804" t="s">
        <v>1791</v>
      </c>
      <c r="E30" s="2446"/>
      <c r="F30" s="2451"/>
      <c r="G30" s="2045"/>
      <c r="H30" s="2048"/>
      <c r="I30" s="2049"/>
      <c r="J30" s="2050"/>
      <c r="K30" s="2051"/>
      <c r="L30" s="2052"/>
      <c r="M30" s="2053"/>
    </row>
    <row r="31" spans="1:33" ht="18" customHeight="1">
      <c r="A31" s="1632" t="s">
        <v>1830</v>
      </c>
      <c r="B31" s="783" t="s">
        <v>656</v>
      </c>
      <c r="C31" s="53">
        <f ca="1">ROUND(IF(项目基本情况!B11="自然人",C6*F31/(1+'数据-取费表'!C42),C32+C33+C34),1)</f>
        <v>150.4</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47.2</v>
      </c>
      <c r="D32" s="1960" t="s">
        <v>1795</v>
      </c>
      <c r="E32" s="783" t="s">
        <v>1796</v>
      </c>
      <c r="F32" s="808">
        <f>'数据-取费表'!B41</f>
        <v>5.6000000000000001E-2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101.1</v>
      </c>
      <c r="D33" s="810" t="s">
        <v>3311</v>
      </c>
      <c r="E33" s="783" t="s">
        <v>1796</v>
      </c>
      <c r="F33" s="808">
        <f>IF(D33="按租金收入计税",'数据-取费表'!B51,'数据-取费表'!B50)</f>
        <v>0.12</v>
      </c>
      <c r="G33" s="2045"/>
      <c r="H33" s="2060"/>
      <c r="I33" s="2060"/>
      <c r="J33" s="2060"/>
      <c r="K33" s="2061"/>
      <c r="L33" s="2060"/>
      <c r="M33" s="2060"/>
    </row>
    <row r="34" spans="1:18" ht="18" customHeight="1">
      <c r="A34" s="1634" t="s">
        <v>1833</v>
      </c>
      <c r="B34" s="340" t="s">
        <v>1798</v>
      </c>
      <c r="C34" s="54">
        <f ca="1">ROUND(F34*F35/10000,1)</f>
        <v>2.1</v>
      </c>
      <c r="D34" s="813" t="s">
        <v>1799</v>
      </c>
      <c r="E34" s="783" t="s">
        <v>1800</v>
      </c>
      <c r="F34" s="639">
        <f>'数据-取费表'!B52</f>
        <v>6</v>
      </c>
      <c r="G34" s="2045"/>
      <c r="H34" s="2048"/>
      <c r="I34" s="834" t="s">
        <v>1813</v>
      </c>
      <c r="J34" s="835"/>
      <c r="K34" s="2063"/>
      <c r="L34" s="2062"/>
      <c r="M34" s="2062"/>
    </row>
    <row r="35" spans="1:18" ht="18" customHeight="1">
      <c r="A35" s="814"/>
      <c r="B35" s="792"/>
      <c r="C35" s="69"/>
      <c r="D35" s="815"/>
      <c r="E35" s="783" t="s">
        <v>1801</v>
      </c>
      <c r="F35" s="784">
        <f ca="1">INDIRECT("'数据-取费表'!r"&amp;$G$1)</f>
        <v>3439.39</v>
      </c>
      <c r="G35" s="2045"/>
      <c r="H35" s="2048"/>
      <c r="I35" s="836" t="s">
        <v>1814</v>
      </c>
      <c r="J35" s="837">
        <f ca="1">ROUND(C13*J36,0)</f>
        <v>353</v>
      </c>
      <c r="K35" s="2061"/>
      <c r="L35" s="2060"/>
      <c r="M35" s="2060"/>
    </row>
    <row r="36" spans="1:18" ht="18" customHeight="1">
      <c r="A36" s="1632" t="s">
        <v>1889</v>
      </c>
      <c r="B36" s="783" t="s">
        <v>1802</v>
      </c>
      <c r="C36" s="53">
        <f ca="1">ROUND(C29*F36,1)</f>
        <v>62.2</v>
      </c>
      <c r="D36" s="1960" t="s">
        <v>1803</v>
      </c>
      <c r="E36" s="783" t="s">
        <v>1796</v>
      </c>
      <c r="F36" s="816">
        <f ca="1">INDIRECT("'数据-取费表'!Ak"&amp;$G$1)</f>
        <v>1.4999999999999999E-2</v>
      </c>
      <c r="G36" s="2045"/>
      <c r="H36" s="2060"/>
      <c r="I36" s="838" t="s">
        <v>1815</v>
      </c>
      <c r="J36" s="839">
        <f ca="1">INDIRECT("'数据-取费表'!j"&amp;$G$1)</f>
        <v>8.5000000000000006E-2</v>
      </c>
      <c r="K36" s="2065"/>
      <c r="L36" s="2060"/>
      <c r="M36" s="2060"/>
    </row>
    <row r="37" spans="1:18" ht="18" customHeight="1">
      <c r="A37" s="1632" t="s">
        <v>1890</v>
      </c>
      <c r="B37" s="783" t="s">
        <v>679</v>
      </c>
      <c r="C37" s="53">
        <f ca="1">ROUND(C13*F37,1)</f>
        <v>6.2</v>
      </c>
      <c r="D37" s="1960" t="s">
        <v>1804</v>
      </c>
      <c r="E37" s="783" t="s">
        <v>1796</v>
      </c>
      <c r="F37" s="817">
        <f ca="1">INDIRECT("'数据-取费表'!Al"&amp;$G$1)</f>
        <v>1.5E-3</v>
      </c>
      <c r="G37" s="2045"/>
      <c r="H37" s="2060"/>
      <c r="I37" s="840" t="s">
        <v>1816</v>
      </c>
      <c r="J37" s="841"/>
      <c r="K37" s="2065"/>
      <c r="L37" s="2060"/>
      <c r="M37" s="2060"/>
    </row>
    <row r="38" spans="1:18" ht="18" customHeight="1" thickBot="1">
      <c r="A38" s="2511" t="s">
        <v>1891</v>
      </c>
      <c r="B38" s="2506" t="s">
        <v>666</v>
      </c>
      <c r="C38" s="2504">
        <f ca="1">ROUND(C5*F38,1)</f>
        <v>8.9</v>
      </c>
      <c r="D38" s="2505" t="s">
        <v>1805</v>
      </c>
      <c r="E38" s="2506" t="s">
        <v>1796</v>
      </c>
      <c r="F38" s="2502">
        <f ca="1">INDIRECT("'数据-取费表'!Am"&amp;$G$1)</f>
        <v>0.01</v>
      </c>
      <c r="G38" s="2045"/>
      <c r="H38" s="2060"/>
      <c r="I38" s="842" t="s">
        <v>1817</v>
      </c>
      <c r="J38" s="843"/>
      <c r="K38" s="2066"/>
      <c r="L38" s="2060"/>
      <c r="M38" s="2060"/>
    </row>
    <row r="39" spans="1:18" ht="24.6" customHeight="1" thickTop="1">
      <c r="A39" s="1812" t="s">
        <v>1894</v>
      </c>
      <c r="B39" s="2958" t="s">
        <v>2818</v>
      </c>
      <c r="C39" s="791">
        <f ca="1">C5-C30</f>
        <v>658</v>
      </c>
      <c r="D39" s="2508" t="s">
        <v>1806</v>
      </c>
      <c r="E39" s="2509"/>
      <c r="F39" s="2510"/>
      <c r="G39" s="2045"/>
      <c r="H39" s="2060"/>
      <c r="I39" s="836" t="s">
        <v>1818</v>
      </c>
      <c r="J39" s="844">
        <f ca="1">ROUND(J35/C39,3)</f>
        <v>0.53600000000000003</v>
      </c>
      <c r="K39" s="2066"/>
      <c r="L39" s="2060"/>
      <c r="M39" s="2060"/>
    </row>
    <row r="40" spans="1:18" ht="18" customHeight="1">
      <c r="A40" s="780" t="s">
        <v>1895</v>
      </c>
      <c r="B40" s="2215" t="s">
        <v>2298</v>
      </c>
      <c r="C40" s="782">
        <f ca="1">ROUND(C39*(1-((1+F42)/(1+F40))^F41)/(F40-F42),0)</f>
        <v>15524</v>
      </c>
      <c r="D40" s="813" t="s">
        <v>1807</v>
      </c>
      <c r="E40" s="783" t="s">
        <v>2416</v>
      </c>
      <c r="F40" s="793">
        <f ca="1">INDIRECT("'数据-取费表'!I"&amp;$G$1)</f>
        <v>5.5E-2</v>
      </c>
      <c r="G40" s="2045"/>
      <c r="H40" s="2045"/>
      <c r="I40" s="836" t="s">
        <v>1819</v>
      </c>
      <c r="J40" s="844">
        <f ca="1">1-J39</f>
        <v>0.46399999999999997</v>
      </c>
      <c r="K40" s="2066"/>
      <c r="L40" s="2045"/>
      <c r="M40" s="2045"/>
    </row>
    <row r="41" spans="1:18" ht="18" customHeight="1">
      <c r="A41" s="785"/>
      <c r="B41" s="786"/>
      <c r="C41" s="787"/>
      <c r="D41" s="820" t="s">
        <v>1808</v>
      </c>
      <c r="E41" s="783" t="s">
        <v>2958</v>
      </c>
      <c r="F41" s="821">
        <f ca="1">IF(INDIRECT("'数据-取费表'!af"&amp;$G$1)=0,INDIRECT("'数据-取费表'!ae"&amp;$G$1),INDIRECT("'数据-取费表'!af"&amp;$G$1))</f>
        <v>37.159999999999997</v>
      </c>
      <c r="G41" s="2045"/>
      <c r="H41" s="1971"/>
      <c r="I41" s="842" t="s">
        <v>1820</v>
      </c>
      <c r="J41" s="845"/>
      <c r="K41" s="2065"/>
      <c r="L41" s="1971"/>
      <c r="M41" s="1971"/>
    </row>
    <row r="42" spans="1:18" ht="18" customHeight="1">
      <c r="A42" s="789"/>
      <c r="B42" s="790"/>
      <c r="C42" s="791"/>
      <c r="D42" s="815"/>
      <c r="E42" s="783" t="s">
        <v>1809</v>
      </c>
      <c r="F42" s="793">
        <f ca="1">INDIRECT("'数据-取费表'!v"&amp;$G$1)</f>
        <v>0.03</v>
      </c>
      <c r="G42" s="2045"/>
      <c r="H42" s="1971"/>
      <c r="I42" s="846" t="s">
        <v>1821</v>
      </c>
      <c r="J42" s="844">
        <f ca="1">ROUND(C13/C40,3)</f>
        <v>0.26700000000000002</v>
      </c>
      <c r="K42" s="2065"/>
      <c r="L42" s="1971"/>
      <c r="M42" s="1971"/>
    </row>
    <row r="43" spans="1:18" ht="18" customHeight="1" thickBot="1">
      <c r="A43" s="822" t="s">
        <v>1787</v>
      </c>
      <c r="B43" s="823" t="s">
        <v>1810</v>
      </c>
      <c r="C43" s="824">
        <f ca="1">ROUND(C40*10000/F43,0)</f>
        <v>11525</v>
      </c>
      <c r="D43" s="825" t="s">
        <v>1811</v>
      </c>
      <c r="E43" s="826" t="s">
        <v>1812</v>
      </c>
      <c r="F43" s="827">
        <f ca="1">INDIRECT("'数据-取费表'!k"&amp;$G$1)</f>
        <v>13469.99</v>
      </c>
      <c r="G43" s="2045"/>
      <c r="H43" s="1971"/>
      <c r="I43" s="846" t="s">
        <v>1822</v>
      </c>
      <c r="J43" s="847">
        <f ca="1">1-J42</f>
        <v>0.73299999999999998</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4">
        <f ca="1">C67-C40</f>
        <v>-16638</v>
      </c>
      <c r="D46" s="2068"/>
      <c r="E46" s="2068"/>
      <c r="F46" s="2068"/>
      <c r="I46" s="2338" t="s">
        <v>2340</v>
      </c>
      <c r="J46" s="2339"/>
      <c r="K46" s="2340"/>
      <c r="L46" s="3104">
        <f>IF(OR(M47="住宅",D1="土地（套用方法）"),0,IF(L48&gt;J51,L60,J60))</f>
        <v>0</v>
      </c>
      <c r="O46" s="2354" t="s">
        <v>2407</v>
      </c>
      <c r="P46" s="1576"/>
      <c r="Q46" s="1587"/>
      <c r="R46" s="1576"/>
    </row>
    <row r="47" spans="1:18" s="2042" customFormat="1" ht="18" customHeight="1" thickBot="1">
      <c r="A47" s="2332">
        <v>1</v>
      </c>
      <c r="B47" s="2333" t="s">
        <v>635</v>
      </c>
      <c r="C47" s="2534">
        <f ca="1">C48+C52+C54</f>
        <v>0</v>
      </c>
      <c r="D47" s="2068"/>
      <c r="E47" s="2068"/>
      <c r="F47" s="2068"/>
      <c r="I47" s="3095" t="s">
        <v>2341</v>
      </c>
      <c r="J47" s="2341" t="s">
        <v>3312</v>
      </c>
      <c r="K47" s="3101" t="s">
        <v>2346</v>
      </c>
      <c r="L47" s="3105">
        <f ca="1">INDIRECT("'数据-取费表'!d"&amp;$G$1)</f>
        <v>40</v>
      </c>
      <c r="M47" s="1587" t="str">
        <f>IF(ISNUMBER(FIND("住宅",C1)),"住宅","非住宅")</f>
        <v>非住宅</v>
      </c>
      <c r="O47" s="2355" t="s">
        <v>2372</v>
      </c>
      <c r="P47" s="2356" t="s">
        <v>2373</v>
      </c>
      <c r="Q47" s="2357" t="s">
        <v>2374</v>
      </c>
      <c r="R47" s="2356" t="s">
        <v>2375</v>
      </c>
    </row>
    <row r="48" spans="1:18" s="2042" customFormat="1" ht="18" customHeight="1" thickBot="1">
      <c r="A48" s="2602" t="s">
        <v>2534</v>
      </c>
      <c r="B48" s="2603" t="s">
        <v>2535</v>
      </c>
      <c r="C48" s="2334">
        <f ca="1">ROUND(F48*F50*F49*(1-F51)/10000,0)</f>
        <v>0</v>
      </c>
      <c r="D48" s="2335" t="s">
        <v>636</v>
      </c>
      <c r="E48" s="2336" t="s">
        <v>2293</v>
      </c>
      <c r="F48" s="2337"/>
      <c r="G48" s="2073"/>
      <c r="I48" s="3074" t="s">
        <v>2342</v>
      </c>
      <c r="J48" s="2342" t="s">
        <v>2347</v>
      </c>
      <c r="K48" s="3102" t="s">
        <v>2348</v>
      </c>
      <c r="L48" s="1891">
        <f ca="1">INDIRECT("'数据-取费表'!f"&amp;$G$1)</f>
        <v>39.159999999999997</v>
      </c>
      <c r="O48" s="2358" t="s">
        <v>2376</v>
      </c>
      <c r="P48" s="2359" t="s">
        <v>2402</v>
      </c>
      <c r="Q48" s="2360">
        <f ca="1">C40+J29</f>
        <v>15524</v>
      </c>
      <c r="R48" s="2359" t="s">
        <v>2377</v>
      </c>
    </row>
    <row r="49" spans="1:18" s="2042" customFormat="1" ht="18" customHeight="1" thickBot="1">
      <c r="A49" s="785"/>
      <c r="B49" s="786"/>
      <c r="C49" s="787"/>
      <c r="D49" s="788"/>
      <c r="E49" s="783" t="s">
        <v>1739</v>
      </c>
      <c r="F49" s="784">
        <f ca="1">F7</f>
        <v>13469.99</v>
      </c>
      <c r="G49" s="2073"/>
      <c r="H49" s="2076"/>
      <c r="I49" s="3074" t="s">
        <v>2343</v>
      </c>
      <c r="J49" s="2343"/>
      <c r="K49" s="3103" t="s">
        <v>2349</v>
      </c>
      <c r="L49" s="2344"/>
      <c r="O49" s="2358" t="s">
        <v>2378</v>
      </c>
      <c r="P49" s="2359" t="s">
        <v>2403</v>
      </c>
      <c r="Q49" s="2360" t="str">
        <f ca="1">J60</f>
        <v>0</v>
      </c>
      <c r="R49" s="2359" t="s">
        <v>2379</v>
      </c>
    </row>
    <row r="50" spans="1:18" s="2042" customFormat="1" ht="18" customHeight="1" thickBot="1">
      <c r="A50" s="785"/>
      <c r="B50" s="786"/>
      <c r="C50" s="787"/>
      <c r="D50" s="788"/>
      <c r="E50" s="783" t="s">
        <v>1740</v>
      </c>
      <c r="F50" s="784">
        <f ca="1">F8</f>
        <v>365</v>
      </c>
      <c r="G50" s="2078"/>
      <c r="H50" s="2076"/>
      <c r="I50" s="3074" t="s">
        <v>2344</v>
      </c>
      <c r="J50" s="3099">
        <f>SUMPRODUCT((I63:I65=J47)*(J62:L62=J48)*(J63:L65))</f>
        <v>60</v>
      </c>
      <c r="K50" s="3103" t="s">
        <v>2350</v>
      </c>
      <c r="L50" s="2344"/>
      <c r="O50" s="2361" t="s">
        <v>2380</v>
      </c>
      <c r="P50" s="2359" t="s">
        <v>2404</v>
      </c>
      <c r="Q50" s="2360">
        <f ca="1">C29</f>
        <v>4148</v>
      </c>
      <c r="R50" s="2359" t="s">
        <v>2377</v>
      </c>
    </row>
    <row r="51" spans="1:18" s="2042" customFormat="1" ht="18" customHeight="1" thickBot="1">
      <c r="A51" s="785"/>
      <c r="B51" s="786"/>
      <c r="C51" s="787"/>
      <c r="D51" s="788"/>
      <c r="E51" s="783" t="s">
        <v>640</v>
      </c>
      <c r="F51" s="2331"/>
      <c r="H51" s="2076"/>
      <c r="I51" s="3096" t="s">
        <v>2345</v>
      </c>
      <c r="J51" s="3100">
        <f>IF(J49="",J50,J49+J50-YEAR('数据-取费表'!B2))</f>
        <v>60</v>
      </c>
      <c r="K51" s="3074" t="s">
        <v>2351</v>
      </c>
      <c r="L51" s="3106">
        <f ca="1">ROUND(-PV(INDIRECT("'数据-取费表'!h"&amp;$G$1),J51,(C39-C13*J36),0),0)</f>
        <v>5781</v>
      </c>
      <c r="O51" s="2361" t="s">
        <v>2381</v>
      </c>
      <c r="P51" s="2359" t="s">
        <v>2382</v>
      </c>
      <c r="Q51" s="2362" t="e">
        <f ca="1">J58</f>
        <v>#VALUE!</v>
      </c>
      <c r="R51" s="2363"/>
    </row>
    <row r="52" spans="1:18" s="2042" customFormat="1" ht="18" customHeight="1" thickBot="1">
      <c r="A52" s="780" t="s">
        <v>2533</v>
      </c>
      <c r="B52" s="2454" t="s">
        <v>2456</v>
      </c>
      <c r="C52" s="798">
        <f ca="1">ROUND(IF(F52="押一",C48/12*F11,IF(F52="押二",C48/12*2*F11,IF(F52="押三",C48/12*3*F11,C53*F11))),0)</f>
        <v>0</v>
      </c>
      <c r="D52" s="2461" t="s">
        <v>2969</v>
      </c>
      <c r="E52" s="2458" t="s">
        <v>2461</v>
      </c>
      <c r="F52" s="2581"/>
      <c r="I52" s="3097" t="s">
        <v>2418</v>
      </c>
      <c r="J52" s="2345"/>
      <c r="K52" s="3097" t="s">
        <v>2417</v>
      </c>
      <c r="L52" s="2345"/>
      <c r="O52" s="2361" t="s">
        <v>2383</v>
      </c>
      <c r="P52" s="2359" t="s">
        <v>2384</v>
      </c>
      <c r="Q52" s="2362">
        <f>J52</f>
        <v>0</v>
      </c>
      <c r="R52" s="2363"/>
    </row>
    <row r="53" spans="1:18" s="2042" customFormat="1" ht="39.75" customHeight="1" thickBot="1">
      <c r="A53" s="785"/>
      <c r="B53" s="2455" t="s">
        <v>2570</v>
      </c>
      <c r="C53" s="2459"/>
      <c r="D53" s="2461"/>
      <c r="E53" s="2458"/>
      <c r="F53" s="799"/>
      <c r="I53" s="3098" t="s">
        <v>2972</v>
      </c>
      <c r="J53" s="3177">
        <f ca="1">IF(M47="住宅",IF(D1="——",MAX(J51,L48),MAX(J51,L48-'数据-取费表'!B20)),IF(D1="——",MIN(J51,L48),MIN(J51,L48-'数据-取费表'!B20)))</f>
        <v>37.159999999999997</v>
      </c>
      <c r="K53" s="3872" t="s">
        <v>2960</v>
      </c>
      <c r="L53" s="3873"/>
      <c r="O53" s="2361" t="s">
        <v>2385</v>
      </c>
      <c r="P53" s="2359" t="s">
        <v>2386</v>
      </c>
      <c r="Q53" s="2360">
        <f ca="1">J53</f>
        <v>37.159999999999997</v>
      </c>
      <c r="R53" s="2359" t="s">
        <v>2387</v>
      </c>
    </row>
    <row r="54" spans="1:18" s="2042" customFormat="1" ht="18" customHeight="1" thickBot="1">
      <c r="A54" s="2497" t="s">
        <v>2464</v>
      </c>
      <c r="B54" s="2498" t="s">
        <v>2457</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2388</v>
      </c>
      <c r="P54" s="2359" t="s">
        <v>2405</v>
      </c>
      <c r="Q54" s="2360">
        <f ca="1">Q48+Q49</f>
        <v>15524</v>
      </c>
      <c r="R54" s="2363" t="s">
        <v>2389</v>
      </c>
    </row>
    <row r="55" spans="1:18" s="2042" customFormat="1" ht="18" customHeight="1" thickTop="1" thickBot="1">
      <c r="A55" s="796">
        <v>2</v>
      </c>
      <c r="B55" s="797" t="s">
        <v>644</v>
      </c>
      <c r="C55" s="798">
        <f ca="1">C13</f>
        <v>4148</v>
      </c>
      <c r="D55" s="794"/>
      <c r="E55" s="794"/>
      <c r="F55" s="799"/>
      <c r="I55" s="3109" t="s">
        <v>2352</v>
      </c>
      <c r="J55" s="3049" t="e">
        <f ca="1">ROUND(IF(J47="钢混",J57/J50,1-(1-2%)*(J50-J57)/J50),3)</f>
        <v>#VALUE!</v>
      </c>
      <c r="K55" s="3110" t="s">
        <v>2353</v>
      </c>
      <c r="L55" s="2346"/>
      <c r="O55" s="2364" t="s">
        <v>2408</v>
      </c>
      <c r="P55" s="1576"/>
      <c r="Q55" s="1587"/>
      <c r="R55" s="1576"/>
    </row>
    <row r="56" spans="1:18" s="2042" customFormat="1" ht="42.75" customHeight="1" thickBot="1">
      <c r="A56" s="1633"/>
      <c r="B56" s="2214" t="s">
        <v>2299</v>
      </c>
      <c r="C56" s="53">
        <f ca="1">C29</f>
        <v>4148</v>
      </c>
      <c r="D56" s="2599"/>
      <c r="E56" s="783"/>
      <c r="F56" s="808"/>
      <c r="I56" s="3111" t="s">
        <v>2354</v>
      </c>
      <c r="J56" s="3121" t="s">
        <v>1678</v>
      </c>
      <c r="K56" s="3074" t="s">
        <v>2359</v>
      </c>
      <c r="L56" s="1891" t="str">
        <f ca="1">IF(L48&lt;J51,"——",L48-J51)</f>
        <v>——</v>
      </c>
      <c r="O56" s="2355" t="s">
        <v>2372</v>
      </c>
      <c r="P56" s="2356" t="s">
        <v>2373</v>
      </c>
      <c r="Q56" s="2357" t="s">
        <v>2374</v>
      </c>
      <c r="R56" s="2356" t="s">
        <v>2375</v>
      </c>
    </row>
    <row r="57" spans="1:18" s="2042" customFormat="1" ht="28.5" customHeight="1" thickBot="1">
      <c r="A57" s="796" t="s">
        <v>1748</v>
      </c>
      <c r="B57" s="797" t="s">
        <v>651</v>
      </c>
      <c r="C57" s="798">
        <f ca="1">ROUND(C58+C63+C64+C65,0)</f>
        <v>71</v>
      </c>
      <c r="D57" s="26" t="s">
        <v>1750</v>
      </c>
      <c r="E57" s="2600"/>
      <c r="F57" s="56"/>
      <c r="I57" s="3112" t="s">
        <v>2355</v>
      </c>
      <c r="J57" s="3113" t="str">
        <f ca="1">IF(OR(M47="住宅",J51&lt;L48,J56="是"),"——",J51-L48)</f>
        <v>——</v>
      </c>
      <c r="K57" s="3074" t="s">
        <v>2360</v>
      </c>
      <c r="L57" s="1891" t="str">
        <f ca="1">IF(L48&lt;J51,"——",IF(L55="比较法",L49,IF(L55="基准地价",L50,L51)))</f>
        <v>——</v>
      </c>
      <c r="O57" s="2358" t="s">
        <v>2376</v>
      </c>
      <c r="P57" s="2359" t="s">
        <v>2406</v>
      </c>
      <c r="Q57" s="2360">
        <f ca="1">C40+J29</f>
        <v>15524</v>
      </c>
      <c r="R57" s="2359" t="s">
        <v>2377</v>
      </c>
    </row>
    <row r="58" spans="1:18" s="2042" customFormat="1" ht="28.5" customHeight="1" thickBot="1">
      <c r="A58" s="1632" t="s">
        <v>1824</v>
      </c>
      <c r="B58" s="783" t="s">
        <v>656</v>
      </c>
      <c r="C58" s="53">
        <f ca="1">ROUND(IF(项目基本情况!B11="自然人",C47*F58,C59+C60+C61),1)</f>
        <v>2.1</v>
      </c>
      <c r="D58" s="2598" t="s">
        <v>657</v>
      </c>
      <c r="E58" s="2599" t="s">
        <v>690</v>
      </c>
      <c r="F58" s="809" t="str">
        <f ca="1">IF(项目基本情况!B11="企业","",IF(INDIRECT("'数据-取费表'!c"&amp;$G$1)="住宅",5%,IF(F48*F49*F50/12/(1+'数据-取费表'!C42)&gt;20000,12%,7%)))</f>
        <v/>
      </c>
      <c r="I58" s="3112" t="s">
        <v>2356</v>
      </c>
      <c r="J58" s="3050" t="e">
        <f ca="1">IF(J55&lt;0.4,0.4,J55)</f>
        <v>#VALUE!</v>
      </c>
      <c r="K58" s="3074" t="s">
        <v>2361</v>
      </c>
      <c r="L58" s="1891" t="e">
        <f ca="1">ROUND(POWER(1+L52,L47-L48)*(POWER(1+L52,L48)-1)/(POWER(1+L52,L47)-1),4)</f>
        <v>#DIV/0!</v>
      </c>
      <c r="O58" s="2358" t="s">
        <v>2378</v>
      </c>
      <c r="P58" s="2359" t="s">
        <v>2409</v>
      </c>
      <c r="Q58" s="2360">
        <f ca="1">L60</f>
        <v>0</v>
      </c>
      <c r="R58" s="2363" t="s">
        <v>2411</v>
      </c>
    </row>
    <row r="59" spans="1:18" s="2042" customFormat="1" ht="28.5" customHeight="1" thickBot="1">
      <c r="A59" s="1631" t="s">
        <v>1831</v>
      </c>
      <c r="B59" s="783" t="s">
        <v>660</v>
      </c>
      <c r="C59" s="53">
        <f ca="1">ROUND(C47*F59/1.05,1)</f>
        <v>0</v>
      </c>
      <c r="D59" s="2599" t="s">
        <v>1756</v>
      </c>
      <c r="E59" s="783" t="s">
        <v>1747</v>
      </c>
      <c r="F59" s="808">
        <f t="shared" ref="F59:F65" si="0">F32</f>
        <v>5.6000000000000001E-2</v>
      </c>
      <c r="I59" s="3112" t="s">
        <v>2357</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2380</v>
      </c>
      <c r="P59" s="2359" t="s">
        <v>2410</v>
      </c>
      <c r="Q59" s="2360">
        <f>IF(L55="比较法",L49,IF(L55="基准地价",L50,0))</f>
        <v>0</v>
      </c>
      <c r="R59" s="2359" t="s">
        <v>2377</v>
      </c>
    </row>
    <row r="60" spans="1:18" s="2042" customFormat="1" ht="18" customHeight="1" thickBot="1">
      <c r="A60" s="1631" t="s">
        <v>1832</v>
      </c>
      <c r="B60" s="783" t="s">
        <v>1758</v>
      </c>
      <c r="C60" s="53">
        <f ca="1">IF(D60="按租金收入计税",ROUND(C47*F60,1),IF(D60="按房产原值计税",ROUND(C56*F60*0.7,1),INDIRECT("'数据-取费表'!Aj"&amp;$G$1)))</f>
        <v>0</v>
      </c>
      <c r="D60" s="2599" t="str">
        <f>D33</f>
        <v>按租金收入计税</v>
      </c>
      <c r="E60" s="783" t="s">
        <v>1747</v>
      </c>
      <c r="F60" s="808">
        <f t="shared" si="0"/>
        <v>0.12</v>
      </c>
      <c r="I60" s="3114" t="s">
        <v>2358</v>
      </c>
      <c r="J60" s="3115" t="str">
        <f ca="1">IF(OR(M47="住宅",J51&lt;L48,J56="是"),"0",ROUND(J59/(1+J52)^J53,0))</f>
        <v>0</v>
      </c>
      <c r="K60" s="3116" t="s">
        <v>2363</v>
      </c>
      <c r="L60" s="3115">
        <f ca="1">IF(OR(M47="住宅",L48&lt;J51),0,ROUND(L57*(L58/L59-1),0))</f>
        <v>0</v>
      </c>
      <c r="O60" s="2361" t="s">
        <v>2381</v>
      </c>
      <c r="P60" s="2359" t="s">
        <v>2390</v>
      </c>
      <c r="Q60" s="2362">
        <f>L52</f>
        <v>0</v>
      </c>
      <c r="R60" s="2363"/>
    </row>
    <row r="61" spans="1:18" s="2042" customFormat="1" ht="18" customHeight="1" thickBot="1">
      <c r="A61" s="1634" t="s">
        <v>1833</v>
      </c>
      <c r="B61" s="340" t="s">
        <v>668</v>
      </c>
      <c r="C61" s="54">
        <f ca="1">ROUND(F61*F62/10000,1)</f>
        <v>2.1</v>
      </c>
      <c r="D61" s="813" t="s">
        <v>669</v>
      </c>
      <c r="E61" s="783" t="s">
        <v>670</v>
      </c>
      <c r="F61" s="639">
        <f t="shared" si="0"/>
        <v>6</v>
      </c>
      <c r="K61" s="2069"/>
      <c r="O61" s="2361" t="s">
        <v>2383</v>
      </c>
      <c r="P61" s="2359" t="s">
        <v>2391</v>
      </c>
      <c r="Q61" s="2360" t="e">
        <f ca="1">L58</f>
        <v>#DIV/0!</v>
      </c>
      <c r="R61" s="2363" t="s">
        <v>2392</v>
      </c>
    </row>
    <row r="62" spans="1:18" s="2042" customFormat="1" ht="15.75" thickBot="1">
      <c r="A62" s="814"/>
      <c r="B62" s="792"/>
      <c r="C62" s="69"/>
      <c r="D62" s="815"/>
      <c r="E62" s="783" t="s">
        <v>674</v>
      </c>
      <c r="F62" s="784">
        <f t="shared" ca="1" si="0"/>
        <v>3439.39</v>
      </c>
      <c r="I62" s="3117" t="s">
        <v>2364</v>
      </c>
      <c r="J62" s="3118" t="s">
        <v>2365</v>
      </c>
      <c r="K62" s="3118" t="s">
        <v>2366</v>
      </c>
      <c r="L62" s="3118" t="s">
        <v>2347</v>
      </c>
      <c r="M62" s="3119" t="s">
        <v>2937</v>
      </c>
      <c r="O62" s="2361" t="s">
        <v>2385</v>
      </c>
      <c r="P62" s="2359" t="str">
        <f>K59</f>
        <v>建设期及建筑物耐用年限下的土地年期修正系数Kn</v>
      </c>
      <c r="Q62" s="2360" t="e">
        <f ca="1">L59</f>
        <v>#DIV/0!</v>
      </c>
      <c r="R62" s="2363" t="s">
        <v>2394</v>
      </c>
    </row>
    <row r="63" spans="1:18" s="2042" customFormat="1" ht="15.75" thickBot="1">
      <c r="A63" s="1632" t="s">
        <v>1889</v>
      </c>
      <c r="B63" s="783" t="s">
        <v>676</v>
      </c>
      <c r="C63" s="53">
        <f ca="1">ROUND(C56*F63,1)</f>
        <v>62.2</v>
      </c>
      <c r="D63" s="2599" t="s">
        <v>1803</v>
      </c>
      <c r="E63" s="783" t="s">
        <v>1747</v>
      </c>
      <c r="F63" s="816">
        <f t="shared" ca="1" si="0"/>
        <v>1.4999999999999999E-2</v>
      </c>
      <c r="I63" s="3117" t="s">
        <v>2367</v>
      </c>
      <c r="J63" s="3118">
        <v>70</v>
      </c>
      <c r="K63" s="3118">
        <v>50</v>
      </c>
      <c r="L63" s="3118">
        <v>80</v>
      </c>
      <c r="M63" s="3120">
        <v>0.02</v>
      </c>
      <c r="O63" s="2358" t="s">
        <v>2388</v>
      </c>
      <c r="P63" s="2359" t="s">
        <v>2405</v>
      </c>
      <c r="Q63" s="2360">
        <f ca="1">Q57+Q58</f>
        <v>15524</v>
      </c>
      <c r="R63" s="2363" t="s">
        <v>2389</v>
      </c>
    </row>
    <row r="64" spans="1:18" s="2042" customFormat="1" ht="16.5" thickBot="1">
      <c r="A64" s="1632" t="s">
        <v>1890</v>
      </c>
      <c r="B64" s="783" t="s">
        <v>679</v>
      </c>
      <c r="C64" s="53">
        <f ca="1">ROUND(C55*F64,1)</f>
        <v>6.2</v>
      </c>
      <c r="D64" s="2599" t="s">
        <v>680</v>
      </c>
      <c r="E64" s="783" t="s">
        <v>1747</v>
      </c>
      <c r="F64" s="817">
        <f t="shared" ca="1" si="0"/>
        <v>1.5E-3</v>
      </c>
      <c r="I64" s="3117" t="s">
        <v>2368</v>
      </c>
      <c r="J64" s="3118">
        <v>50</v>
      </c>
      <c r="K64" s="3118">
        <v>35</v>
      </c>
      <c r="L64" s="3118">
        <v>60</v>
      </c>
      <c r="M64" s="845">
        <v>0</v>
      </c>
      <c r="O64" s="2364" t="s">
        <v>2412</v>
      </c>
      <c r="P64" s="1576"/>
      <c r="Q64" s="1587"/>
      <c r="R64" s="1576"/>
    </row>
    <row r="65" spans="1:18" s="2042" customFormat="1" ht="15.75" thickBot="1">
      <c r="A65" s="1632" t="s">
        <v>1891</v>
      </c>
      <c r="B65" s="783" t="s">
        <v>666</v>
      </c>
      <c r="C65" s="53">
        <f ca="1">ROUND(C47*F65,1)</f>
        <v>0</v>
      </c>
      <c r="D65" s="2599" t="s">
        <v>683</v>
      </c>
      <c r="E65" s="783" t="s">
        <v>1747</v>
      </c>
      <c r="F65" s="793">
        <f t="shared" ca="1" si="0"/>
        <v>0.01</v>
      </c>
      <c r="I65" s="3117" t="s">
        <v>2369</v>
      </c>
      <c r="J65" s="3118">
        <v>40</v>
      </c>
      <c r="K65" s="3118">
        <v>30</v>
      </c>
      <c r="L65" s="3118">
        <v>50</v>
      </c>
      <c r="M65" s="3120">
        <v>0.02</v>
      </c>
      <c r="O65" s="2355" t="s">
        <v>2372</v>
      </c>
      <c r="P65" s="2356" t="s">
        <v>2373</v>
      </c>
      <c r="Q65" s="2357" t="s">
        <v>2374</v>
      </c>
      <c r="R65" s="2356" t="s">
        <v>2375</v>
      </c>
    </row>
    <row r="66" spans="1:18" s="2042" customFormat="1" ht="24.75" thickBot="1">
      <c r="A66" s="796" t="s">
        <v>1776</v>
      </c>
      <c r="B66" s="2959" t="s">
        <v>2818</v>
      </c>
      <c r="C66" s="798">
        <f ca="1">C47-C57</f>
        <v>-71</v>
      </c>
      <c r="D66" s="2598" t="s">
        <v>700</v>
      </c>
      <c r="E66" s="2597"/>
      <c r="F66" s="819"/>
      <c r="K66" s="2069"/>
      <c r="O66" s="2358" t="s">
        <v>2376</v>
      </c>
      <c r="P66" s="2359" t="s">
        <v>2406</v>
      </c>
      <c r="Q66" s="2360">
        <f ca="1">C40+J29</f>
        <v>15524</v>
      </c>
      <c r="R66" s="2359" t="s">
        <v>2377</v>
      </c>
    </row>
    <row r="67" spans="1:18" s="2042" customFormat="1" ht="20.25" thickBot="1">
      <c r="A67" s="780" t="s">
        <v>1780</v>
      </c>
      <c r="B67" s="2215" t="s">
        <v>2298</v>
      </c>
      <c r="C67" s="782">
        <f ca="1">ROUND(C66*(1-((1+F69)/(1+F67))^F68)/(F67-F69),0)</f>
        <v>-1114</v>
      </c>
      <c r="D67" s="813" t="s">
        <v>704</v>
      </c>
      <c r="E67" s="783" t="s">
        <v>705</v>
      </c>
      <c r="F67" s="793">
        <f ca="1">F40</f>
        <v>5.5E-2</v>
      </c>
      <c r="K67" s="2069"/>
      <c r="O67" s="2358" t="s">
        <v>2378</v>
      </c>
      <c r="P67" s="2359" t="s">
        <v>2409</v>
      </c>
      <c r="Q67" s="2360">
        <f ca="1">L60</f>
        <v>0</v>
      </c>
      <c r="R67" s="2363" t="s">
        <v>2411</v>
      </c>
    </row>
    <row r="68" spans="1:18" ht="21.75" thickBot="1">
      <c r="A68" s="785"/>
      <c r="B68" s="786"/>
      <c r="C68" s="787"/>
      <c r="D68" s="820" t="s">
        <v>1808</v>
      </c>
      <c r="E68" s="783" t="s">
        <v>1784</v>
      </c>
      <c r="F68" s="821">
        <f ca="1">F41</f>
        <v>37.159999999999997</v>
      </c>
      <c r="O68" s="2361" t="s">
        <v>2380</v>
      </c>
      <c r="P68" s="2359" t="s">
        <v>2410</v>
      </c>
      <c r="Q68" s="2365">
        <f ca="1">L51</f>
        <v>5781</v>
      </c>
      <c r="R68" s="2366" t="s">
        <v>2413</v>
      </c>
    </row>
    <row r="69" spans="1:18" ht="20.25" thickBot="1">
      <c r="A69" s="789"/>
      <c r="B69" s="790"/>
      <c r="C69" s="791"/>
      <c r="D69" s="815"/>
      <c r="E69" s="783" t="s">
        <v>710</v>
      </c>
      <c r="F69" s="2331"/>
      <c r="O69" s="2361" t="s">
        <v>2381</v>
      </c>
      <c r="P69" s="2367" t="s">
        <v>2395</v>
      </c>
      <c r="Q69" s="2360">
        <f ca="1">ROUND(Q70-Q71*Q72,0)</f>
        <v>305</v>
      </c>
      <c r="R69" s="2363"/>
    </row>
    <row r="70" spans="1:18" ht="15.75" thickBot="1">
      <c r="A70" s="822" t="s">
        <v>1787</v>
      </c>
      <c r="B70" s="823" t="s">
        <v>1810</v>
      </c>
      <c r="C70" s="824">
        <f ca="1">ROUND(C67*10000/F70,0)</f>
        <v>-827</v>
      </c>
      <c r="D70" s="825" t="s">
        <v>1811</v>
      </c>
      <c r="E70" s="826" t="s">
        <v>1812</v>
      </c>
      <c r="F70" s="827">
        <f ca="1">F43</f>
        <v>13469.99</v>
      </c>
      <c r="O70" s="2361" t="s">
        <v>2396</v>
      </c>
      <c r="P70" s="2367" t="s">
        <v>2397</v>
      </c>
      <c r="Q70" s="2360">
        <f ca="1">C39</f>
        <v>658</v>
      </c>
      <c r="R70" s="2359" t="s">
        <v>2377</v>
      </c>
    </row>
    <row r="71" spans="1:18" ht="15.75" thickBot="1">
      <c r="O71" s="2361" t="s">
        <v>2398</v>
      </c>
      <c r="P71" s="2367" t="s">
        <v>2399</v>
      </c>
      <c r="Q71" s="2360">
        <f ca="1">C13</f>
        <v>4148</v>
      </c>
      <c r="R71" s="2359" t="s">
        <v>2377</v>
      </c>
    </row>
    <row r="72" spans="1:18" ht="15.75" thickBot="1">
      <c r="O72" s="2361" t="s">
        <v>2400</v>
      </c>
      <c r="P72" s="2367" t="s">
        <v>2401</v>
      </c>
      <c r="Q72" s="2362">
        <f ca="1">J36</f>
        <v>8.5000000000000006E-2</v>
      </c>
      <c r="R72" s="2363"/>
    </row>
    <row r="73" spans="1:18" ht="15.75" thickBot="1">
      <c r="O73" s="2361" t="s">
        <v>2383</v>
      </c>
      <c r="P73" s="2359" t="s">
        <v>2390</v>
      </c>
      <c r="Q73" s="2362">
        <f>L52</f>
        <v>0</v>
      </c>
      <c r="R73" s="2363"/>
    </row>
    <row r="74" spans="1:18" ht="20.25" thickBot="1">
      <c r="O74" s="2361" t="s">
        <v>2385</v>
      </c>
      <c r="P74" s="2359" t="s">
        <v>2391</v>
      </c>
      <c r="Q74" s="2360" t="e">
        <f ca="1">L58</f>
        <v>#DIV/0!</v>
      </c>
      <c r="R74" s="2363" t="s">
        <v>2392</v>
      </c>
    </row>
    <row r="75" spans="1:18" ht="15.75" thickBot="1">
      <c r="O75" s="2361" t="s">
        <v>2414</v>
      </c>
      <c r="P75" s="2359" t="str">
        <f>K59</f>
        <v>建设期及建筑物耐用年限下的土地年期修正系数Kn</v>
      </c>
      <c r="Q75" s="2360" t="e">
        <f ca="1">L59</f>
        <v>#DIV/0!</v>
      </c>
      <c r="R75" s="2363" t="s">
        <v>2394</v>
      </c>
    </row>
    <row r="76" spans="1:18" ht="15.75" thickBot="1">
      <c r="O76" s="2358" t="s">
        <v>2388</v>
      </c>
      <c r="P76" s="2359" t="s">
        <v>2405</v>
      </c>
      <c r="Q76" s="2360">
        <f ca="1">Q66+Q67</f>
        <v>15524</v>
      </c>
      <c r="R76" s="2363"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3" priority="7">
      <formula>$L$48&gt;$J$51</formula>
    </cfRule>
  </conditionalFormatting>
  <conditionalFormatting sqref="I55">
    <cfRule type="expression" dxfId="82" priority="8">
      <formula>$J$51&gt;$L$48</formula>
    </cfRule>
  </conditionalFormatting>
  <conditionalFormatting sqref="I60">
    <cfRule type="expression" dxfId="81" priority="6">
      <formula>$J$51&gt;$L$48</formula>
    </cfRule>
  </conditionalFormatting>
  <conditionalFormatting sqref="K60">
    <cfRule type="expression" dxfId="8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90" t="s">
        <v>2468</v>
      </c>
      <c r="B1" s="3891"/>
      <c r="C1" s="3892"/>
      <c r="D1" s="3893">
        <f>SUM(I10,I15,I20,I21,I23)</f>
        <v>0</v>
      </c>
      <c r="E1" s="3893"/>
      <c r="F1" s="3893"/>
      <c r="G1" s="3893"/>
      <c r="H1" s="3893"/>
      <c r="I1" s="3894"/>
    </row>
    <row r="2" spans="1:9">
      <c r="A2" s="3880" t="s">
        <v>2469</v>
      </c>
      <c r="B2" s="3881" t="s">
        <v>2470</v>
      </c>
      <c r="C2" s="3881"/>
      <c r="D2" s="2467" t="s">
        <v>2471</v>
      </c>
      <c r="E2" s="2467" t="s">
        <v>2472</v>
      </c>
      <c r="F2" s="2467" t="s">
        <v>2473</v>
      </c>
      <c r="G2" s="2467" t="s">
        <v>2474</v>
      </c>
      <c r="H2" s="2467" t="s">
        <v>2475</v>
      </c>
      <c r="I2" s="2468" t="s">
        <v>2476</v>
      </c>
    </row>
    <row r="3" spans="1:9">
      <c r="A3" s="3880"/>
      <c r="B3" s="3881" t="s">
        <v>2477</v>
      </c>
      <c r="C3" s="3881"/>
      <c r="D3" s="2469"/>
      <c r="E3" s="2467"/>
      <c r="F3" s="2470"/>
      <c r="G3" s="2470"/>
      <c r="H3" s="2471"/>
      <c r="I3" s="2472">
        <f>ROUND(D3*E3*F3*G3*H3/10000,0)</f>
        <v>0</v>
      </c>
    </row>
    <row r="4" spans="1:9">
      <c r="A4" s="3880"/>
      <c r="B4" s="3881" t="s">
        <v>2478</v>
      </c>
      <c r="C4" s="3881"/>
      <c r="D4" s="2469"/>
      <c r="E4" s="2467"/>
      <c r="F4" s="2470"/>
      <c r="G4" s="2470"/>
      <c r="H4" s="2471"/>
      <c r="I4" s="2472">
        <f t="shared" ref="I4:I9" si="0">ROUND(D4*E4*F4*G4*H4/10000,0)</f>
        <v>0</v>
      </c>
    </row>
    <row r="5" spans="1:9">
      <c r="A5" s="3880"/>
      <c r="B5" s="3881" t="s">
        <v>2479</v>
      </c>
      <c r="C5" s="3881"/>
      <c r="D5" s="2469"/>
      <c r="E5" s="2467"/>
      <c r="F5" s="2470"/>
      <c r="G5" s="2470"/>
      <c r="H5" s="2471"/>
      <c r="I5" s="2472">
        <f t="shared" si="0"/>
        <v>0</v>
      </c>
    </row>
    <row r="6" spans="1:9">
      <c r="A6" s="3880"/>
      <c r="B6" s="3881" t="s">
        <v>2480</v>
      </c>
      <c r="C6" s="3881"/>
      <c r="D6" s="2469"/>
      <c r="E6" s="2467"/>
      <c r="F6" s="2470"/>
      <c r="G6" s="2470"/>
      <c r="H6" s="2471"/>
      <c r="I6" s="2472">
        <f t="shared" si="0"/>
        <v>0</v>
      </c>
    </row>
    <row r="7" spans="1:9">
      <c r="A7" s="3880"/>
      <c r="B7" s="3881" t="s">
        <v>2481</v>
      </c>
      <c r="C7" s="3881"/>
      <c r="D7" s="2469"/>
      <c r="E7" s="2467"/>
      <c r="F7" s="2470"/>
      <c r="G7" s="2470"/>
      <c r="H7" s="2471"/>
      <c r="I7" s="2472">
        <f t="shared" si="0"/>
        <v>0</v>
      </c>
    </row>
    <row r="8" spans="1:9">
      <c r="A8" s="3880"/>
      <c r="B8" s="3881" t="s">
        <v>2482</v>
      </c>
      <c r="C8" s="3881"/>
      <c r="D8" s="2469"/>
      <c r="E8" s="2467"/>
      <c r="F8" s="2470"/>
      <c r="G8" s="2470"/>
      <c r="H8" s="2471"/>
      <c r="I8" s="2472">
        <f t="shared" si="0"/>
        <v>0</v>
      </c>
    </row>
    <row r="9" spans="1:9">
      <c r="A9" s="3880"/>
      <c r="B9" s="3881" t="s">
        <v>2483</v>
      </c>
      <c r="C9" s="3881"/>
      <c r="D9" s="2469"/>
      <c r="E9" s="2467"/>
      <c r="F9" s="2470"/>
      <c r="G9" s="2470"/>
      <c r="H9" s="2471"/>
      <c r="I9" s="2472">
        <f t="shared" si="0"/>
        <v>0</v>
      </c>
    </row>
    <row r="10" spans="1:9">
      <c r="A10" s="3880"/>
      <c r="B10" s="3882" t="s">
        <v>2484</v>
      </c>
      <c r="C10" s="3882"/>
      <c r="D10" s="2473">
        <v>527</v>
      </c>
      <c r="E10" s="2473" t="e">
        <f>ROUND(D1*10000/D10/H9,0)</f>
        <v>#DIV/0!</v>
      </c>
      <c r="F10" s="2474"/>
      <c r="G10" s="2474"/>
      <c r="H10" s="2475"/>
      <c r="I10" s="2476">
        <f>SUM(I3:I9)</f>
        <v>0</v>
      </c>
    </row>
    <row r="11" spans="1:9" ht="14.25">
      <c r="A11" s="3880" t="s">
        <v>2485</v>
      </c>
      <c r="B11" s="3881" t="s">
        <v>2486</v>
      </c>
      <c r="C11" s="3881"/>
      <c r="D11" s="2469" t="s">
        <v>2487</v>
      </c>
      <c r="E11" s="2469" t="s">
        <v>2488</v>
      </c>
      <c r="F11" s="2470" t="s">
        <v>2489</v>
      </c>
      <c r="G11" s="2470" t="s">
        <v>2490</v>
      </c>
      <c r="H11" s="2477" t="s">
        <v>2491</v>
      </c>
      <c r="I11" s="2468" t="s">
        <v>2492</v>
      </c>
    </row>
    <row r="12" spans="1:9">
      <c r="A12" s="3880"/>
      <c r="B12" s="3881" t="s">
        <v>2493</v>
      </c>
      <c r="C12" s="3881"/>
      <c r="D12" s="2469"/>
      <c r="E12" s="2469"/>
      <c r="F12" s="2470"/>
      <c r="G12" s="2471"/>
      <c r="H12" s="2478"/>
      <c r="I12" s="2468">
        <f>ROUND(D12*E12*F12*G12/10000,0)</f>
        <v>0</v>
      </c>
    </row>
    <row r="13" spans="1:9">
      <c r="A13" s="3880"/>
      <c r="B13" s="3881" t="s">
        <v>2494</v>
      </c>
      <c r="C13" s="3881"/>
      <c r="D13" s="2469"/>
      <c r="E13" s="2469"/>
      <c r="F13" s="2470"/>
      <c r="G13" s="2471"/>
      <c r="H13" s="2478"/>
      <c r="I13" s="2468">
        <f>ROUND(D13*E13*F13*G13/10000,0)</f>
        <v>0</v>
      </c>
    </row>
    <row r="14" spans="1:9">
      <c r="A14" s="3880"/>
      <c r="B14" s="3881" t="s">
        <v>2495</v>
      </c>
      <c r="C14" s="3881"/>
      <c r="D14" s="2469"/>
      <c r="E14" s="2469"/>
      <c r="F14" s="2470"/>
      <c r="G14" s="2471"/>
      <c r="H14" s="2478"/>
      <c r="I14" s="2468">
        <f>ROUND(D14*E14*F14*G14/10000,0)</f>
        <v>0</v>
      </c>
    </row>
    <row r="15" spans="1:9">
      <c r="A15" s="3880"/>
      <c r="B15" s="3882" t="s">
        <v>2484</v>
      </c>
      <c r="C15" s="3882"/>
      <c r="D15" s="2473"/>
      <c r="E15" s="2473">
        <f>SUM(E12:E14)</f>
        <v>0</v>
      </c>
      <c r="F15" s="2474"/>
      <c r="G15" s="2471"/>
      <c r="H15" s="2478"/>
      <c r="I15" s="2479">
        <f>SUM(I12:I14)</f>
        <v>0</v>
      </c>
    </row>
    <row r="16" spans="1:9" ht="24">
      <c r="A16" s="3880" t="s">
        <v>2496</v>
      </c>
      <c r="B16" s="3881" t="s">
        <v>2497</v>
      </c>
      <c r="C16" s="3881"/>
      <c r="D16" s="2469" t="s">
        <v>2498</v>
      </c>
      <c r="E16" s="2480" t="s">
        <v>2499</v>
      </c>
      <c r="F16" s="2470" t="s">
        <v>2500</v>
      </c>
      <c r="G16" s="2471" t="s">
        <v>2490</v>
      </c>
      <c r="H16" s="2477" t="s">
        <v>2491</v>
      </c>
      <c r="I16" s="2468" t="s">
        <v>2492</v>
      </c>
    </row>
    <row r="17" spans="1:9" ht="14.25">
      <c r="A17" s="3880"/>
      <c r="B17" s="3881" t="s">
        <v>2501</v>
      </c>
      <c r="C17" s="3881"/>
      <c r="D17" s="2469"/>
      <c r="E17" s="2469"/>
      <c r="F17" s="2470"/>
      <c r="G17" s="2471"/>
      <c r="H17" s="2481"/>
      <c r="I17" s="2482">
        <f>ROUND(D17*E17*F17*G17/10000,0)</f>
        <v>0</v>
      </c>
    </row>
    <row r="18" spans="1:9" ht="14.25">
      <c r="A18" s="3880"/>
      <c r="B18" s="3881" t="s">
        <v>2502</v>
      </c>
      <c r="C18" s="3881"/>
      <c r="D18" s="2469"/>
      <c r="E18" s="2469"/>
      <c r="F18" s="2470"/>
      <c r="G18" s="2471"/>
      <c r="H18" s="2481"/>
      <c r="I18" s="2482">
        <f>ROUND(D18*E18*F18*G18/10000,0)</f>
        <v>0</v>
      </c>
    </row>
    <row r="19" spans="1:9" ht="14.25">
      <c r="A19" s="3880"/>
      <c r="B19" s="3881" t="s">
        <v>2503</v>
      </c>
      <c r="C19" s="3881"/>
      <c r="D19" s="2469"/>
      <c r="E19" s="2469"/>
      <c r="F19" s="2470"/>
      <c r="G19" s="2471"/>
      <c r="H19" s="2481"/>
      <c r="I19" s="2482">
        <f>ROUND(D19*E19*F19*G19/10000,0)</f>
        <v>0</v>
      </c>
    </row>
    <row r="20" spans="1:9">
      <c r="A20" s="3880"/>
      <c r="B20" s="3882" t="s">
        <v>2484</v>
      </c>
      <c r="C20" s="3882"/>
      <c r="D20" s="2473">
        <f>SUM(D17:D19)</f>
        <v>0</v>
      </c>
      <c r="E20" s="2473"/>
      <c r="F20" s="2474"/>
      <c r="G20" s="2471"/>
      <c r="H20" s="2478"/>
      <c r="I20" s="2479">
        <f>SUM(I17:I19)</f>
        <v>0</v>
      </c>
    </row>
    <row r="21" spans="1:9">
      <c r="A21" s="3880" t="s">
        <v>2504</v>
      </c>
      <c r="B21" s="3883"/>
      <c r="C21" s="3883"/>
      <c r="D21" s="3883"/>
      <c r="E21" s="3883"/>
      <c r="F21" s="3883"/>
      <c r="G21" s="3883"/>
      <c r="H21" s="2483">
        <v>0.1</v>
      </c>
      <c r="I21" s="2476">
        <f>ROUND(I10*H21,0)</f>
        <v>0</v>
      </c>
    </row>
    <row r="22" spans="1:9" ht="14.25">
      <c r="A22" s="3884" t="s">
        <v>2505</v>
      </c>
      <c r="B22" s="3885"/>
      <c r="C22" s="3886"/>
      <c r="D22" s="2484" t="s">
        <v>2506</v>
      </c>
      <c r="E22" s="2484" t="s">
        <v>2507</v>
      </c>
      <c r="F22" s="2485" t="s">
        <v>2508</v>
      </c>
      <c r="G22" s="2485" t="s">
        <v>2509</v>
      </c>
      <c r="H22" s="2477" t="s">
        <v>2510</v>
      </c>
      <c r="I22" s="2468" t="s">
        <v>2511</v>
      </c>
    </row>
    <row r="23" spans="1:9" ht="14.25" thickBot="1">
      <c r="A23" s="3887"/>
      <c r="B23" s="3888"/>
      <c r="C23" s="3889"/>
      <c r="D23" s="2486"/>
      <c r="E23" s="2486"/>
      <c r="F23" s="2486"/>
      <c r="G23" s="2487"/>
      <c r="H23" s="2488"/>
      <c r="I23" s="2489">
        <f>ROUND(E23*D23*F23*(1-G23)/10000,0)</f>
        <v>0</v>
      </c>
    </row>
    <row r="26" spans="1:9">
      <c r="A26" s="2490" t="s">
        <v>2512</v>
      </c>
      <c r="B26" s="2490"/>
      <c r="C26" s="2490"/>
      <c r="D26" s="2490"/>
      <c r="E26" s="3877">
        <f>C27-C30-C31-C32</f>
        <v>0</v>
      </c>
      <c r="F26" s="3877"/>
      <c r="G26" s="3877"/>
      <c r="H26" s="2991" t="s">
        <v>2839</v>
      </c>
    </row>
    <row r="27" spans="1:9">
      <c r="A27" s="2491">
        <v>1</v>
      </c>
      <c r="B27" s="2492" t="s">
        <v>2513</v>
      </c>
      <c r="C27" s="2492"/>
      <c r="D27" s="2492"/>
      <c r="E27" s="3878"/>
      <c r="F27" s="3878"/>
      <c r="G27" s="3878"/>
    </row>
    <row r="28" spans="1:9">
      <c r="A28" s="2493" t="s">
        <v>2514</v>
      </c>
      <c r="B28" s="2492" t="s">
        <v>2515</v>
      </c>
      <c r="C28" s="2492"/>
      <c r="D28" s="2492"/>
      <c r="E28" s="3878"/>
      <c r="F28" s="3878"/>
      <c r="G28" s="3878"/>
    </row>
    <row r="29" spans="1:9">
      <c r="A29" s="2493" t="s">
        <v>2516</v>
      </c>
      <c r="B29" s="2492" t="s">
        <v>2457</v>
      </c>
      <c r="C29" s="2492"/>
      <c r="D29" s="2492"/>
      <c r="E29" s="2492" t="s">
        <v>2517</v>
      </c>
      <c r="F29" s="2492"/>
      <c r="G29" s="2492"/>
    </row>
    <row r="30" spans="1:9">
      <c r="A30" s="2491">
        <v>2</v>
      </c>
      <c r="B30" s="2492" t="s">
        <v>2518</v>
      </c>
      <c r="C30" s="2492">
        <f>C27*D30</f>
        <v>0</v>
      </c>
      <c r="D30" s="2494">
        <v>0.2</v>
      </c>
      <c r="E30" s="2492" t="s">
        <v>2519</v>
      </c>
      <c r="F30" s="2492"/>
      <c r="G30" s="2492"/>
    </row>
    <row r="31" spans="1:9">
      <c r="A31" s="2491">
        <v>3</v>
      </c>
      <c r="B31" s="2492" t="s">
        <v>2520</v>
      </c>
      <c r="C31" s="2492">
        <f>C25*D31</f>
        <v>0</v>
      </c>
      <c r="D31" s="2494">
        <v>0.15</v>
      </c>
      <c r="E31" s="2492" t="s">
        <v>2521</v>
      </c>
      <c r="F31" s="2492"/>
      <c r="G31" s="2492"/>
    </row>
    <row r="32" spans="1:9">
      <c r="A32" s="2491">
        <v>4</v>
      </c>
      <c r="B32" s="2492" t="s">
        <v>2522</v>
      </c>
      <c r="C32" s="2492">
        <f>C27*D32</f>
        <v>0</v>
      </c>
      <c r="D32" s="2494">
        <v>0.05</v>
      </c>
      <c r="E32" s="3879"/>
      <c r="F32" s="3879"/>
      <c r="G32" s="3879"/>
    </row>
    <row r="33" spans="1:7" hidden="1">
      <c r="A33" s="3874" t="s">
        <v>2523</v>
      </c>
      <c r="B33" s="3875"/>
      <c r="C33" s="3875"/>
      <c r="D33" s="3876"/>
      <c r="E33" s="3877"/>
      <c r="F33" s="3877"/>
      <c r="G33" s="3877"/>
    </row>
    <row r="34" spans="1:7" hidden="1">
      <c r="A34" s="2495">
        <v>1</v>
      </c>
      <c r="B34" s="2492" t="s">
        <v>2524</v>
      </c>
      <c r="C34" s="2492"/>
      <c r="D34" s="2492"/>
      <c r="E34" s="3878"/>
      <c r="F34" s="3878"/>
      <c r="G34" s="3878"/>
    </row>
    <row r="35" spans="1:7" hidden="1">
      <c r="A35" s="2495">
        <v>2</v>
      </c>
      <c r="B35" s="2492" t="s">
        <v>2525</v>
      </c>
      <c r="C35" s="2492"/>
      <c r="D35" s="2492"/>
      <c r="E35" s="3878"/>
      <c r="F35" s="3878"/>
      <c r="G35" s="3878"/>
    </row>
    <row r="36" spans="1:7" hidden="1">
      <c r="A36" s="2495">
        <v>3</v>
      </c>
      <c r="B36" s="2492" t="s">
        <v>2526</v>
      </c>
      <c r="C36" s="2492"/>
      <c r="D36" s="2492"/>
      <c r="E36" s="3878"/>
      <c r="F36" s="3878"/>
      <c r="G36" s="3878"/>
    </row>
    <row r="37" spans="1:7" hidden="1">
      <c r="A37" s="2495">
        <v>4</v>
      </c>
      <c r="B37" s="2492" t="s">
        <v>2527</v>
      </c>
      <c r="C37" s="2492"/>
      <c r="D37" s="2492"/>
      <c r="E37" s="3878"/>
      <c r="F37" s="3878"/>
      <c r="G37" s="3878"/>
    </row>
    <row r="38" spans="1:7" hidden="1">
      <c r="A38" s="3874" t="s">
        <v>2528</v>
      </c>
      <c r="B38" s="3875"/>
      <c r="C38" s="3875"/>
      <c r="D38" s="3876"/>
      <c r="E38" s="3877"/>
      <c r="F38" s="3877"/>
      <c r="G38" s="38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29">
        <v>1</v>
      </c>
      <c r="B7" s="747" t="s">
        <v>609</v>
      </c>
      <c r="C7" s="748">
        <f>C8+C9</f>
        <v>0</v>
      </c>
      <c r="D7" s="748"/>
      <c r="E7" s="749"/>
      <c r="F7" s="749"/>
      <c r="G7" s="2439"/>
    </row>
    <row r="8" spans="1:25" s="2166" customFormat="1" ht="13.5" customHeight="1">
      <c r="A8" s="2429" t="s">
        <v>2437</v>
      </c>
      <c r="B8" s="2432" t="s">
        <v>2439</v>
      </c>
      <c r="C8" s="2433"/>
      <c r="D8" s="748"/>
      <c r="E8" s="749"/>
      <c r="F8" s="749"/>
      <c r="G8" s="750"/>
    </row>
    <row r="9" spans="1:25" s="2166" customFormat="1" ht="13.5" customHeight="1">
      <c r="A9" s="2429" t="s">
        <v>2438</v>
      </c>
      <c r="B9" s="2432" t="s">
        <v>2440</v>
      </c>
      <c r="C9" s="2433"/>
      <c r="D9" s="748"/>
      <c r="E9" s="749"/>
      <c r="F9" s="749"/>
      <c r="G9" s="750"/>
    </row>
    <row r="10" spans="1:25" s="2166" customFormat="1" ht="36">
      <c r="A10" s="2429">
        <v>2</v>
      </c>
      <c r="B10" s="747" t="s">
        <v>613</v>
      </c>
      <c r="C10" s="748">
        <f>C11+C14+C15</f>
        <v>0</v>
      </c>
      <c r="D10" s="759">
        <f>'数据-汇总表'!E3</f>
        <v>245288.5</v>
      </c>
      <c r="E10" s="748">
        <f>'数据-取费表'!B31</f>
        <v>100</v>
      </c>
      <c r="F10" s="760"/>
      <c r="G10" s="758" t="s">
        <v>614</v>
      </c>
    </row>
    <row r="11" spans="1:25" s="2166" customFormat="1" ht="13.5" customHeight="1">
      <c r="A11" s="2429" t="s">
        <v>2437</v>
      </c>
      <c r="B11" s="751" t="s">
        <v>610</v>
      </c>
      <c r="C11" s="752">
        <f>'数据-取费表'!B29</f>
        <v>0</v>
      </c>
      <c r="D11" s="753"/>
      <c r="E11" s="752"/>
      <c r="F11" s="754"/>
      <c r="G11" s="2438" t="s">
        <v>2448</v>
      </c>
    </row>
    <row r="12" spans="1:25" s="2166" customFormat="1" ht="13.5" customHeight="1">
      <c r="A12" s="2436" t="s">
        <v>2445</v>
      </c>
      <c r="B12" s="755" t="s">
        <v>611</v>
      </c>
      <c r="C12" s="756">
        <f>ROUND(D12*E12/10000,0)</f>
        <v>1402</v>
      </c>
      <c r="D12" s="757">
        <f>'数据-汇总表'!E5</f>
        <v>175210</v>
      </c>
      <c r="E12" s="756">
        <f>'数据-取费表'!B27</f>
        <v>80</v>
      </c>
      <c r="F12" s="754"/>
      <c r="G12" s="758"/>
    </row>
    <row r="13" spans="1:25" s="2166" customFormat="1" ht="13.5" customHeight="1">
      <c r="A13" s="2436" t="s">
        <v>2444</v>
      </c>
      <c r="B13" s="755" t="s">
        <v>612</v>
      </c>
      <c r="C13" s="756">
        <f>ROUND(D13*E13/10000,0)</f>
        <v>1121</v>
      </c>
      <c r="D13" s="757">
        <f>'数据-汇总表'!E6</f>
        <v>70078.5</v>
      </c>
      <c r="E13" s="756">
        <f>'数据-取费表'!B28</f>
        <v>160</v>
      </c>
      <c r="F13" s="754"/>
      <c r="G13" s="758"/>
    </row>
    <row r="14" spans="1:25" s="2166" customFormat="1" ht="13.5" customHeight="1">
      <c r="A14" s="2429" t="s">
        <v>2438</v>
      </c>
      <c r="B14" s="2435" t="s">
        <v>2441</v>
      </c>
      <c r="C14" s="2433"/>
      <c r="D14" s="757"/>
      <c r="E14" s="756"/>
      <c r="F14" s="2434"/>
      <c r="G14" s="2437" t="s">
        <v>2446</v>
      </c>
    </row>
    <row r="15" spans="1:25" s="2166" customFormat="1" ht="13.5" customHeight="1">
      <c r="A15" s="2429" t="s">
        <v>2443</v>
      </c>
      <c r="B15" s="2435" t="s">
        <v>2442</v>
      </c>
      <c r="C15" s="2433"/>
      <c r="D15" s="757"/>
      <c r="E15" s="756"/>
      <c r="F15" s="2434"/>
      <c r="G15" s="2437" t="s">
        <v>2447</v>
      </c>
    </row>
    <row r="16" spans="1:25" s="2167" customFormat="1" ht="48">
      <c r="A16" s="2429">
        <v>3</v>
      </c>
      <c r="B16" s="747" t="s">
        <v>615</v>
      </c>
      <c r="C16" s="2433"/>
      <c r="D16" s="759"/>
      <c r="E16" s="748"/>
      <c r="F16" s="760"/>
      <c r="G16" s="758"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0">
        <v>4</v>
      </c>
      <c r="B17" s="747" t="s">
        <v>616</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0">
        <v>5</v>
      </c>
      <c r="B18" s="747" t="s">
        <v>617</v>
      </c>
      <c r="C18" s="748">
        <f>ROUND((C7+C10+C16)*F18,0)</f>
        <v>0</v>
      </c>
      <c r="D18" s="761"/>
      <c r="E18" s="762"/>
      <c r="F18" s="760">
        <f>'数据-取费表'!Q16</f>
        <v>0.09</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29">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29">
        <v>7</v>
      </c>
      <c r="B20" s="747" t="s">
        <v>621</v>
      </c>
      <c r="C20" s="748">
        <f ca="1">ROUND(C19*F20,0)</f>
        <v>0</v>
      </c>
      <c r="D20" s="759"/>
      <c r="E20" s="748"/>
      <c r="F20" s="1342"/>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29">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29">
        <v>9</v>
      </c>
      <c r="B22" s="747" t="s">
        <v>625</v>
      </c>
      <c r="C22" s="748">
        <f ca="1">ROUND(C21*F22,0)</f>
        <v>0</v>
      </c>
      <c r="D22" s="759"/>
      <c r="E22" s="748"/>
      <c r="F22" s="765">
        <f>'数据-取费表'!AP16</f>
        <v>0.93200000000000005</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1">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7" zoomScale="80" zoomScaleNormal="80" workbookViewId="0">
      <selection activeCell="F41" sqref="F41"/>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3172</v>
      </c>
      <c r="D1" s="3073" t="s">
        <v>3314</v>
      </c>
      <c r="E1" s="2347" t="s">
        <v>870</v>
      </c>
      <c r="F1" s="2348">
        <f ca="1">J53</f>
        <v>47.16</v>
      </c>
      <c r="G1" s="773">
        <f>MATCH(C1,'数据-取费表'!A6:A16,0)+5</f>
        <v>8</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3451" t="s">
        <v>467</v>
      </c>
      <c r="B2" s="774">
        <f ca="1">C40+J29+L46</f>
        <v>7427</v>
      </c>
      <c r="C2" s="2040"/>
      <c r="D2" s="2038"/>
      <c r="E2" s="2039"/>
      <c r="F2" s="2039"/>
      <c r="G2" s="1574"/>
      <c r="H2" s="2040"/>
      <c r="I2" s="2040"/>
      <c r="J2" s="2040"/>
      <c r="K2" s="2041"/>
      <c r="L2" s="2040"/>
      <c r="M2" s="2040"/>
    </row>
    <row r="3" spans="1:33" ht="18" customHeight="1" thickBot="1">
      <c r="A3" s="3452" t="s">
        <v>519</v>
      </c>
      <c r="B3" s="833">
        <f ca="1">IF(ISERROR(B2*10000/F43),0,ROUND(B2*10000/F43,0))</f>
        <v>1502</v>
      </c>
      <c r="C3" s="2040"/>
      <c r="D3" s="2038"/>
      <c r="E3" s="2039"/>
      <c r="F3" s="2039"/>
      <c r="G3" s="1574"/>
      <c r="H3" s="775" t="s">
        <v>695</v>
      </c>
      <c r="I3" s="1356"/>
      <c r="J3" s="1356"/>
      <c r="K3" s="1575"/>
      <c r="L3" s="1356"/>
      <c r="M3" s="1356"/>
    </row>
    <row r="4" spans="1:33" ht="18" customHeight="1">
      <c r="A4" s="776" t="s">
        <v>698</v>
      </c>
      <c r="B4" s="777" t="s">
        <v>631</v>
      </c>
      <c r="C4" s="777" t="s">
        <v>1730</v>
      </c>
      <c r="D4" s="777" t="s">
        <v>633</v>
      </c>
      <c r="E4" s="778" t="s">
        <v>1731</v>
      </c>
      <c r="F4" s="779"/>
      <c r="G4" s="1576"/>
      <c r="H4" s="776" t="s">
        <v>698</v>
      </c>
      <c r="I4" s="777" t="s">
        <v>631</v>
      </c>
      <c r="J4" s="777" t="s">
        <v>1730</v>
      </c>
      <c r="K4" s="777" t="s">
        <v>633</v>
      </c>
      <c r="L4" s="778" t="s">
        <v>1731</v>
      </c>
      <c r="M4" s="779"/>
    </row>
    <row r="5" spans="1:33" ht="18" customHeight="1">
      <c r="A5" s="780">
        <v>1</v>
      </c>
      <c r="B5" s="781" t="s">
        <v>2455</v>
      </c>
      <c r="C5" s="55">
        <f ca="1">C6+C10+C12</f>
        <v>652</v>
      </c>
      <c r="D5" s="2456" t="s">
        <v>2458</v>
      </c>
      <c r="E5" s="2450"/>
      <c r="F5" s="2451"/>
      <c r="G5" s="1576"/>
      <c r="H5" s="780">
        <v>1</v>
      </c>
      <c r="I5" s="781" t="s">
        <v>2455</v>
      </c>
      <c r="J5" s="55">
        <f ca="1">J6+J10+J12</f>
        <v>0</v>
      </c>
      <c r="K5" s="2456" t="s">
        <v>2458</v>
      </c>
      <c r="L5" s="2450"/>
      <c r="M5" s="2451"/>
    </row>
    <row r="6" spans="1:33" ht="18" customHeight="1">
      <c r="A6" s="1813" t="s">
        <v>1824</v>
      </c>
      <c r="B6" s="3861" t="s">
        <v>2460</v>
      </c>
      <c r="C6" s="782">
        <f ca="1">ROUND(F6*F8*F7*(1-F9)/10000,0)</f>
        <v>652</v>
      </c>
      <c r="D6" s="2457" t="s">
        <v>2459</v>
      </c>
      <c r="E6" s="783" t="s">
        <v>637</v>
      </c>
      <c r="F6" s="784">
        <f ca="1">INDIRECT("'数据-取费表'!u"&amp;$G$1)</f>
        <v>400</v>
      </c>
      <c r="G6" s="1576"/>
      <c r="H6" s="2464" t="s">
        <v>1824</v>
      </c>
      <c r="I6" s="3861" t="s">
        <v>2460</v>
      </c>
      <c r="J6" s="782">
        <f ca="1">ROUND(M6*M8*M7*(1-M9)/10000,0)</f>
        <v>0</v>
      </c>
      <c r="K6" s="340" t="s">
        <v>1737</v>
      </c>
      <c r="L6" s="783" t="s">
        <v>637</v>
      </c>
      <c r="M6" s="784">
        <f ca="1">INDIRECT("'数据-取费表'!z"&amp;$G$1)</f>
        <v>0</v>
      </c>
    </row>
    <row r="7" spans="1:33" ht="18" customHeight="1">
      <c r="A7" s="2460"/>
      <c r="B7" s="3862"/>
      <c r="C7" s="787"/>
      <c r="D7" s="788"/>
      <c r="E7" s="783" t="s">
        <v>638</v>
      </c>
      <c r="F7" s="784">
        <f ca="1">IF(INDIRECT("'数据-取费表'!ah"&amp;$G$1)="",INDIRECT("'数据-取费表'!k"&amp;$G$1),INDIRECT("'数据-取费表'!ah"&amp;$G$1))</f>
        <v>1510</v>
      </c>
      <c r="G7" s="1576"/>
      <c r="H7" s="2449"/>
      <c r="I7" s="3862"/>
      <c r="J7" s="787"/>
      <c r="K7" s="788"/>
      <c r="L7" s="783" t="s">
        <v>638</v>
      </c>
      <c r="M7" s="784">
        <f ca="1">F7</f>
        <v>1510</v>
      </c>
    </row>
    <row r="8" spans="1:33" ht="18" customHeight="1">
      <c r="A8" s="2453"/>
      <c r="B8" s="3863"/>
      <c r="C8" s="787"/>
      <c r="D8" s="788"/>
      <c r="E8" s="783" t="s">
        <v>639</v>
      </c>
      <c r="F8" s="784">
        <f ca="1">INDIRECT("'数据-取费表'!ai"&amp;$G$1)</f>
        <v>12</v>
      </c>
      <c r="G8" s="1576"/>
      <c r="H8" s="2449"/>
      <c r="I8" s="3863"/>
      <c r="J8" s="787"/>
      <c r="K8" s="788"/>
      <c r="L8" s="783" t="s">
        <v>639</v>
      </c>
      <c r="M8" s="784">
        <f ca="1">INDIRECT("'数据-取费表'!ai"&amp;$G$1)</f>
        <v>12</v>
      </c>
    </row>
    <row r="9" spans="1:33" ht="18" customHeight="1">
      <c r="A9" s="785"/>
      <c r="B9" s="3864"/>
      <c r="C9" s="787"/>
      <c r="D9" s="788"/>
      <c r="E9" s="783" t="s">
        <v>1741</v>
      </c>
      <c r="F9" s="793">
        <f ca="1">INDIRECT("'数据-取费表'!w"&amp;$G$1)</f>
        <v>0.1</v>
      </c>
      <c r="G9" s="1576"/>
      <c r="H9" s="2465"/>
      <c r="I9" s="3863"/>
      <c r="J9" s="787"/>
      <c r="K9" s="788"/>
      <c r="L9" s="794" t="s">
        <v>1741</v>
      </c>
      <c r="M9" s="795">
        <f ca="1">INDIRECT("'数据-取费表'!ab"&amp;$G$1)</f>
        <v>0</v>
      </c>
    </row>
    <row r="10" spans="1:33" ht="18" customHeight="1">
      <c r="A10" s="1813" t="s">
        <v>1825</v>
      </c>
      <c r="B10" s="2454" t="s">
        <v>2456</v>
      </c>
      <c r="C10" s="798">
        <f ca="1">ROUND(IF(F10="押一",C6/12*F11,IF(F10="押二",C6/12*2*F11,IF(F10="押三",C6/12*3*F11,C11*F11))),0)</f>
        <v>0</v>
      </c>
      <c r="D10" s="2461" t="s">
        <v>2968</v>
      </c>
      <c r="E10" s="2458" t="s">
        <v>2461</v>
      </c>
      <c r="F10" s="2581" t="s">
        <v>3341</v>
      </c>
      <c r="G10" s="1576"/>
      <c r="H10" s="2521" t="s">
        <v>1825</v>
      </c>
      <c r="I10" s="2526" t="s">
        <v>2456</v>
      </c>
      <c r="J10" s="782">
        <f ca="1">ROUND(IF(M10="押一",J6/12*M11,IF(M10="押二",J6/12*2*M11,IF(M10="押三",J6/12*3*M11,J11*M11))),0)</f>
        <v>0</v>
      </c>
      <c r="K10" s="2461" t="s">
        <v>2968</v>
      </c>
      <c r="L10" s="2458" t="s">
        <v>2461</v>
      </c>
      <c r="M10" s="2581"/>
    </row>
    <row r="11" spans="1:33" ht="18" customHeight="1">
      <c r="A11" s="789"/>
      <c r="B11" s="2455" t="s">
        <v>2570</v>
      </c>
      <c r="C11" s="2459"/>
      <c r="D11" s="788"/>
      <c r="E11" s="2458" t="s">
        <v>2453</v>
      </c>
      <c r="F11" s="795">
        <f ca="1">'数据-取费表'!B39</f>
        <v>1.4999999999999999E-2</v>
      </c>
      <c r="G11" s="1576"/>
      <c r="H11" s="2522"/>
      <c r="I11" s="2455" t="s">
        <v>2570</v>
      </c>
      <c r="J11" s="2459"/>
      <c r="K11" s="2523"/>
      <c r="L11" s="2458" t="s">
        <v>2453</v>
      </c>
      <c r="M11" s="2452">
        <f ca="1">'数据-取费表'!B39</f>
        <v>1.4999999999999999E-2</v>
      </c>
    </row>
    <row r="12" spans="1:33" ht="18" customHeight="1" thickBot="1">
      <c r="A12" s="2497" t="s">
        <v>2464</v>
      </c>
      <c r="B12" s="2498" t="s">
        <v>2457</v>
      </c>
      <c r="C12" s="2499"/>
      <c r="D12" s="2500"/>
      <c r="E12" s="2501"/>
      <c r="F12" s="2502"/>
      <c r="G12" s="1576"/>
      <c r="H12" s="2511" t="s">
        <v>2464</v>
      </c>
      <c r="I12" s="2524" t="s">
        <v>2457</v>
      </c>
      <c r="J12" s="2525"/>
      <c r="K12" s="2500"/>
      <c r="L12" s="2501"/>
      <c r="M12" s="2514"/>
    </row>
    <row r="13" spans="1:33" ht="18" customHeight="1" thickTop="1">
      <c r="A13" s="1812">
        <v>2</v>
      </c>
      <c r="B13" s="1810" t="s">
        <v>644</v>
      </c>
      <c r="C13" s="791">
        <f ca="1">ROUND(C29*F13,0)</f>
        <v>13918</v>
      </c>
      <c r="D13" s="1817" t="s">
        <v>2294</v>
      </c>
      <c r="E13" s="1817" t="s">
        <v>643</v>
      </c>
      <c r="F13" s="2496">
        <f ca="1">INDIRECT("'数据-取费表'!y"&amp;$G$1)</f>
        <v>1</v>
      </c>
      <c r="G13" s="1576"/>
      <c r="H13" s="1812">
        <v>2</v>
      </c>
      <c r="I13" s="1810" t="s">
        <v>644</v>
      </c>
      <c r="J13" s="1802">
        <f ca="1">ROUND(J14*J15,0)</f>
        <v>0</v>
      </c>
      <c r="K13" s="1804" t="s">
        <v>1743</v>
      </c>
      <c r="L13" s="2512"/>
      <c r="M13" s="2513"/>
    </row>
    <row r="14" spans="1:33" ht="18" customHeight="1">
      <c r="A14" s="1631" t="s">
        <v>1831</v>
      </c>
      <c r="B14" s="783" t="s">
        <v>645</v>
      </c>
      <c r="C14" s="803">
        <f ca="1">INDIRECT("'数据-取费表'!m"&amp;$G$1)+INDIRECT("'数据-取费表'!t"&amp;$G$1)</f>
        <v>10041</v>
      </c>
      <c r="D14" s="3181" t="s">
        <v>1745</v>
      </c>
      <c r="E14" s="3182"/>
      <c r="F14" s="804"/>
      <c r="G14" s="1576"/>
      <c r="H14" s="1632" t="s">
        <v>1824</v>
      </c>
      <c r="I14" s="2214" t="s">
        <v>2821</v>
      </c>
      <c r="J14" s="53">
        <f ca="1">C29</f>
        <v>13918</v>
      </c>
      <c r="K14" s="26"/>
      <c r="L14" s="800"/>
      <c r="M14" s="801"/>
    </row>
    <row r="15" spans="1:33" s="2047" customFormat="1" ht="18" customHeight="1" thickBot="1">
      <c r="A15" s="1631" t="s">
        <v>1832</v>
      </c>
      <c r="B15" s="783" t="s">
        <v>647</v>
      </c>
      <c r="C15" s="53">
        <f ca="1">ROUND(C14*F15,0)</f>
        <v>301</v>
      </c>
      <c r="D15" s="805" t="s">
        <v>648</v>
      </c>
      <c r="E15" s="805" t="s">
        <v>1747</v>
      </c>
      <c r="F15" s="806">
        <f>'数据-取费表'!B33</f>
        <v>0.03</v>
      </c>
      <c r="G15" s="1577"/>
      <c r="H15" s="2511" t="s">
        <v>1889</v>
      </c>
      <c r="I15" s="2506" t="s">
        <v>643</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1833</v>
      </c>
      <c r="B16" s="783" t="s">
        <v>650</v>
      </c>
      <c r="C16" s="53">
        <f ca="1">ROUND(INDIRECT("'数据-取费表'!m"&amp;$G$1)*F16,0)</f>
        <v>0</v>
      </c>
      <c r="D16" s="783" t="s">
        <v>648</v>
      </c>
      <c r="E16" s="783" t="s">
        <v>1747</v>
      </c>
      <c r="F16" s="808">
        <f ca="1">IF(INDIRECT("'数据-取费表'!c"&amp;$G$1)="住宅",'数据-取费表'!B34,0)</f>
        <v>0</v>
      </c>
      <c r="G16" s="1576"/>
      <c r="H16" s="1812" t="s">
        <v>1748</v>
      </c>
      <c r="I16" s="1810" t="s">
        <v>1749</v>
      </c>
      <c r="J16" s="791">
        <f ca="1">ROUND(J17+J22+J23+J24,0)</f>
        <v>1386</v>
      </c>
      <c r="K16" s="1804" t="s">
        <v>652</v>
      </c>
      <c r="L16" s="3183"/>
      <c r="M16" s="2451"/>
    </row>
    <row r="17" spans="1:33" s="2047" customFormat="1" ht="18" customHeight="1">
      <c r="A17" s="1631" t="s">
        <v>1887</v>
      </c>
      <c r="B17" s="783" t="s">
        <v>653</v>
      </c>
      <c r="C17" s="53">
        <f ca="1">ROUND(F17*(F43+INDIRECT("'数据-取费表'!S"&amp;$G$1))/10000,0)</f>
        <v>1004</v>
      </c>
      <c r="D17" s="783" t="s">
        <v>654</v>
      </c>
      <c r="E17" s="783" t="s">
        <v>655</v>
      </c>
      <c r="F17" s="56">
        <f>'数据-取费表'!B35</f>
        <v>200</v>
      </c>
      <c r="G17" s="1577"/>
      <c r="H17" s="1632" t="s">
        <v>1824</v>
      </c>
      <c r="I17" s="783" t="s">
        <v>656</v>
      </c>
      <c r="J17" s="53">
        <f ca="1">ROUND(IF(项目基本情况!B11="自然人",J6*M17/(1+'数据-取费表'!C42),J18+J19+J20),0)</f>
        <v>1177</v>
      </c>
      <c r="K17" s="3181" t="s">
        <v>657</v>
      </c>
      <c r="L17" s="3180" t="s">
        <v>1754</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151</v>
      </c>
      <c r="D18" s="783" t="s">
        <v>648</v>
      </c>
      <c r="E18" s="783" t="s">
        <v>1747</v>
      </c>
      <c r="F18" s="808">
        <f>'数据-取费表'!B36</f>
        <v>1.4999999999999999E-2</v>
      </c>
      <c r="G18" s="1577"/>
      <c r="H18" s="1631" t="s">
        <v>1831</v>
      </c>
      <c r="I18" s="783" t="s">
        <v>660</v>
      </c>
      <c r="J18" s="53">
        <f ca="1">ROUND(J6*M18/(1+'数据-取费表'!C42),1)</f>
        <v>0</v>
      </c>
      <c r="K18" s="3180" t="s">
        <v>661</v>
      </c>
      <c r="L18" s="783" t="s">
        <v>1747</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1824</v>
      </c>
      <c r="B19" s="783" t="s">
        <v>662</v>
      </c>
      <c r="C19" s="53">
        <f ca="1">SUM(C14:C18)</f>
        <v>11497</v>
      </c>
      <c r="D19" s="260" t="s">
        <v>663</v>
      </c>
      <c r="E19" s="3185"/>
      <c r="F19" s="56"/>
      <c r="G19" s="1576"/>
      <c r="H19" s="1631" t="s">
        <v>1832</v>
      </c>
      <c r="I19" s="783" t="s">
        <v>664</v>
      </c>
      <c r="J19" s="53">
        <f ca="1">IF(K19="按租金收入计税",ROUND(J6*M19/(1+'数据-取费表'!C42),1),ROUND(C29*F33*0.7,1))</f>
        <v>1169.0999999999999</v>
      </c>
      <c r="K19" s="810" t="s">
        <v>665</v>
      </c>
      <c r="L19" s="783" t="s">
        <v>1747</v>
      </c>
      <c r="M19" s="808">
        <f>IF(K19="按租金收入计税",'数据-取费表'!B51,'数据-取费表'!B50)</f>
        <v>1.2E-2</v>
      </c>
    </row>
    <row r="20" spans="1:33" s="2047" customFormat="1" ht="18" customHeight="1">
      <c r="A20" s="1632" t="s">
        <v>1889</v>
      </c>
      <c r="B20" s="783" t="s">
        <v>666</v>
      </c>
      <c r="C20" s="53">
        <f ca="1">ROUND(C19*F20,0)</f>
        <v>230</v>
      </c>
      <c r="D20" s="811" t="s">
        <v>667</v>
      </c>
      <c r="E20" s="783" t="s">
        <v>1747</v>
      </c>
      <c r="F20" s="808">
        <f>'数据-取费表'!B37</f>
        <v>0.02</v>
      </c>
      <c r="G20" s="1577"/>
      <c r="H20" s="1634" t="s">
        <v>1833</v>
      </c>
      <c r="I20" s="340" t="s">
        <v>668</v>
      </c>
      <c r="J20" s="54">
        <f ca="1">ROUND(M20*M21/10000,0)</f>
        <v>8</v>
      </c>
      <c r="K20" s="813" t="s">
        <v>1761</v>
      </c>
      <c r="L20" s="783" t="s">
        <v>1762</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6"/>
      <c r="I21" s="792"/>
      <c r="J21" s="69"/>
      <c r="K21" s="815"/>
      <c r="L21" s="783" t="s">
        <v>1766</v>
      </c>
      <c r="M21" s="784">
        <f ca="1">INDIRECT("'数据-取费表'!r"&amp;$G$1)</f>
        <v>12624.52</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675</v>
      </c>
      <c r="C22" s="53"/>
      <c r="D22" s="2532" t="str">
        <f>IF(F23&lt;=1,"单利计息。","复利计息。")&amp;"建造成本、管理费用、销售费用产生的利息。"</f>
        <v>复利计息。建造成本、管理费用、销售费用产生的利息。</v>
      </c>
      <c r="E22" s="3185"/>
      <c r="F22" s="56"/>
      <c r="G22" s="1576"/>
      <c r="H22" s="1632" t="s">
        <v>1889</v>
      </c>
      <c r="I22" s="783" t="s">
        <v>1768</v>
      </c>
      <c r="J22" s="53">
        <f ca="1">ROUND(J14*M22,0)</f>
        <v>209</v>
      </c>
      <c r="K22" s="3180" t="s">
        <v>677</v>
      </c>
      <c r="L22" s="783" t="s">
        <v>1747</v>
      </c>
      <c r="M22" s="816">
        <f ca="1">INDIRECT("'数据-取费表'!Ak"&amp;$G$1)</f>
        <v>1.4999999999999999E-2</v>
      </c>
    </row>
    <row r="23" spans="1:33" s="2047" customFormat="1" ht="18" customHeight="1">
      <c r="A23" s="1631" t="s">
        <v>1831</v>
      </c>
      <c r="B23" s="783" t="s">
        <v>2434</v>
      </c>
      <c r="C23" s="53">
        <f ca="1">ROUND(IF('数据-取费表'!B22&lt;=1,(C19+C20)*F24*F23/2,(C19+C20)*(POWER((1+F24),F23/2)-1)),0)</f>
        <v>557</v>
      </c>
      <c r="D23" s="2531" t="str">
        <f>IF(F23&lt;=1,"(建造成本+管理费用)×利率×(建设周期÷2)","(建造成本+管理费用)×((1+利率)^(建设周期÷2)-1)")</f>
        <v>(建造成本+管理费用)×((1+利率)^(建设周期÷2)-1)</v>
      </c>
      <c r="E23" s="783" t="s">
        <v>678</v>
      </c>
      <c r="F23" s="639">
        <f>'数据-取费表'!B20</f>
        <v>2</v>
      </c>
      <c r="G23" s="1577"/>
      <c r="H23" s="1632" t="s">
        <v>1890</v>
      </c>
      <c r="I23" s="783" t="s">
        <v>679</v>
      </c>
      <c r="J23" s="53">
        <f ca="1">ROUND(J13*M23,0)</f>
        <v>0</v>
      </c>
      <c r="K23" s="3180" t="s">
        <v>680</v>
      </c>
      <c r="L23" s="783" t="s">
        <v>1747</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681</v>
      </c>
      <c r="C24" s="53">
        <f ca="1">ROUND(IF('数据-取费表'!B22&lt;=1,F21*F24*F23/2,F21*(POWER((1+F24),F23/2)-1)),4)</f>
        <v>1E-3</v>
      </c>
      <c r="D24" s="2531" t="str">
        <f>IF(F23&lt;=1,"销售费用×利率×(建设周期÷2)","销售费用×((1+利率)^(建设周期÷2)-1)")</f>
        <v>销售费用×((1+利率)^(建设周期÷2)-1)</v>
      </c>
      <c r="E24" s="783" t="s">
        <v>682</v>
      </c>
      <c r="F24" s="818">
        <f ca="1">'数据-取费表'!B40</f>
        <v>4.7500000000000001E-2</v>
      </c>
      <c r="G24" s="1577"/>
      <c r="H24" s="2511" t="s">
        <v>1891</v>
      </c>
      <c r="I24" s="2506" t="s">
        <v>666</v>
      </c>
      <c r="J24" s="2504">
        <f ca="1">ROUND(J5*M24,0)</f>
        <v>0</v>
      </c>
      <c r="K24" s="2505" t="s">
        <v>683</v>
      </c>
      <c r="L24" s="2506" t="s">
        <v>1747</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685</v>
      </c>
      <c r="E25" s="3185"/>
      <c r="F25" s="56"/>
      <c r="G25" s="1576"/>
      <c r="H25" s="1812" t="s">
        <v>1776</v>
      </c>
      <c r="I25" s="2958" t="s">
        <v>2818</v>
      </c>
      <c r="J25" s="791">
        <f ca="1">J5-J16</f>
        <v>-1386</v>
      </c>
      <c r="K25" s="2508" t="s">
        <v>700</v>
      </c>
      <c r="L25" s="2509"/>
      <c r="M25" s="2510"/>
    </row>
    <row r="26" spans="1:33" ht="18" customHeight="1">
      <c r="A26" s="1631" t="s">
        <v>1831</v>
      </c>
      <c r="B26" s="783" t="s">
        <v>2435</v>
      </c>
      <c r="C26" s="53">
        <f ca="1">ROUND((C19+C20)*F26,0)</f>
        <v>586</v>
      </c>
      <c r="D26" s="811" t="s">
        <v>701</v>
      </c>
      <c r="E26" s="794" t="s">
        <v>702</v>
      </c>
      <c r="F26" s="793">
        <f ca="1">INDIRECT("'数据-取费表'!q"&amp;$G$1)</f>
        <v>0.05</v>
      </c>
      <c r="G26" s="1576"/>
      <c r="H26" s="2462" t="s">
        <v>1780</v>
      </c>
      <c r="I26" s="2215" t="s">
        <v>2823</v>
      </c>
      <c r="J26" s="782">
        <f ca="1">IF(J5&lt;&gt;0,ROUND(J25*(1-((1+M28)/(1+M26))^M27)/(M26-M28),0),0)</f>
        <v>0</v>
      </c>
      <c r="K26" s="813" t="s">
        <v>704</v>
      </c>
      <c r="L26" s="783" t="s">
        <v>2416</v>
      </c>
      <c r="M26" s="793">
        <f ca="1">INDIRECT("'数据-取费表'!I"&amp;$G$1)</f>
        <v>0.05</v>
      </c>
    </row>
    <row r="27" spans="1:33" ht="18" customHeight="1">
      <c r="A27" s="1631" t="s">
        <v>1832</v>
      </c>
      <c r="B27" s="783" t="s">
        <v>686</v>
      </c>
      <c r="C27" s="53">
        <f ca="1">ROUND(F21*F26,4)</f>
        <v>1E-3</v>
      </c>
      <c r="D27" s="811" t="s">
        <v>706</v>
      </c>
      <c r="E27" s="805"/>
      <c r="F27" s="806"/>
      <c r="G27" s="1576"/>
      <c r="H27" s="2463"/>
      <c r="I27" s="786"/>
      <c r="J27" s="787"/>
      <c r="K27" s="820" t="s">
        <v>707</v>
      </c>
      <c r="L27" s="783" t="s">
        <v>708</v>
      </c>
      <c r="M27" s="821">
        <f ca="1">INDIRECT("'数据-取费表'!ag"&amp;$G$1)</f>
        <v>0</v>
      </c>
    </row>
    <row r="28" spans="1:33" s="2047" customFormat="1" ht="18" customHeight="1">
      <c r="A28" s="1633" t="s">
        <v>1841</v>
      </c>
      <c r="B28" s="783" t="s">
        <v>687</v>
      </c>
      <c r="C28" s="53">
        <f>ROUND(F28/(1+'数据-取费表'!C42),4)</f>
        <v>5.33E-2</v>
      </c>
      <c r="D28" s="811" t="s">
        <v>2296</v>
      </c>
      <c r="E28" s="783" t="s">
        <v>1747</v>
      </c>
      <c r="F28" s="808">
        <f>'数据-取费表'!B41</f>
        <v>5.6000000000000001E-2</v>
      </c>
      <c r="G28" s="1577"/>
      <c r="H28" s="1812"/>
      <c r="I28" s="790"/>
      <c r="J28" s="791"/>
      <c r="K28" s="815"/>
      <c r="L28" s="783" t="s">
        <v>710</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1892</v>
      </c>
      <c r="B29" s="2501" t="s">
        <v>2297</v>
      </c>
      <c r="C29" s="2504">
        <f ca="1">ROUND((C19+C20+C23+C26)/(1-F21-C24-C27-C28),0)</f>
        <v>13918</v>
      </c>
      <c r="D29" s="2505"/>
      <c r="E29" s="2506"/>
      <c r="F29" s="2507"/>
      <c r="G29" s="1577"/>
      <c r="H29" s="822" t="s">
        <v>1787</v>
      </c>
      <c r="I29" s="823" t="s">
        <v>1788</v>
      </c>
      <c r="J29" s="824">
        <f ca="1">ROUND(J26/(1+F40)^F41,0)</f>
        <v>0</v>
      </c>
      <c r="K29" s="825" t="s">
        <v>688</v>
      </c>
      <c r="L29" s="826"/>
      <c r="M29" s="827">
        <f ca="1">INDIRECT("'数据-取费表'!k"&amp;$G$1)</f>
        <v>49442.47</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1748</v>
      </c>
      <c r="B30" s="1810" t="s">
        <v>1749</v>
      </c>
      <c r="C30" s="791">
        <f ca="1">ROUND(C31+C36+C37+C38,0)</f>
        <v>353</v>
      </c>
      <c r="D30" s="1804" t="s">
        <v>652</v>
      </c>
      <c r="E30" s="3183"/>
      <c r="F30" s="2451"/>
      <c r="G30" s="2045"/>
      <c r="H30" s="2048"/>
      <c r="I30" s="2049"/>
      <c r="J30" s="2050"/>
      <c r="K30" s="2051"/>
      <c r="L30" s="2052"/>
      <c r="M30" s="2053"/>
    </row>
    <row r="31" spans="1:33" ht="18" customHeight="1">
      <c r="A31" s="1632" t="s">
        <v>1824</v>
      </c>
      <c r="B31" s="783" t="s">
        <v>656</v>
      </c>
      <c r="C31" s="53">
        <f ca="1">ROUND(IF(项目基本情况!B11="自然人",C6*F31/(1+'数据-取费表'!C42),C32+C33+C34),1)</f>
        <v>116.9</v>
      </c>
      <c r="D31" s="3181" t="s">
        <v>657</v>
      </c>
      <c r="E31" s="3180" t="s">
        <v>690</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660</v>
      </c>
      <c r="C32" s="53">
        <f ca="1">ROUND(C6*F32/(1+'数据-取费表'!C42),1)</f>
        <v>34.799999999999997</v>
      </c>
      <c r="D32" s="3180" t="s">
        <v>661</v>
      </c>
      <c r="E32" s="783" t="s">
        <v>1747</v>
      </c>
      <c r="F32" s="808">
        <f>'数据-取费表'!B41</f>
        <v>5.6000000000000001E-2</v>
      </c>
      <c r="G32" s="2045"/>
      <c r="H32" s="2054"/>
      <c r="I32" s="2055"/>
      <c r="J32" s="2056"/>
      <c r="K32" s="2057"/>
      <c r="L32" s="2058"/>
      <c r="M32" s="2059"/>
    </row>
    <row r="33" spans="1:18" ht="18" customHeight="1">
      <c r="A33" s="1631" t="s">
        <v>1832</v>
      </c>
      <c r="B33" s="783" t="s">
        <v>664</v>
      </c>
      <c r="C33" s="53">
        <f ca="1">IF(D33="按租金收入计税",ROUND(C6*F33/(1+'数据-取费表'!C42),1),IF(D33="按房产原值计税",ROUND(C29*F33*0.7,1),INDIRECT("'数据-取费表'!Aj"&amp;$G$1)))</f>
        <v>74.5</v>
      </c>
      <c r="D33" s="810" t="s">
        <v>3311</v>
      </c>
      <c r="E33" s="783" t="s">
        <v>1747</v>
      </c>
      <c r="F33" s="808">
        <f>IF(D33="按租金收入计税",'数据-取费表'!B51,'数据-取费表'!B50)</f>
        <v>0.12</v>
      </c>
      <c r="G33" s="2045"/>
      <c r="H33" s="2060"/>
      <c r="I33" s="2060"/>
      <c r="J33" s="2060"/>
      <c r="K33" s="2061"/>
      <c r="L33" s="2060"/>
      <c r="M33" s="2060"/>
    </row>
    <row r="34" spans="1:18" ht="18" customHeight="1">
      <c r="A34" s="1634" t="s">
        <v>1833</v>
      </c>
      <c r="B34" s="340" t="s">
        <v>668</v>
      </c>
      <c r="C34" s="54">
        <f ca="1">ROUND(F34*F35/10000,1)</f>
        <v>7.6</v>
      </c>
      <c r="D34" s="813" t="s">
        <v>1761</v>
      </c>
      <c r="E34" s="783" t="s">
        <v>1762</v>
      </c>
      <c r="F34" s="639">
        <f>'数据-取费表'!B52</f>
        <v>6</v>
      </c>
      <c r="G34" s="2045"/>
      <c r="H34" s="2048"/>
      <c r="I34" s="834" t="s">
        <v>1813</v>
      </c>
      <c r="J34" s="835"/>
      <c r="K34" s="2063"/>
      <c r="L34" s="2062"/>
      <c r="M34" s="2062"/>
    </row>
    <row r="35" spans="1:18" ht="18" customHeight="1">
      <c r="A35" s="814"/>
      <c r="B35" s="792"/>
      <c r="C35" s="69"/>
      <c r="D35" s="815"/>
      <c r="E35" s="783" t="s">
        <v>1766</v>
      </c>
      <c r="F35" s="784">
        <f ca="1">INDIRECT("'数据-取费表'!r"&amp;$G$1)</f>
        <v>12624.52</v>
      </c>
      <c r="G35" s="2045"/>
      <c r="H35" s="2048"/>
      <c r="I35" s="836" t="s">
        <v>1814</v>
      </c>
      <c r="J35" s="837">
        <f ca="1">ROUND(C13*J36,0)</f>
        <v>1183</v>
      </c>
      <c r="K35" s="2061"/>
      <c r="L35" s="2060"/>
      <c r="M35" s="2060"/>
    </row>
    <row r="36" spans="1:18" ht="18" customHeight="1">
      <c r="A36" s="1632" t="s">
        <v>1889</v>
      </c>
      <c r="B36" s="783" t="s">
        <v>1768</v>
      </c>
      <c r="C36" s="53">
        <f ca="1">ROUND(C29*F36,1)</f>
        <v>208.8</v>
      </c>
      <c r="D36" s="3180" t="s">
        <v>691</v>
      </c>
      <c r="E36" s="783" t="s">
        <v>1747</v>
      </c>
      <c r="F36" s="816">
        <f ca="1">INDIRECT("'数据-取费表'!Ak"&amp;$G$1)</f>
        <v>1.4999999999999999E-2</v>
      </c>
      <c r="G36" s="2045"/>
      <c r="H36" s="2060"/>
      <c r="I36" s="838" t="s">
        <v>1815</v>
      </c>
      <c r="J36" s="839">
        <f ca="1">INDIRECT("'数据-取费表'!j"&amp;$G$1)</f>
        <v>8.5000000000000006E-2</v>
      </c>
      <c r="K36" s="2065"/>
      <c r="L36" s="2060"/>
      <c r="M36" s="2060"/>
    </row>
    <row r="37" spans="1:18" ht="18" customHeight="1">
      <c r="A37" s="1632" t="s">
        <v>1890</v>
      </c>
      <c r="B37" s="783" t="s">
        <v>679</v>
      </c>
      <c r="C37" s="53">
        <f ca="1">ROUND(C13*F37,1)</f>
        <v>20.9</v>
      </c>
      <c r="D37" s="3180" t="s">
        <v>680</v>
      </c>
      <c r="E37" s="783" t="s">
        <v>1747</v>
      </c>
      <c r="F37" s="817">
        <f ca="1">INDIRECT("'数据-取费表'!Al"&amp;$G$1)</f>
        <v>1.5E-3</v>
      </c>
      <c r="G37" s="2045"/>
      <c r="H37" s="2060"/>
      <c r="I37" s="840" t="s">
        <v>1816</v>
      </c>
      <c r="J37" s="841"/>
      <c r="K37" s="2065"/>
      <c r="L37" s="2060"/>
      <c r="M37" s="2060"/>
    </row>
    <row r="38" spans="1:18" ht="18" customHeight="1" thickBot="1">
      <c r="A38" s="2511" t="s">
        <v>1891</v>
      </c>
      <c r="B38" s="2506" t="s">
        <v>666</v>
      </c>
      <c r="C38" s="2504">
        <f ca="1">ROUND(C5*F38,1)</f>
        <v>6.5</v>
      </c>
      <c r="D38" s="2505" t="s">
        <v>683</v>
      </c>
      <c r="E38" s="2506" t="s">
        <v>1747</v>
      </c>
      <c r="F38" s="2502">
        <f ca="1">INDIRECT("'数据-取费表'!Am"&amp;$G$1)</f>
        <v>0.01</v>
      </c>
      <c r="G38" s="2045"/>
      <c r="H38" s="2060"/>
      <c r="I38" s="842" t="s">
        <v>1817</v>
      </c>
      <c r="J38" s="843"/>
      <c r="K38" s="2066"/>
      <c r="L38" s="2060"/>
      <c r="M38" s="2060"/>
    </row>
    <row r="39" spans="1:18" ht="24.6" customHeight="1" thickTop="1">
      <c r="A39" s="1812" t="s">
        <v>1776</v>
      </c>
      <c r="B39" s="2958" t="s">
        <v>2818</v>
      </c>
      <c r="C39" s="791">
        <f ca="1">C5-C30</f>
        <v>299</v>
      </c>
      <c r="D39" s="2508" t="s">
        <v>700</v>
      </c>
      <c r="E39" s="2509"/>
      <c r="F39" s="2510"/>
      <c r="G39" s="2045"/>
      <c r="H39" s="2060"/>
      <c r="I39" s="836" t="s">
        <v>1818</v>
      </c>
      <c r="J39" s="844">
        <f ca="1">ROUND(J35/C39,3)</f>
        <v>3.9569999999999999</v>
      </c>
      <c r="K39" s="2066"/>
      <c r="L39" s="2060"/>
      <c r="M39" s="2060"/>
    </row>
    <row r="40" spans="1:18" ht="18" customHeight="1">
      <c r="A40" s="780" t="s">
        <v>1780</v>
      </c>
      <c r="B40" s="2215" t="s">
        <v>2298</v>
      </c>
      <c r="C40" s="782">
        <f ca="1">ROUND(C39*(1-((1+F42)/(1+F40))^F41)/(F40-F42),0)</f>
        <v>7427</v>
      </c>
      <c r="D40" s="813" t="s">
        <v>704</v>
      </c>
      <c r="E40" s="783" t="s">
        <v>2416</v>
      </c>
      <c r="F40" s="793">
        <f ca="1">INDIRECT("'数据-取费表'!I"&amp;$G$1)</f>
        <v>0.05</v>
      </c>
      <c r="G40" s="2045"/>
      <c r="H40" s="2045"/>
      <c r="I40" s="836" t="s">
        <v>1819</v>
      </c>
      <c r="J40" s="844">
        <f ca="1">1-J39</f>
        <v>-2.9569999999999999</v>
      </c>
      <c r="K40" s="2066"/>
      <c r="L40" s="2045"/>
      <c r="M40" s="2045"/>
    </row>
    <row r="41" spans="1:18" ht="18" customHeight="1">
      <c r="A41" s="785"/>
      <c r="B41" s="786"/>
      <c r="C41" s="787"/>
      <c r="D41" s="820" t="s">
        <v>1808</v>
      </c>
      <c r="E41" s="783" t="s">
        <v>708</v>
      </c>
      <c r="F41" s="821">
        <f ca="1">IF(INDIRECT("'数据-取费表'!af"&amp;$G$1)=0,INDIRECT("'数据-取费表'!ae"&amp;$G$1),INDIRECT("'数据-取费表'!af"&amp;$G$1))</f>
        <v>47.16</v>
      </c>
      <c r="G41" s="2045"/>
      <c r="H41" s="1971"/>
      <c r="I41" s="842" t="s">
        <v>1820</v>
      </c>
      <c r="J41" s="845"/>
      <c r="K41" s="2065"/>
      <c r="L41" s="1971"/>
      <c r="M41" s="1971"/>
    </row>
    <row r="42" spans="1:18" ht="18" customHeight="1">
      <c r="A42" s="789"/>
      <c r="B42" s="790"/>
      <c r="C42" s="791"/>
      <c r="D42" s="815"/>
      <c r="E42" s="783" t="s">
        <v>710</v>
      </c>
      <c r="F42" s="793">
        <f ca="1">INDIRECT("'数据-取费表'!v"&amp;$G$1)</f>
        <v>0.02</v>
      </c>
      <c r="G42" s="2045"/>
      <c r="H42" s="1971"/>
      <c r="I42" s="846" t="s">
        <v>1821</v>
      </c>
      <c r="J42" s="844">
        <f ca="1">ROUND(C13/C40,3)</f>
        <v>1.8740000000000001</v>
      </c>
      <c r="K42" s="2065"/>
      <c r="L42" s="1971"/>
      <c r="M42" s="1971"/>
    </row>
    <row r="43" spans="1:18" ht="18" customHeight="1" thickBot="1">
      <c r="A43" s="822" t="s">
        <v>1787</v>
      </c>
      <c r="B43" s="823" t="s">
        <v>1810</v>
      </c>
      <c r="C43" s="824">
        <f ca="1">ROUND(C40*10000/F43,0)</f>
        <v>1502</v>
      </c>
      <c r="D43" s="825" t="s">
        <v>1811</v>
      </c>
      <c r="E43" s="826" t="s">
        <v>1812</v>
      </c>
      <c r="F43" s="827">
        <f ca="1">INDIRECT("'数据-取费表'!k"&amp;$G$1)</f>
        <v>49442.47</v>
      </c>
      <c r="G43" s="2045"/>
      <c r="H43" s="1971"/>
      <c r="I43" s="846" t="s">
        <v>1822</v>
      </c>
      <c r="J43" s="847">
        <f ca="1">1-J42</f>
        <v>-0.87400000000000011</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4">
        <f ca="1">C67-C40</f>
        <v>-11692</v>
      </c>
      <c r="D46" s="2068"/>
      <c r="E46" s="2068"/>
      <c r="F46" s="2068"/>
      <c r="I46" s="2338" t="s">
        <v>2340</v>
      </c>
      <c r="J46" s="2339"/>
      <c r="K46" s="2340"/>
      <c r="L46" s="3104">
        <f>IF(OR(M47="住宅",D1="土地（套用方法）"),0,IF(L48&gt;J51,L60,J60))</f>
        <v>0</v>
      </c>
      <c r="O46" s="2354" t="s">
        <v>2407</v>
      </c>
      <c r="P46" s="1576"/>
      <c r="Q46" s="1587"/>
      <c r="R46" s="1576"/>
    </row>
    <row r="47" spans="1:18" s="2042" customFormat="1" ht="18" customHeight="1" thickBot="1">
      <c r="A47" s="2332">
        <v>1</v>
      </c>
      <c r="B47" s="2333" t="s">
        <v>635</v>
      </c>
      <c r="C47" s="2534">
        <f ca="1">C48+C52+C54</f>
        <v>0</v>
      </c>
      <c r="D47" s="2068"/>
      <c r="E47" s="2068"/>
      <c r="F47" s="2068"/>
      <c r="I47" s="3095" t="s">
        <v>2341</v>
      </c>
      <c r="J47" s="2341" t="s">
        <v>3312</v>
      </c>
      <c r="K47" s="3101" t="s">
        <v>2346</v>
      </c>
      <c r="L47" s="3105">
        <f ca="1">INDIRECT("'数据-取费表'!d"&amp;$G$1)</f>
        <v>50</v>
      </c>
      <c r="M47" s="1587" t="str">
        <f>IF(ISNUMBER(FIND("住宅",C1)),"住宅","非住宅")</f>
        <v>非住宅</v>
      </c>
      <c r="O47" s="2355" t="s">
        <v>2372</v>
      </c>
      <c r="P47" s="2356" t="s">
        <v>2373</v>
      </c>
      <c r="Q47" s="2357" t="s">
        <v>2374</v>
      </c>
      <c r="R47" s="2356" t="s">
        <v>2375</v>
      </c>
    </row>
    <row r="48" spans="1:18" s="2042" customFormat="1" ht="18" customHeight="1" thickBot="1">
      <c r="A48" s="2602" t="s">
        <v>1870</v>
      </c>
      <c r="B48" s="2603" t="s">
        <v>2535</v>
      </c>
      <c r="C48" s="2334">
        <f ca="1">ROUND(F48*F50*F49*(1-F51)/10000,0)</f>
        <v>0</v>
      </c>
      <c r="D48" s="2335" t="s">
        <v>636</v>
      </c>
      <c r="E48" s="2336" t="s">
        <v>2293</v>
      </c>
      <c r="F48" s="2337"/>
      <c r="G48" s="2073"/>
      <c r="I48" s="3074" t="s">
        <v>2342</v>
      </c>
      <c r="J48" s="2342" t="s">
        <v>2347</v>
      </c>
      <c r="K48" s="3102" t="s">
        <v>2348</v>
      </c>
      <c r="L48" s="1891">
        <f ca="1">INDIRECT("'数据-取费表'!f"&amp;$G$1)</f>
        <v>49.16</v>
      </c>
      <c r="O48" s="2358" t="s">
        <v>2376</v>
      </c>
      <c r="P48" s="2359" t="s">
        <v>2402</v>
      </c>
      <c r="Q48" s="2360">
        <f ca="1">C40+J29</f>
        <v>7427</v>
      </c>
      <c r="R48" s="2359" t="s">
        <v>2377</v>
      </c>
    </row>
    <row r="49" spans="1:18" s="2042" customFormat="1" ht="18" customHeight="1" thickBot="1">
      <c r="A49" s="785"/>
      <c r="B49" s="786"/>
      <c r="C49" s="787"/>
      <c r="D49" s="788"/>
      <c r="E49" s="783" t="s">
        <v>638</v>
      </c>
      <c r="F49" s="784">
        <f ca="1">F7</f>
        <v>1510</v>
      </c>
      <c r="G49" s="2073"/>
      <c r="H49" s="2076"/>
      <c r="I49" s="3074" t="s">
        <v>2343</v>
      </c>
      <c r="J49" s="2343"/>
      <c r="K49" s="3103" t="s">
        <v>2349</v>
      </c>
      <c r="L49" s="2344"/>
      <c r="O49" s="2358" t="s">
        <v>2378</v>
      </c>
      <c r="P49" s="2359" t="s">
        <v>2403</v>
      </c>
      <c r="Q49" s="2360" t="str">
        <f ca="1">J60</f>
        <v>0</v>
      </c>
      <c r="R49" s="2359" t="s">
        <v>2379</v>
      </c>
    </row>
    <row r="50" spans="1:18" s="2042" customFormat="1" ht="18" customHeight="1" thickBot="1">
      <c r="A50" s="785"/>
      <c r="B50" s="786"/>
      <c r="C50" s="787"/>
      <c r="D50" s="788"/>
      <c r="E50" s="783" t="s">
        <v>639</v>
      </c>
      <c r="F50" s="784">
        <f ca="1">F8</f>
        <v>12</v>
      </c>
      <c r="G50" s="2078"/>
      <c r="H50" s="2076"/>
      <c r="I50" s="3074" t="s">
        <v>2344</v>
      </c>
      <c r="J50" s="3099">
        <f>SUMPRODUCT((I63:I65=J47)*(J62:L62=J48)*(J63:L65))</f>
        <v>60</v>
      </c>
      <c r="K50" s="3103" t="s">
        <v>2350</v>
      </c>
      <c r="L50" s="2344"/>
      <c r="O50" s="2361" t="s">
        <v>2380</v>
      </c>
      <c r="P50" s="2359" t="s">
        <v>2404</v>
      </c>
      <c r="Q50" s="2360">
        <f ca="1">C29</f>
        <v>13918</v>
      </c>
      <c r="R50" s="2359" t="s">
        <v>2377</v>
      </c>
    </row>
    <row r="51" spans="1:18" s="2042" customFormat="1" ht="18" customHeight="1" thickBot="1">
      <c r="A51" s="785"/>
      <c r="B51" s="786"/>
      <c r="C51" s="787"/>
      <c r="D51" s="788"/>
      <c r="E51" s="783" t="s">
        <v>640</v>
      </c>
      <c r="F51" s="2331"/>
      <c r="H51" s="2076"/>
      <c r="I51" s="3096" t="s">
        <v>2345</v>
      </c>
      <c r="J51" s="3100">
        <f>IF(J49="",J50,J49+J50-YEAR('数据-取费表'!B2))</f>
        <v>60</v>
      </c>
      <c r="K51" s="3074" t="s">
        <v>2351</v>
      </c>
      <c r="L51" s="3106">
        <f ca="1">ROUND(-PV(INDIRECT("'数据-取费表'!h"&amp;$G$1),J51,(C39-C13*J36),0),0)</f>
        <v>-18245</v>
      </c>
      <c r="O51" s="2361" t="s">
        <v>2381</v>
      </c>
      <c r="P51" s="2359" t="s">
        <v>2382</v>
      </c>
      <c r="Q51" s="2362" t="e">
        <f ca="1">J58</f>
        <v>#VALUE!</v>
      </c>
      <c r="R51" s="2363"/>
    </row>
    <row r="52" spans="1:18" s="2042" customFormat="1" ht="18" customHeight="1" thickBot="1">
      <c r="A52" s="780" t="s">
        <v>2533</v>
      </c>
      <c r="B52" s="2454" t="s">
        <v>2456</v>
      </c>
      <c r="C52" s="798">
        <f ca="1">ROUND(IF(F52="押一",C48/12*F11,IF(F52="押二",C48/12*2*F11,IF(F52="押三",C48/12*3*F11,C53*F11))),0)</f>
        <v>0</v>
      </c>
      <c r="D52" s="2461" t="s">
        <v>2968</v>
      </c>
      <c r="E52" s="2458" t="s">
        <v>2461</v>
      </c>
      <c r="F52" s="2581"/>
      <c r="I52" s="3097" t="s">
        <v>2418</v>
      </c>
      <c r="J52" s="2345"/>
      <c r="K52" s="3097" t="s">
        <v>2417</v>
      </c>
      <c r="L52" s="2345"/>
      <c r="O52" s="2361" t="s">
        <v>2383</v>
      </c>
      <c r="P52" s="2359" t="s">
        <v>2384</v>
      </c>
      <c r="Q52" s="2362">
        <f>J52</f>
        <v>0</v>
      </c>
      <c r="R52" s="2363"/>
    </row>
    <row r="53" spans="1:18" s="2042" customFormat="1" ht="39.75" customHeight="1" thickBot="1">
      <c r="A53" s="785"/>
      <c r="B53" s="2455" t="s">
        <v>2570</v>
      </c>
      <c r="C53" s="2459"/>
      <c r="D53" s="2461"/>
      <c r="E53" s="2458"/>
      <c r="F53" s="799"/>
      <c r="I53" s="3098" t="s">
        <v>2972</v>
      </c>
      <c r="J53" s="3177">
        <f ca="1">IF(M47="住宅",IF(D1="——",MAX(J51,L48),MAX(J51,L48-'数据-取费表'!B20)),IF(D1="——",MIN(J51,L48),MIN(J51,L48-'数据-取费表'!B20)))</f>
        <v>47.16</v>
      </c>
      <c r="K53" s="3872" t="s">
        <v>2960</v>
      </c>
      <c r="L53" s="3873"/>
      <c r="O53" s="2361" t="s">
        <v>2385</v>
      </c>
      <c r="P53" s="2359" t="s">
        <v>2386</v>
      </c>
      <c r="Q53" s="2360">
        <f ca="1">J53</f>
        <v>47.16</v>
      </c>
      <c r="R53" s="2359" t="s">
        <v>2387</v>
      </c>
    </row>
    <row r="54" spans="1:18" s="2042" customFormat="1" ht="18" customHeight="1" thickBot="1">
      <c r="A54" s="2497" t="s">
        <v>2464</v>
      </c>
      <c r="B54" s="2498" t="s">
        <v>2457</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2388</v>
      </c>
      <c r="P54" s="2359" t="s">
        <v>2405</v>
      </c>
      <c r="Q54" s="2360">
        <f ca="1">Q48+Q49</f>
        <v>7427</v>
      </c>
      <c r="R54" s="2363" t="s">
        <v>2389</v>
      </c>
    </row>
    <row r="55" spans="1:18" s="2042" customFormat="1" ht="18" customHeight="1" thickTop="1" thickBot="1">
      <c r="A55" s="796">
        <v>2</v>
      </c>
      <c r="B55" s="797" t="s">
        <v>644</v>
      </c>
      <c r="C55" s="798">
        <f ca="1">C13</f>
        <v>13918</v>
      </c>
      <c r="D55" s="794"/>
      <c r="E55" s="794"/>
      <c r="F55" s="799"/>
      <c r="I55" s="3109" t="s">
        <v>2352</v>
      </c>
      <c r="J55" s="3049" t="e">
        <f ca="1">ROUND(IF(J47="钢混",J57/J50,1-(1-2%)*(J50-J57)/J50),3)</f>
        <v>#VALUE!</v>
      </c>
      <c r="K55" s="3110" t="s">
        <v>2353</v>
      </c>
      <c r="L55" s="2346"/>
      <c r="O55" s="2364" t="s">
        <v>2408</v>
      </c>
      <c r="P55" s="1576"/>
      <c r="Q55" s="1587"/>
      <c r="R55" s="1576"/>
    </row>
    <row r="56" spans="1:18" s="2042" customFormat="1" ht="42.75" customHeight="1" thickBot="1">
      <c r="A56" s="1633"/>
      <c r="B56" s="2214" t="s">
        <v>2297</v>
      </c>
      <c r="C56" s="53">
        <f ca="1">C29</f>
        <v>13918</v>
      </c>
      <c r="D56" s="3180"/>
      <c r="E56" s="783"/>
      <c r="F56" s="808"/>
      <c r="I56" s="3111" t="s">
        <v>2354</v>
      </c>
      <c r="J56" s="3121" t="s">
        <v>1678</v>
      </c>
      <c r="K56" s="3074" t="s">
        <v>2359</v>
      </c>
      <c r="L56" s="1891" t="str">
        <f ca="1">IF(L48&lt;J51,"——",L48-J51)</f>
        <v>——</v>
      </c>
      <c r="O56" s="2355" t="s">
        <v>2372</v>
      </c>
      <c r="P56" s="2356" t="s">
        <v>2373</v>
      </c>
      <c r="Q56" s="2357" t="s">
        <v>2374</v>
      </c>
      <c r="R56" s="2356" t="s">
        <v>2375</v>
      </c>
    </row>
    <row r="57" spans="1:18" s="2042" customFormat="1" ht="28.5" customHeight="1" thickBot="1">
      <c r="A57" s="796" t="s">
        <v>1748</v>
      </c>
      <c r="B57" s="797" t="s">
        <v>651</v>
      </c>
      <c r="C57" s="798">
        <f ca="1">ROUND(C58+C63+C64+C65,0)</f>
        <v>237</v>
      </c>
      <c r="D57" s="26" t="s">
        <v>652</v>
      </c>
      <c r="E57" s="3185"/>
      <c r="F57" s="56"/>
      <c r="I57" s="3112" t="s">
        <v>2355</v>
      </c>
      <c r="J57" s="3113" t="str">
        <f ca="1">IF(OR(M47="住宅",J51&lt;L48,J56="是"),"——",J51-L48)</f>
        <v>——</v>
      </c>
      <c r="K57" s="3074" t="s">
        <v>2360</v>
      </c>
      <c r="L57" s="1891" t="str">
        <f ca="1">IF(L48&lt;J51,"——",IF(L55="比较法",L49,IF(L55="基准地价",L50,L51)))</f>
        <v>——</v>
      </c>
      <c r="O57" s="2358" t="s">
        <v>2376</v>
      </c>
      <c r="P57" s="2359" t="s">
        <v>2402</v>
      </c>
      <c r="Q57" s="2360">
        <f ca="1">C40+J29</f>
        <v>7427</v>
      </c>
      <c r="R57" s="2359" t="s">
        <v>2377</v>
      </c>
    </row>
    <row r="58" spans="1:18" s="2042" customFormat="1" ht="28.5" customHeight="1" thickBot="1">
      <c r="A58" s="1632" t="s">
        <v>1824</v>
      </c>
      <c r="B58" s="783" t="s">
        <v>656</v>
      </c>
      <c r="C58" s="53">
        <f ca="1">ROUND(IF(项目基本情况!B11="自然人",C47*F58,C59+C60+C61),1)</f>
        <v>7.6</v>
      </c>
      <c r="D58" s="3181" t="s">
        <v>657</v>
      </c>
      <c r="E58" s="3180" t="s">
        <v>690</v>
      </c>
      <c r="F58" s="809" t="str">
        <f ca="1">IF(项目基本情况!B11="企业","",IF(INDIRECT("'数据-取费表'!c"&amp;$G$1)="住宅",5%,IF(F48*F49*F50/12/(1+'数据-取费表'!C42)&gt;20000,12%,7%)))</f>
        <v/>
      </c>
      <c r="I58" s="3112" t="s">
        <v>2356</v>
      </c>
      <c r="J58" s="3050" t="e">
        <f ca="1">IF(J55&lt;0.4,0.4,J55)</f>
        <v>#VALUE!</v>
      </c>
      <c r="K58" s="3074" t="s">
        <v>2361</v>
      </c>
      <c r="L58" s="1891" t="e">
        <f ca="1">ROUND(POWER(1+L52,L47-L48)*(POWER(1+L52,L48)-1)/(POWER(1+L52,L47)-1),4)</f>
        <v>#DIV/0!</v>
      </c>
      <c r="O58" s="2358" t="s">
        <v>2378</v>
      </c>
      <c r="P58" s="2359" t="s">
        <v>2409</v>
      </c>
      <c r="Q58" s="2360">
        <f ca="1">L60</f>
        <v>0</v>
      </c>
      <c r="R58" s="2363" t="s">
        <v>2411</v>
      </c>
    </row>
    <row r="59" spans="1:18" s="2042" customFormat="1" ht="28.5" customHeight="1" thickBot="1">
      <c r="A59" s="1631" t="s">
        <v>1831</v>
      </c>
      <c r="B59" s="783" t="s">
        <v>660</v>
      </c>
      <c r="C59" s="53">
        <f ca="1">ROUND(C47*F59/1.05,1)</f>
        <v>0</v>
      </c>
      <c r="D59" s="3180" t="s">
        <v>661</v>
      </c>
      <c r="E59" s="783" t="s">
        <v>1747</v>
      </c>
      <c r="F59" s="808">
        <f t="shared" ref="F59:F65" si="0">F32</f>
        <v>5.6000000000000001E-2</v>
      </c>
      <c r="I59" s="3112" t="s">
        <v>2357</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2380</v>
      </c>
      <c r="P59" s="2359" t="s">
        <v>2410</v>
      </c>
      <c r="Q59" s="2360">
        <f>IF(L55="比较法",L49,IF(L55="基准地价",L50,0))</f>
        <v>0</v>
      </c>
      <c r="R59" s="2359" t="s">
        <v>2377</v>
      </c>
    </row>
    <row r="60" spans="1:18" s="2042" customFormat="1" ht="18" customHeight="1" thickBot="1">
      <c r="A60" s="1631" t="s">
        <v>1832</v>
      </c>
      <c r="B60" s="783" t="s">
        <v>664</v>
      </c>
      <c r="C60" s="53">
        <f ca="1">IF(D60="按租金收入计税",ROUND(C47*F60,1),IF(D60="按房产原值计税",ROUND(C56*F60*0.7,1),INDIRECT("'数据-取费表'!Aj"&amp;$G$1)))</f>
        <v>0</v>
      </c>
      <c r="D60" s="3180" t="str">
        <f>D33</f>
        <v>按租金收入计税</v>
      </c>
      <c r="E60" s="783" t="s">
        <v>1747</v>
      </c>
      <c r="F60" s="808">
        <f t="shared" si="0"/>
        <v>0.12</v>
      </c>
      <c r="I60" s="3114" t="s">
        <v>2358</v>
      </c>
      <c r="J60" s="3115" t="str">
        <f ca="1">IF(OR(M47="住宅",J51&lt;L48,J56="是"),"0",ROUND(J59/(1+J52)^J53,0))</f>
        <v>0</v>
      </c>
      <c r="K60" s="3116" t="s">
        <v>2363</v>
      </c>
      <c r="L60" s="3115">
        <f ca="1">IF(OR(M47="住宅",L48&lt;J51),0,ROUND(L57*(L58/L59-1),0))</f>
        <v>0</v>
      </c>
      <c r="O60" s="2361" t="s">
        <v>2381</v>
      </c>
      <c r="P60" s="2359" t="s">
        <v>2390</v>
      </c>
      <c r="Q60" s="2362">
        <f>L52</f>
        <v>0</v>
      </c>
      <c r="R60" s="2363"/>
    </row>
    <row r="61" spans="1:18" s="2042" customFormat="1" ht="18" customHeight="1" thickBot="1">
      <c r="A61" s="1634" t="s">
        <v>1833</v>
      </c>
      <c r="B61" s="340" t="s">
        <v>668</v>
      </c>
      <c r="C61" s="54">
        <f ca="1">ROUND(F61*F62/10000,1)</f>
        <v>7.6</v>
      </c>
      <c r="D61" s="813" t="s">
        <v>669</v>
      </c>
      <c r="E61" s="783" t="s">
        <v>670</v>
      </c>
      <c r="F61" s="639">
        <f t="shared" si="0"/>
        <v>6</v>
      </c>
      <c r="K61" s="2069"/>
      <c r="O61" s="2361" t="s">
        <v>2383</v>
      </c>
      <c r="P61" s="2359" t="s">
        <v>2391</v>
      </c>
      <c r="Q61" s="2360" t="e">
        <f ca="1">L58</f>
        <v>#DIV/0!</v>
      </c>
      <c r="R61" s="2363" t="s">
        <v>2392</v>
      </c>
    </row>
    <row r="62" spans="1:18" s="2042" customFormat="1" ht="15.75" thickBot="1">
      <c r="A62" s="814"/>
      <c r="B62" s="792"/>
      <c r="C62" s="69"/>
      <c r="D62" s="815"/>
      <c r="E62" s="783" t="s">
        <v>674</v>
      </c>
      <c r="F62" s="784">
        <f t="shared" ca="1" si="0"/>
        <v>12624.52</v>
      </c>
      <c r="I62" s="3117" t="s">
        <v>2364</v>
      </c>
      <c r="J62" s="3118" t="s">
        <v>2365</v>
      </c>
      <c r="K62" s="3118" t="s">
        <v>2366</v>
      </c>
      <c r="L62" s="3118" t="s">
        <v>2347</v>
      </c>
      <c r="M62" s="3119" t="s">
        <v>2937</v>
      </c>
      <c r="O62" s="2361" t="s">
        <v>2385</v>
      </c>
      <c r="P62" s="2359" t="str">
        <f>K59</f>
        <v>建设期及建筑物耐用年限下的土地年期修正系数Kn</v>
      </c>
      <c r="Q62" s="2360" t="e">
        <f ca="1">L59</f>
        <v>#DIV/0!</v>
      </c>
      <c r="R62" s="2363" t="s">
        <v>2394</v>
      </c>
    </row>
    <row r="63" spans="1:18" s="2042" customFormat="1" ht="15.75" thickBot="1">
      <c r="A63" s="1632" t="s">
        <v>1889</v>
      </c>
      <c r="B63" s="783" t="s">
        <v>676</v>
      </c>
      <c r="C63" s="53">
        <f ca="1">ROUND(C56*F63,1)</f>
        <v>208.8</v>
      </c>
      <c r="D63" s="3180" t="s">
        <v>691</v>
      </c>
      <c r="E63" s="783" t="s">
        <v>1747</v>
      </c>
      <c r="F63" s="816">
        <f t="shared" ca="1" si="0"/>
        <v>1.4999999999999999E-2</v>
      </c>
      <c r="I63" s="3117" t="s">
        <v>2367</v>
      </c>
      <c r="J63" s="3118">
        <v>70</v>
      </c>
      <c r="K63" s="3118">
        <v>50</v>
      </c>
      <c r="L63" s="3118">
        <v>80</v>
      </c>
      <c r="M63" s="3120">
        <v>0.02</v>
      </c>
      <c r="O63" s="2358" t="s">
        <v>2388</v>
      </c>
      <c r="P63" s="2359" t="s">
        <v>2405</v>
      </c>
      <c r="Q63" s="2360">
        <f ca="1">Q57+Q58</f>
        <v>7427</v>
      </c>
      <c r="R63" s="2363" t="s">
        <v>2389</v>
      </c>
    </row>
    <row r="64" spans="1:18" s="2042" customFormat="1" ht="16.5" thickBot="1">
      <c r="A64" s="1632" t="s">
        <v>1890</v>
      </c>
      <c r="B64" s="783" t="s">
        <v>679</v>
      </c>
      <c r="C64" s="53">
        <f ca="1">ROUND(C55*F64,1)</f>
        <v>20.9</v>
      </c>
      <c r="D64" s="3180" t="s">
        <v>680</v>
      </c>
      <c r="E64" s="783" t="s">
        <v>1747</v>
      </c>
      <c r="F64" s="817">
        <f t="shared" ca="1" si="0"/>
        <v>1.5E-3</v>
      </c>
      <c r="I64" s="3117" t="s">
        <v>2368</v>
      </c>
      <c r="J64" s="3118">
        <v>50</v>
      </c>
      <c r="K64" s="3118">
        <v>35</v>
      </c>
      <c r="L64" s="3118">
        <v>60</v>
      </c>
      <c r="M64" s="845">
        <v>0</v>
      </c>
      <c r="O64" s="2364" t="s">
        <v>2412</v>
      </c>
      <c r="P64" s="1576"/>
      <c r="Q64" s="1587"/>
      <c r="R64" s="1576"/>
    </row>
    <row r="65" spans="1:18" s="2042" customFormat="1" ht="15.75" thickBot="1">
      <c r="A65" s="1632" t="s">
        <v>1891</v>
      </c>
      <c r="B65" s="783" t="s">
        <v>666</v>
      </c>
      <c r="C65" s="53">
        <f ca="1">ROUND(C47*F65,1)</f>
        <v>0</v>
      </c>
      <c r="D65" s="3180" t="s">
        <v>683</v>
      </c>
      <c r="E65" s="783" t="s">
        <v>1747</v>
      </c>
      <c r="F65" s="793">
        <f t="shared" ca="1" si="0"/>
        <v>0.01</v>
      </c>
      <c r="I65" s="3117" t="s">
        <v>2369</v>
      </c>
      <c r="J65" s="3118">
        <v>40</v>
      </c>
      <c r="K65" s="3118">
        <v>30</v>
      </c>
      <c r="L65" s="3118">
        <v>50</v>
      </c>
      <c r="M65" s="3120">
        <v>0.02</v>
      </c>
      <c r="O65" s="2355" t="s">
        <v>2372</v>
      </c>
      <c r="P65" s="2356" t="s">
        <v>2373</v>
      </c>
      <c r="Q65" s="2357" t="s">
        <v>2374</v>
      </c>
      <c r="R65" s="2356" t="s">
        <v>2375</v>
      </c>
    </row>
    <row r="66" spans="1:18" s="2042" customFormat="1" ht="24.75" thickBot="1">
      <c r="A66" s="796" t="s">
        <v>1776</v>
      </c>
      <c r="B66" s="2959" t="s">
        <v>2818</v>
      </c>
      <c r="C66" s="798">
        <f ca="1">C47-C57</f>
        <v>-237</v>
      </c>
      <c r="D66" s="3181" t="s">
        <v>700</v>
      </c>
      <c r="E66" s="3184"/>
      <c r="F66" s="819"/>
      <c r="K66" s="2069"/>
      <c r="O66" s="2358" t="s">
        <v>2376</v>
      </c>
      <c r="P66" s="2359" t="s">
        <v>2402</v>
      </c>
      <c r="Q66" s="2360">
        <f ca="1">C40+J29</f>
        <v>7427</v>
      </c>
      <c r="R66" s="2359" t="s">
        <v>2377</v>
      </c>
    </row>
    <row r="67" spans="1:18" s="2042" customFormat="1" ht="20.25" thickBot="1">
      <c r="A67" s="780" t="s">
        <v>1780</v>
      </c>
      <c r="B67" s="2215" t="s">
        <v>2298</v>
      </c>
      <c r="C67" s="782">
        <f ca="1">ROUND(C66*(1-((1+F69)/(1+F67))^F68)/(F67-F69),0)</f>
        <v>-4265</v>
      </c>
      <c r="D67" s="813" t="s">
        <v>704</v>
      </c>
      <c r="E67" s="783" t="s">
        <v>705</v>
      </c>
      <c r="F67" s="793">
        <f ca="1">F40</f>
        <v>0.05</v>
      </c>
      <c r="K67" s="2069"/>
      <c r="O67" s="2358" t="s">
        <v>2378</v>
      </c>
      <c r="P67" s="2359" t="s">
        <v>2409</v>
      </c>
      <c r="Q67" s="2360">
        <f ca="1">L60</f>
        <v>0</v>
      </c>
      <c r="R67" s="2363" t="s">
        <v>2411</v>
      </c>
    </row>
    <row r="68" spans="1:18" ht="21.75" thickBot="1">
      <c r="A68" s="785"/>
      <c r="B68" s="786"/>
      <c r="C68" s="787"/>
      <c r="D68" s="820" t="s">
        <v>1808</v>
      </c>
      <c r="E68" s="783" t="s">
        <v>708</v>
      </c>
      <c r="F68" s="821">
        <f ca="1">F41</f>
        <v>47.16</v>
      </c>
      <c r="O68" s="2361" t="s">
        <v>2380</v>
      </c>
      <c r="P68" s="2359" t="s">
        <v>2410</v>
      </c>
      <c r="Q68" s="2365">
        <f ca="1">L51</f>
        <v>-18245</v>
      </c>
      <c r="R68" s="2366" t="s">
        <v>2413</v>
      </c>
    </row>
    <row r="69" spans="1:18" ht="20.25" thickBot="1">
      <c r="A69" s="789"/>
      <c r="B69" s="790"/>
      <c r="C69" s="791"/>
      <c r="D69" s="815"/>
      <c r="E69" s="783" t="s">
        <v>710</v>
      </c>
      <c r="F69" s="2331"/>
      <c r="O69" s="2361" t="s">
        <v>2381</v>
      </c>
      <c r="P69" s="2367" t="s">
        <v>2395</v>
      </c>
      <c r="Q69" s="2360">
        <f ca="1">ROUND(Q70-Q71*Q72,0)</f>
        <v>-884</v>
      </c>
      <c r="R69" s="2363"/>
    </row>
    <row r="70" spans="1:18" ht="15.75" thickBot="1">
      <c r="A70" s="822" t="s">
        <v>1787</v>
      </c>
      <c r="B70" s="823" t="s">
        <v>1810</v>
      </c>
      <c r="C70" s="824">
        <f ca="1">ROUND(C67*10000/F70,0)</f>
        <v>-863</v>
      </c>
      <c r="D70" s="825" t="s">
        <v>1811</v>
      </c>
      <c r="E70" s="826" t="s">
        <v>1812</v>
      </c>
      <c r="F70" s="827">
        <f ca="1">F43</f>
        <v>49442.47</v>
      </c>
      <c r="O70" s="2361" t="s">
        <v>2396</v>
      </c>
      <c r="P70" s="2367" t="s">
        <v>2397</v>
      </c>
      <c r="Q70" s="2360">
        <f ca="1">C39</f>
        <v>299</v>
      </c>
      <c r="R70" s="2359" t="s">
        <v>2377</v>
      </c>
    </row>
    <row r="71" spans="1:18" ht="15.75" thickBot="1">
      <c r="O71" s="2361" t="s">
        <v>2398</v>
      </c>
      <c r="P71" s="2367" t="s">
        <v>2399</v>
      </c>
      <c r="Q71" s="2360">
        <f ca="1">C13</f>
        <v>13918</v>
      </c>
      <c r="R71" s="2359" t="s">
        <v>2377</v>
      </c>
    </row>
    <row r="72" spans="1:18" ht="15.75" thickBot="1">
      <c r="O72" s="2361" t="s">
        <v>2400</v>
      </c>
      <c r="P72" s="2367" t="s">
        <v>2401</v>
      </c>
      <c r="Q72" s="2362">
        <f ca="1">J36</f>
        <v>8.5000000000000006E-2</v>
      </c>
      <c r="R72" s="2363"/>
    </row>
    <row r="73" spans="1:18" ht="15.75" thickBot="1">
      <c r="O73" s="2361" t="s">
        <v>2383</v>
      </c>
      <c r="P73" s="2359" t="s">
        <v>2390</v>
      </c>
      <c r="Q73" s="2362">
        <f>L52</f>
        <v>0</v>
      </c>
      <c r="R73" s="2363"/>
    </row>
    <row r="74" spans="1:18" ht="20.25" thickBot="1">
      <c r="O74" s="2361" t="s">
        <v>2385</v>
      </c>
      <c r="P74" s="2359" t="s">
        <v>2391</v>
      </c>
      <c r="Q74" s="2360" t="e">
        <f ca="1">L58</f>
        <v>#DIV/0!</v>
      </c>
      <c r="R74" s="2363" t="s">
        <v>2392</v>
      </c>
    </row>
    <row r="75" spans="1:18" ht="15.75" thickBot="1">
      <c r="O75" s="2361" t="s">
        <v>2414</v>
      </c>
      <c r="P75" s="2359" t="str">
        <f>K59</f>
        <v>建设期及建筑物耐用年限下的土地年期修正系数Kn</v>
      </c>
      <c r="Q75" s="2360" t="e">
        <f ca="1">L59</f>
        <v>#DIV/0!</v>
      </c>
      <c r="R75" s="2363" t="s">
        <v>2394</v>
      </c>
    </row>
    <row r="76" spans="1:18" ht="15.75" thickBot="1">
      <c r="O76" s="2358" t="s">
        <v>2388</v>
      </c>
      <c r="P76" s="2359" t="s">
        <v>2405</v>
      </c>
      <c r="Q76" s="2360">
        <f ca="1">Q66+Q67</f>
        <v>7427</v>
      </c>
      <c r="R76" s="2363"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9" priority="6">
      <formula>$L$48&gt;$J$51</formula>
    </cfRule>
  </conditionalFormatting>
  <conditionalFormatting sqref="I55">
    <cfRule type="expression" dxfId="78" priority="7">
      <formula>$J$51&gt;$L$48</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757</v>
      </c>
      <c r="C1" s="503" t="s">
        <v>720</v>
      </c>
      <c r="D1" s="2330"/>
      <c r="E1" s="505"/>
      <c r="F1" s="2758"/>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793" t="s">
        <v>522</v>
      </c>
      <c r="D4" s="3794"/>
      <c r="E4" s="3817" t="s">
        <v>523</v>
      </c>
      <c r="F4" s="3818"/>
      <c r="G4" s="3793" t="s">
        <v>524</v>
      </c>
      <c r="H4" s="3794"/>
      <c r="I4" s="3793" t="s">
        <v>525</v>
      </c>
      <c r="J4" s="3794"/>
      <c r="K4" s="513" t="s">
        <v>526</v>
      </c>
      <c r="L4" s="2116"/>
      <c r="M4" s="2117"/>
      <c r="N4" s="2117"/>
      <c r="O4" s="2117"/>
      <c r="P4" s="3795" t="s">
        <v>527</v>
      </c>
      <c r="Q4" s="3796"/>
      <c r="R4" s="3781" t="s">
        <v>523</v>
      </c>
      <c r="S4" s="3782"/>
      <c r="T4" s="3781" t="s">
        <v>524</v>
      </c>
      <c r="U4" s="3782"/>
      <c r="V4" s="3801" t="s">
        <v>525</v>
      </c>
      <c r="W4" s="3801"/>
      <c r="X4" s="1551"/>
      <c r="Y4" s="3781" t="s">
        <v>527</v>
      </c>
      <c r="Z4" s="3782"/>
      <c r="AA4" s="3776" t="s">
        <v>523</v>
      </c>
      <c r="AB4" s="3801" t="s">
        <v>524</v>
      </c>
      <c r="AC4" s="3776" t="s">
        <v>525</v>
      </c>
    </row>
    <row r="5" spans="1:29" ht="15">
      <c r="A5" s="514"/>
      <c r="B5" s="515"/>
      <c r="C5" s="3804" t="s">
        <v>2924</v>
      </c>
      <c r="D5" s="3805"/>
      <c r="E5" s="3819" t="s">
        <v>2925</v>
      </c>
      <c r="F5" s="3820"/>
      <c r="G5" s="3804" t="s">
        <v>2926</v>
      </c>
      <c r="H5" s="3805"/>
      <c r="I5" s="3804" t="s">
        <v>2927</v>
      </c>
      <c r="J5" s="3805"/>
      <c r="K5" s="513"/>
      <c r="L5" s="2116"/>
      <c r="M5" s="2117"/>
      <c r="N5" s="2117"/>
      <c r="O5" s="2117"/>
      <c r="P5" s="3797"/>
      <c r="Q5" s="3798"/>
      <c r="R5" s="3783"/>
      <c r="S5" s="3784"/>
      <c r="T5" s="3783"/>
      <c r="U5" s="3784"/>
      <c r="V5" s="3801"/>
      <c r="W5" s="3801"/>
      <c r="X5" s="1551"/>
      <c r="Y5" s="3783"/>
      <c r="Z5" s="3784"/>
      <c r="AA5" s="3777"/>
      <c r="AB5" s="3801"/>
      <c r="AC5" s="3777"/>
    </row>
    <row r="6" spans="1:29" ht="15.75" thickBot="1">
      <c r="A6" s="516"/>
      <c r="B6" s="517"/>
      <c r="C6" s="3802" t="s">
        <v>2928</v>
      </c>
      <c r="D6" s="3803"/>
      <c r="E6" s="3821" t="s">
        <v>2928</v>
      </c>
      <c r="F6" s="3822"/>
      <c r="G6" s="3802" t="s">
        <v>2928</v>
      </c>
      <c r="H6" s="3803"/>
      <c r="I6" s="3802" t="s">
        <v>2928</v>
      </c>
      <c r="J6" s="3803"/>
      <c r="K6" s="513" t="s">
        <v>528</v>
      </c>
      <c r="L6" s="2116"/>
      <c r="M6" s="2117"/>
      <c r="N6" s="2117"/>
      <c r="O6" s="2117"/>
      <c r="P6" s="3799"/>
      <c r="Q6" s="3800"/>
      <c r="R6" s="3783"/>
      <c r="S6" s="3784"/>
      <c r="T6" s="3785"/>
      <c r="U6" s="3786"/>
      <c r="V6" s="3801"/>
      <c r="W6" s="3801"/>
      <c r="X6" s="1551"/>
      <c r="Y6" s="3785"/>
      <c r="Z6" s="3786"/>
      <c r="AA6" s="3778"/>
      <c r="AB6" s="3801"/>
      <c r="AC6" s="3778"/>
    </row>
    <row r="7" spans="1:29" s="1213" customFormat="1" ht="15.75" thickBot="1">
      <c r="A7" s="2863"/>
      <c r="B7" s="2870" t="s">
        <v>529</v>
      </c>
      <c r="C7" s="518">
        <f>'数据-取费表'!B2</f>
        <v>43965</v>
      </c>
      <c r="D7" s="519">
        <v>100</v>
      </c>
      <c r="E7" s="520"/>
      <c r="F7" s="521">
        <f>SUMIF(58:58,YEAR(E7)&amp;"-"&amp;MONTH(E7),59:59)</f>
        <v>0</v>
      </c>
      <c r="G7" s="520"/>
      <c r="H7" s="519">
        <f>SUMIF(58:58,YEAR(G7)&amp;"-"&amp;MONTH(G7),59:59)</f>
        <v>0</v>
      </c>
      <c r="I7" s="520"/>
      <c r="J7" s="519">
        <f>SUMIF(58:58,YEAR(I7)&amp;"-"&amp;MONTH(I7),59:59)</f>
        <v>0</v>
      </c>
      <c r="K7" s="523"/>
      <c r="L7" s="2118"/>
      <c r="M7" s="2119"/>
      <c r="N7" s="2119"/>
      <c r="O7" s="2119"/>
      <c r="P7" s="3779" t="s">
        <v>530</v>
      </c>
      <c r="Q7" s="3788"/>
      <c r="R7" s="1552" t="s">
        <v>8</v>
      </c>
      <c r="S7" s="1553">
        <f t="shared" ref="S7:S15" si="0">F7</f>
        <v>0</v>
      </c>
      <c r="T7" s="1552" t="s">
        <v>8</v>
      </c>
      <c r="U7" s="1553">
        <f t="shared" ref="U7:U15" si="1">H7</f>
        <v>0</v>
      </c>
      <c r="V7" s="1552" t="s">
        <v>8</v>
      </c>
      <c r="W7" s="1553">
        <f t="shared" ref="W7:W15" si="2">J7</f>
        <v>0</v>
      </c>
      <c r="X7" s="1554"/>
      <c r="Y7" s="3779" t="s">
        <v>530</v>
      </c>
      <c r="Z7" s="3780"/>
      <c r="AA7" s="1555" t="e">
        <f>D7/F7</f>
        <v>#DIV/0!</v>
      </c>
      <c r="AB7" s="1555" t="e">
        <f>D7/H7</f>
        <v>#DIV/0!</v>
      </c>
      <c r="AC7" s="1555" t="e">
        <f>D7/J7</f>
        <v>#DIV/0!</v>
      </c>
    </row>
    <row r="8" spans="1:29" s="1213" customFormat="1" ht="15.75" thickBot="1">
      <c r="A8" s="2864"/>
      <c r="B8" s="2871"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779" t="s">
        <v>533</v>
      </c>
      <c r="Q8" s="3780"/>
      <c r="R8" s="1552" t="s">
        <v>8</v>
      </c>
      <c r="S8" s="1553">
        <f t="shared" si="0"/>
        <v>0</v>
      </c>
      <c r="T8" s="1552" t="s">
        <v>8</v>
      </c>
      <c r="U8" s="1553">
        <f t="shared" si="1"/>
        <v>0</v>
      </c>
      <c r="V8" s="1552" t="s">
        <v>8</v>
      </c>
      <c r="W8" s="1553">
        <f t="shared" si="2"/>
        <v>0</v>
      </c>
      <c r="X8" s="1554"/>
      <c r="Y8" s="3779" t="s">
        <v>533</v>
      </c>
      <c r="Z8" s="3780"/>
      <c r="AA8" s="1555" t="e">
        <f t="shared" ref="AA8:AA46" si="3">D8/F8</f>
        <v>#DIV/0!</v>
      </c>
      <c r="AB8" s="1555" t="e">
        <f t="shared" ref="AB8:AB46" si="4">D8/H8</f>
        <v>#DIV/0!</v>
      </c>
      <c r="AC8" s="1555" t="e">
        <f t="shared" ref="AC8:AC46" si="5">D8/J8</f>
        <v>#DIV/0!</v>
      </c>
    </row>
    <row r="9" spans="1:29" s="1213" customFormat="1" ht="15">
      <c r="A9" s="2865"/>
      <c r="B9" s="2872" t="s">
        <v>2752</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787" t="s">
        <v>535</v>
      </c>
      <c r="Q9" s="1144" t="str">
        <f t="shared" ref="Q9:Q15" si="6">B9</f>
        <v>用途</v>
      </c>
      <c r="R9" s="1552" t="s">
        <v>8</v>
      </c>
      <c r="S9" s="1553">
        <f t="shared" si="0"/>
        <v>100</v>
      </c>
      <c r="T9" s="1552" t="s">
        <v>8</v>
      </c>
      <c r="U9" s="1553">
        <f t="shared" si="1"/>
        <v>100</v>
      </c>
      <c r="V9" s="1552" t="s">
        <v>8</v>
      </c>
      <c r="W9" s="1553">
        <f t="shared" si="2"/>
        <v>100</v>
      </c>
      <c r="X9" s="1554"/>
      <c r="Y9" s="3744" t="s">
        <v>536</v>
      </c>
      <c r="Z9" s="1143" t="str">
        <f t="shared" ref="Z9:Z15" si="7">Q9</f>
        <v>用途</v>
      </c>
      <c r="AA9" s="1555">
        <f t="shared" si="3"/>
        <v>1</v>
      </c>
      <c r="AB9" s="1555">
        <f t="shared" si="4"/>
        <v>1</v>
      </c>
      <c r="AC9" s="1555">
        <f t="shared" si="5"/>
        <v>1</v>
      </c>
    </row>
    <row r="10" spans="1:29" s="1331" customFormat="1" ht="27">
      <c r="A10" s="2866"/>
      <c r="B10" s="2871" t="s">
        <v>2753</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787"/>
      <c r="Q10" s="1144" t="str">
        <f t="shared" si="6"/>
        <v>土地使用年限（年）</v>
      </c>
      <c r="R10" s="1552" t="s">
        <v>8</v>
      </c>
      <c r="S10" s="1553">
        <f t="shared" si="0"/>
        <v>100</v>
      </c>
      <c r="T10" s="1552" t="s">
        <v>8</v>
      </c>
      <c r="U10" s="1553">
        <f t="shared" si="1"/>
        <v>100</v>
      </c>
      <c r="V10" s="1552" t="s">
        <v>8</v>
      </c>
      <c r="W10" s="1553">
        <f t="shared" si="2"/>
        <v>100</v>
      </c>
      <c r="X10" s="1554"/>
      <c r="Y10" s="3744"/>
      <c r="Z10" s="1143" t="str">
        <f t="shared" si="7"/>
        <v>土地使用年限（年）</v>
      </c>
      <c r="AA10" s="1555">
        <f t="shared" si="3"/>
        <v>1</v>
      </c>
      <c r="AB10" s="1555">
        <f t="shared" si="4"/>
        <v>1</v>
      </c>
      <c r="AC10" s="1555">
        <f t="shared" si="5"/>
        <v>1</v>
      </c>
    </row>
    <row r="11" spans="1:29" ht="15">
      <c r="A11" s="2867"/>
      <c r="B11" s="2871"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787"/>
      <c r="Q11" s="1144" t="str">
        <f t="shared" si="6"/>
        <v>容积率</v>
      </c>
      <c r="R11" s="1552" t="s">
        <v>8</v>
      </c>
      <c r="S11" s="1553" t="e">
        <f t="shared" si="0"/>
        <v>#N/A</v>
      </c>
      <c r="T11" s="1552" t="s">
        <v>8</v>
      </c>
      <c r="U11" s="1553" t="e">
        <f t="shared" si="1"/>
        <v>#N/A</v>
      </c>
      <c r="V11" s="1552" t="s">
        <v>8</v>
      </c>
      <c r="W11" s="1553" t="e">
        <f t="shared" si="2"/>
        <v>#N/A</v>
      </c>
      <c r="X11" s="1554"/>
      <c r="Y11" s="3744"/>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787"/>
      <c r="Q12" s="1144">
        <f t="shared" si="6"/>
        <v>111</v>
      </c>
      <c r="R12" s="1552" t="s">
        <v>8</v>
      </c>
      <c r="S12" s="1553">
        <f t="shared" si="0"/>
        <v>100</v>
      </c>
      <c r="T12" s="1552" t="s">
        <v>8</v>
      </c>
      <c r="U12" s="1553">
        <f t="shared" si="1"/>
        <v>100</v>
      </c>
      <c r="V12" s="1552" t="s">
        <v>8</v>
      </c>
      <c r="W12" s="1553">
        <f t="shared" si="2"/>
        <v>100</v>
      </c>
      <c r="X12" s="1554"/>
      <c r="Y12" s="3744"/>
      <c r="Z12" s="1143">
        <f t="shared" si="7"/>
        <v>111</v>
      </c>
      <c r="AA12" s="1555">
        <f>D12/F12</f>
        <v>1</v>
      </c>
      <c r="AB12" s="1555">
        <f>D12/H12</f>
        <v>1</v>
      </c>
      <c r="AC12" s="1555">
        <f>D12/J12</f>
        <v>1</v>
      </c>
    </row>
    <row r="13" spans="1:29" ht="15">
      <c r="A13" s="2868"/>
      <c r="B13" s="2874">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787"/>
      <c r="Q13" s="1144">
        <f t="shared" si="6"/>
        <v>111</v>
      </c>
      <c r="R13" s="1552" t="s">
        <v>8</v>
      </c>
      <c r="S13" s="1553">
        <f t="shared" si="0"/>
        <v>100</v>
      </c>
      <c r="T13" s="1552" t="s">
        <v>8</v>
      </c>
      <c r="U13" s="1553">
        <f t="shared" si="1"/>
        <v>100</v>
      </c>
      <c r="V13" s="1552" t="s">
        <v>8</v>
      </c>
      <c r="W13" s="1553">
        <f t="shared" si="2"/>
        <v>100</v>
      </c>
      <c r="X13" s="1554"/>
      <c r="Y13" s="3744"/>
      <c r="Z13" s="1143">
        <f t="shared" si="7"/>
        <v>111</v>
      </c>
      <c r="AA13" s="1555">
        <f t="shared" si="3"/>
        <v>1</v>
      </c>
      <c r="AB13" s="1555">
        <f t="shared" si="4"/>
        <v>1</v>
      </c>
      <c r="AC13" s="1555">
        <f t="shared" si="5"/>
        <v>1</v>
      </c>
    </row>
    <row r="14" spans="1:29" ht="15.75" thickBot="1">
      <c r="A14" s="2869"/>
      <c r="B14" s="2875">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787"/>
      <c r="Q14" s="1144">
        <f t="shared" si="6"/>
        <v>111</v>
      </c>
      <c r="R14" s="1552" t="s">
        <v>8</v>
      </c>
      <c r="S14" s="1553">
        <f t="shared" si="0"/>
        <v>100</v>
      </c>
      <c r="T14" s="1552" t="s">
        <v>8</v>
      </c>
      <c r="U14" s="1553">
        <f t="shared" si="1"/>
        <v>100</v>
      </c>
      <c r="V14" s="1552" t="s">
        <v>8</v>
      </c>
      <c r="W14" s="1553">
        <f t="shared" si="2"/>
        <v>100</v>
      </c>
      <c r="X14" s="1554"/>
      <c r="Y14" s="3744"/>
      <c r="Z14" s="1143">
        <f t="shared" si="7"/>
        <v>111</v>
      </c>
      <c r="AA14" s="1555">
        <f t="shared" si="3"/>
        <v>1</v>
      </c>
      <c r="AB14" s="1555">
        <f t="shared" si="4"/>
        <v>1</v>
      </c>
      <c r="AC14" s="1555">
        <f t="shared" si="5"/>
        <v>1</v>
      </c>
    </row>
    <row r="15" spans="1:29" ht="71.25">
      <c r="A15" s="2861"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789" t="s">
        <v>540</v>
      </c>
      <c r="Q15" s="1556" t="str">
        <f t="shared" si="6"/>
        <v>商业繁华度</v>
      </c>
      <c r="R15" s="1557" t="s">
        <v>8</v>
      </c>
      <c r="S15" s="1558">
        <f t="shared" si="0"/>
        <v>100</v>
      </c>
      <c r="T15" s="1557" t="s">
        <v>8</v>
      </c>
      <c r="U15" s="1558">
        <f t="shared" si="1"/>
        <v>100</v>
      </c>
      <c r="V15" s="1557" t="s">
        <v>8</v>
      </c>
      <c r="W15" s="1558">
        <f t="shared" si="2"/>
        <v>100</v>
      </c>
      <c r="X15" s="1551"/>
      <c r="Y15" s="3789"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790"/>
      <c r="Q16" s="1556"/>
      <c r="R16" s="1557"/>
      <c r="S16" s="1558"/>
      <c r="T16" s="1557"/>
      <c r="U16" s="1558"/>
      <c r="V16" s="1557"/>
      <c r="W16" s="1558"/>
      <c r="X16" s="1551"/>
      <c r="Y16" s="3790"/>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790"/>
      <c r="Q17" s="1556" t="str">
        <f>B17</f>
        <v>交通便捷度</v>
      </c>
      <c r="R17" s="1557" t="s">
        <v>8</v>
      </c>
      <c r="S17" s="1558">
        <f>F17</f>
        <v>100</v>
      </c>
      <c r="T17" s="1557" t="s">
        <v>8</v>
      </c>
      <c r="U17" s="1558">
        <f>H17</f>
        <v>100</v>
      </c>
      <c r="V17" s="1557" t="s">
        <v>8</v>
      </c>
      <c r="W17" s="1558">
        <f>J17</f>
        <v>100</v>
      </c>
      <c r="X17" s="1551"/>
      <c r="Y17" s="379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790"/>
      <c r="Q18" s="1556"/>
      <c r="R18" s="1557"/>
      <c r="S18" s="1558"/>
      <c r="T18" s="1557"/>
      <c r="U18" s="1558"/>
      <c r="V18" s="1557"/>
      <c r="W18" s="1558"/>
      <c r="X18" s="1551"/>
      <c r="Y18" s="3790"/>
      <c r="Z18" s="1559"/>
      <c r="AA18" s="1560">
        <v>1</v>
      </c>
      <c r="AB18" s="1560">
        <v>1</v>
      </c>
      <c r="AC18" s="1560">
        <v>1</v>
      </c>
    </row>
    <row r="19" spans="1:29" ht="42.75">
      <c r="A19" s="531"/>
      <c r="B19" s="2560"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790"/>
      <c r="Q19" s="1556" t="str">
        <f>B19</f>
        <v>公共配套设施</v>
      </c>
      <c r="R19" s="1557" t="s">
        <v>8</v>
      </c>
      <c r="S19" s="1558">
        <f>F19</f>
        <v>100</v>
      </c>
      <c r="T19" s="1557" t="s">
        <v>8</v>
      </c>
      <c r="U19" s="1558">
        <f>H19</f>
        <v>100</v>
      </c>
      <c r="V19" s="1557" t="s">
        <v>8</v>
      </c>
      <c r="W19" s="1558">
        <f>J19</f>
        <v>100</v>
      </c>
      <c r="X19" s="1551"/>
      <c r="Y19" s="3790"/>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790"/>
      <c r="Q20" s="1556"/>
      <c r="R20" s="1557"/>
      <c r="S20" s="1558"/>
      <c r="T20" s="1557"/>
      <c r="U20" s="1558"/>
      <c r="V20" s="1557"/>
      <c r="W20" s="1558"/>
      <c r="X20" s="1551"/>
      <c r="Y20" s="3790"/>
      <c r="Z20" s="1559"/>
      <c r="AA20" s="1560">
        <v>1</v>
      </c>
      <c r="AB20" s="1560">
        <v>1</v>
      </c>
      <c r="AC20" s="1560">
        <v>1</v>
      </c>
    </row>
    <row r="21" spans="1:29" ht="28.5">
      <c r="A21" s="531"/>
      <c r="B21" s="2553"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790"/>
      <c r="Q21" s="2539" t="str">
        <f>B21</f>
        <v>基础设施水平</v>
      </c>
      <c r="R21" s="1557" t="s">
        <v>8</v>
      </c>
      <c r="S21" s="1558">
        <f>F21</f>
        <v>100</v>
      </c>
      <c r="T21" s="1557" t="s">
        <v>8</v>
      </c>
      <c r="U21" s="1558">
        <f>H21</f>
        <v>100</v>
      </c>
      <c r="V21" s="1557" t="s">
        <v>8</v>
      </c>
      <c r="W21" s="1558">
        <f>J21</f>
        <v>100</v>
      </c>
      <c r="X21" s="2541"/>
      <c r="Y21" s="3790"/>
      <c r="Z21" s="2540" t="str">
        <f>Q21</f>
        <v>基础设施水平</v>
      </c>
      <c r="AA21" s="1560">
        <f>D21/F21</f>
        <v>1</v>
      </c>
      <c r="AB21" s="1560">
        <f>D21/H21</f>
        <v>1</v>
      </c>
      <c r="AC21" s="1560">
        <f>D21/J21</f>
        <v>1</v>
      </c>
    </row>
    <row r="22" spans="1:29" ht="15">
      <c r="A22" s="531"/>
      <c r="B22" s="920"/>
      <c r="C22" s="872"/>
      <c r="D22" s="554"/>
      <c r="E22" s="575"/>
      <c r="F22" s="556"/>
      <c r="G22" s="575"/>
      <c r="H22" s="554"/>
      <c r="I22" s="575"/>
      <c r="J22" s="554"/>
      <c r="K22" s="2562"/>
      <c r="L22" s="2125"/>
      <c r="M22" s="2117"/>
      <c r="N22" s="2117"/>
      <c r="O22" s="2124"/>
      <c r="P22" s="3790"/>
      <c r="Q22" s="2539"/>
      <c r="R22" s="1557"/>
      <c r="S22" s="1558"/>
      <c r="T22" s="1557"/>
      <c r="U22" s="1558"/>
      <c r="V22" s="1557"/>
      <c r="W22" s="1558"/>
      <c r="X22" s="2541"/>
      <c r="Y22" s="3790"/>
      <c r="Z22" s="2540"/>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790"/>
      <c r="Q23" s="1556" t="str">
        <f>B23</f>
        <v>自然及人文环境</v>
      </c>
      <c r="R23" s="1557" t="s">
        <v>8</v>
      </c>
      <c r="S23" s="1558">
        <f>F23</f>
        <v>100</v>
      </c>
      <c r="T23" s="1557" t="s">
        <v>8</v>
      </c>
      <c r="U23" s="1558">
        <f>H23</f>
        <v>100</v>
      </c>
      <c r="V23" s="1557" t="s">
        <v>8</v>
      </c>
      <c r="W23" s="1558">
        <f>J23</f>
        <v>100</v>
      </c>
      <c r="X23" s="1551"/>
      <c r="Y23" s="3790"/>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790"/>
      <c r="Q24" s="1556"/>
      <c r="R24" s="1557"/>
      <c r="S24" s="1558"/>
      <c r="T24" s="1557"/>
      <c r="U24" s="1558"/>
      <c r="V24" s="1557"/>
      <c r="W24" s="1558"/>
      <c r="X24" s="1551"/>
      <c r="Y24" s="3790"/>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790"/>
      <c r="Q25" s="1556" t="str">
        <f t="shared" ref="Q25:Q46" si="8">B25</f>
        <v>临街状况</v>
      </c>
      <c r="R25" s="1557" t="s">
        <v>8</v>
      </c>
      <c r="S25" s="1558">
        <f>F25</f>
        <v>100</v>
      </c>
      <c r="T25" s="1557" t="s">
        <v>8</v>
      </c>
      <c r="U25" s="1558">
        <f>H25</f>
        <v>100</v>
      </c>
      <c r="V25" s="1557" t="s">
        <v>8</v>
      </c>
      <c r="W25" s="1558">
        <f>J25</f>
        <v>100</v>
      </c>
      <c r="X25" s="1551"/>
      <c r="Y25" s="3790"/>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790"/>
      <c r="Q26" s="1556" t="str">
        <f t="shared" si="8"/>
        <v>平面位置/可视性</v>
      </c>
      <c r="R26" s="1557" t="s">
        <v>8</v>
      </c>
      <c r="S26" s="1558">
        <f>F26</f>
        <v>100</v>
      </c>
      <c r="T26" s="1557" t="s">
        <v>8</v>
      </c>
      <c r="U26" s="1558">
        <f>H26</f>
        <v>100</v>
      </c>
      <c r="V26" s="1557" t="s">
        <v>8</v>
      </c>
      <c r="W26" s="1558">
        <f>J26</f>
        <v>100</v>
      </c>
      <c r="X26" s="1551"/>
      <c r="Y26" s="3790"/>
      <c r="Z26" s="1559" t="str">
        <f>Q26</f>
        <v>平面位置/可视性</v>
      </c>
      <c r="AA26" s="1560">
        <f t="shared" si="3"/>
        <v>1</v>
      </c>
      <c r="AB26" s="1560">
        <f t="shared" si="4"/>
        <v>1</v>
      </c>
      <c r="AC26" s="1560">
        <f t="shared" si="5"/>
        <v>1</v>
      </c>
    </row>
    <row r="27" spans="1:29" s="1213"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790"/>
      <c r="Q27" s="1144" t="str">
        <f t="shared" si="8"/>
        <v>人流量</v>
      </c>
      <c r="R27" s="1552" t="s">
        <v>8</v>
      </c>
      <c r="S27" s="1553">
        <f>F27</f>
        <v>100</v>
      </c>
      <c r="T27" s="1552" t="s">
        <v>8</v>
      </c>
      <c r="U27" s="1553">
        <f>H27</f>
        <v>100</v>
      </c>
      <c r="V27" s="1552" t="s">
        <v>8</v>
      </c>
      <c r="W27" s="1553">
        <f>J27</f>
        <v>100</v>
      </c>
      <c r="X27" s="1554"/>
      <c r="Y27" s="3790"/>
      <c r="Z27" s="1143"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790"/>
      <c r="Q28" s="1556" t="str">
        <f t="shared" si="8"/>
        <v>楼层</v>
      </c>
      <c r="R28" s="1557" t="s">
        <v>8</v>
      </c>
      <c r="S28" s="1558">
        <f t="shared" ref="S28:S46" si="9">F28</f>
        <v>100</v>
      </c>
      <c r="T28" s="1557" t="s">
        <v>8</v>
      </c>
      <c r="U28" s="1558">
        <f t="shared" ref="U28:U46" si="10">H28</f>
        <v>100</v>
      </c>
      <c r="V28" s="1557" t="s">
        <v>8</v>
      </c>
      <c r="W28" s="1558">
        <f t="shared" ref="W28:W46" si="11">J28</f>
        <v>100</v>
      </c>
      <c r="X28" s="1551"/>
      <c r="Y28" s="3790"/>
      <c r="Z28" s="1559" t="str">
        <f t="shared" ref="Z28:Z46" si="12">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790"/>
      <c r="Q29" s="1556">
        <f t="shared" si="8"/>
        <v>111</v>
      </c>
      <c r="R29" s="1557" t="s">
        <v>8</v>
      </c>
      <c r="S29" s="1558">
        <f t="shared" si="9"/>
        <v>100</v>
      </c>
      <c r="T29" s="1557" t="s">
        <v>8</v>
      </c>
      <c r="U29" s="1558">
        <f t="shared" si="10"/>
        <v>100</v>
      </c>
      <c r="V29" s="1557" t="s">
        <v>8</v>
      </c>
      <c r="W29" s="1558">
        <f t="shared" si="11"/>
        <v>100</v>
      </c>
      <c r="X29" s="1551"/>
      <c r="Y29" s="3790"/>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790"/>
      <c r="Q30" s="1556">
        <f t="shared" si="8"/>
        <v>111</v>
      </c>
      <c r="R30" s="1557" t="s">
        <v>8</v>
      </c>
      <c r="S30" s="1558">
        <f t="shared" si="9"/>
        <v>100</v>
      </c>
      <c r="T30" s="1557" t="s">
        <v>8</v>
      </c>
      <c r="U30" s="1558">
        <f t="shared" si="10"/>
        <v>100</v>
      </c>
      <c r="V30" s="1557" t="s">
        <v>8</v>
      </c>
      <c r="W30" s="1558">
        <f t="shared" si="11"/>
        <v>100</v>
      </c>
      <c r="X30" s="1551"/>
      <c r="Y30" s="3790"/>
      <c r="Z30" s="1559">
        <f t="shared" si="12"/>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790"/>
      <c r="Q31" s="1556">
        <f t="shared" si="8"/>
        <v>111</v>
      </c>
      <c r="R31" s="1557" t="s">
        <v>8</v>
      </c>
      <c r="S31" s="1558">
        <f t="shared" si="9"/>
        <v>100</v>
      </c>
      <c r="T31" s="1557" t="s">
        <v>8</v>
      </c>
      <c r="U31" s="1558">
        <f t="shared" si="10"/>
        <v>100</v>
      </c>
      <c r="V31" s="1557" t="s">
        <v>8</v>
      </c>
      <c r="W31" s="1558">
        <f t="shared" si="11"/>
        <v>100</v>
      </c>
      <c r="X31" s="1551"/>
      <c r="Y31" s="3790"/>
      <c r="Z31" s="1559">
        <f t="shared" si="12"/>
        <v>111</v>
      </c>
      <c r="AA31" s="1560">
        <f t="shared" si="3"/>
        <v>1</v>
      </c>
      <c r="AB31" s="1560">
        <f t="shared" si="4"/>
        <v>1</v>
      </c>
      <c r="AC31" s="1560">
        <f t="shared" si="5"/>
        <v>1</v>
      </c>
    </row>
    <row r="32" spans="1:29" ht="15">
      <c r="A32" s="2858"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791" t="s">
        <v>550</v>
      </c>
      <c r="Q32" s="1556" t="str">
        <f t="shared" si="8"/>
        <v>商业类型</v>
      </c>
      <c r="R32" s="1557" t="s">
        <v>8</v>
      </c>
      <c r="S32" s="1558">
        <f t="shared" si="9"/>
        <v>100</v>
      </c>
      <c r="T32" s="1557" t="s">
        <v>8</v>
      </c>
      <c r="U32" s="1558">
        <f t="shared" si="10"/>
        <v>100</v>
      </c>
      <c r="V32" s="1557" t="s">
        <v>8</v>
      </c>
      <c r="W32" s="1558">
        <f t="shared" si="11"/>
        <v>100</v>
      </c>
      <c r="X32" s="1551"/>
      <c r="Y32" s="3792" t="s">
        <v>550</v>
      </c>
      <c r="Z32" s="1559" t="str">
        <f t="shared" si="12"/>
        <v>商业类型</v>
      </c>
      <c r="AA32" s="1560">
        <f t="shared" si="3"/>
        <v>1</v>
      </c>
      <c r="AB32" s="1560">
        <f t="shared" si="4"/>
        <v>1</v>
      </c>
      <c r="AC32" s="1560">
        <f t="shared" si="5"/>
        <v>1</v>
      </c>
    </row>
    <row r="33" spans="1:29" s="1332"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792"/>
      <c r="Q33" s="1588" t="str">
        <f t="shared" si="8"/>
        <v>项目建筑规模</v>
      </c>
      <c r="R33" s="1561" t="s">
        <v>8</v>
      </c>
      <c r="S33" s="1562" t="e">
        <f t="shared" si="9"/>
        <v>#N/A</v>
      </c>
      <c r="T33" s="1561" t="s">
        <v>8</v>
      </c>
      <c r="U33" s="1562" t="e">
        <f t="shared" si="10"/>
        <v>#N/A</v>
      </c>
      <c r="V33" s="1561" t="s">
        <v>8</v>
      </c>
      <c r="W33" s="1562" t="e">
        <f t="shared" si="11"/>
        <v>#N/A</v>
      </c>
      <c r="X33" s="1563"/>
      <c r="Y33" s="3792"/>
      <c r="Z33" s="1564" t="str">
        <f t="shared" si="12"/>
        <v>项目建筑规模</v>
      </c>
      <c r="AA33" s="1560" t="e">
        <f t="shared" si="3"/>
        <v>#N/A</v>
      </c>
      <c r="AB33" s="1560" t="e">
        <f t="shared" si="4"/>
        <v>#N/A</v>
      </c>
      <c r="AC33" s="1560"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792"/>
      <c r="Q34" s="1556" t="str">
        <f t="shared" si="8"/>
        <v>建筑结构</v>
      </c>
      <c r="R34" s="1557" t="s">
        <v>8</v>
      </c>
      <c r="S34" s="1558">
        <f t="shared" si="9"/>
        <v>100</v>
      </c>
      <c r="T34" s="1557" t="s">
        <v>8</v>
      </c>
      <c r="U34" s="1558">
        <f t="shared" si="10"/>
        <v>100</v>
      </c>
      <c r="V34" s="1557" t="s">
        <v>8</v>
      </c>
      <c r="W34" s="1558">
        <f t="shared" si="11"/>
        <v>100</v>
      </c>
      <c r="X34" s="1551"/>
      <c r="Y34" s="3792"/>
      <c r="Z34" s="1559" t="str">
        <f t="shared" si="12"/>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792"/>
      <c r="Q35" s="1556" t="str">
        <f t="shared" si="8"/>
        <v>公共部分装修</v>
      </c>
      <c r="R35" s="1557" t="s">
        <v>8</v>
      </c>
      <c r="S35" s="1558">
        <f t="shared" si="9"/>
        <v>100</v>
      </c>
      <c r="T35" s="1557" t="s">
        <v>8</v>
      </c>
      <c r="U35" s="1558">
        <f t="shared" si="10"/>
        <v>100</v>
      </c>
      <c r="V35" s="1557" t="s">
        <v>8</v>
      </c>
      <c r="W35" s="1558">
        <f t="shared" si="11"/>
        <v>100</v>
      </c>
      <c r="X35" s="1551"/>
      <c r="Y35" s="3792"/>
      <c r="Z35" s="1559" t="str">
        <f t="shared" si="12"/>
        <v>公共部分装修</v>
      </c>
      <c r="AA35" s="1560">
        <f t="shared" si="3"/>
        <v>1</v>
      </c>
      <c r="AB35" s="1560">
        <f t="shared" si="4"/>
        <v>1</v>
      </c>
      <c r="AC35" s="1560">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792"/>
      <c r="Q36" s="1556" t="str">
        <f t="shared" si="8"/>
        <v>成新度</v>
      </c>
      <c r="R36" s="1557" t="s">
        <v>8</v>
      </c>
      <c r="S36" s="1558" t="e">
        <f t="shared" si="9"/>
        <v>#N/A</v>
      </c>
      <c r="T36" s="1557" t="s">
        <v>8</v>
      </c>
      <c r="U36" s="1558" t="e">
        <f t="shared" si="10"/>
        <v>#N/A</v>
      </c>
      <c r="V36" s="1557" t="s">
        <v>8</v>
      </c>
      <c r="W36" s="1558" t="e">
        <f t="shared" si="11"/>
        <v>#N/A</v>
      </c>
      <c r="X36" s="1551"/>
      <c r="Y36" s="3792"/>
      <c r="Z36" s="1559" t="str">
        <f t="shared" si="12"/>
        <v>成新度</v>
      </c>
      <c r="AA36" s="1560" t="e">
        <f t="shared" si="3"/>
        <v>#N/A</v>
      </c>
      <c r="AB36" s="1560" t="e">
        <f t="shared" si="4"/>
        <v>#N/A</v>
      </c>
      <c r="AC36" s="1560" t="e">
        <f t="shared" si="5"/>
        <v>#N/A</v>
      </c>
    </row>
    <row r="37" spans="1:29" s="1213" customFormat="1" ht="15">
      <c r="A37" s="599"/>
      <c r="B37" s="1878"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792"/>
      <c r="Q37" s="1144" t="str">
        <f t="shared" si="8"/>
        <v>市政基础设施</v>
      </c>
      <c r="R37" s="1552" t="s">
        <v>8</v>
      </c>
      <c r="S37" s="1553">
        <f t="shared" si="9"/>
        <v>100</v>
      </c>
      <c r="T37" s="1552" t="s">
        <v>8</v>
      </c>
      <c r="U37" s="1553">
        <f t="shared" si="10"/>
        <v>100</v>
      </c>
      <c r="V37" s="1552" t="s">
        <v>8</v>
      </c>
      <c r="W37" s="1553">
        <f t="shared" si="11"/>
        <v>100</v>
      </c>
      <c r="X37" s="1554"/>
      <c r="Y37" s="3792"/>
      <c r="Z37" s="1143" t="str">
        <f t="shared" si="12"/>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792" t="s">
        <v>766</v>
      </c>
      <c r="Q38" s="1556" t="str">
        <f t="shared" si="8"/>
        <v>业态</v>
      </c>
      <c r="R38" s="1557" t="s">
        <v>8</v>
      </c>
      <c r="S38" s="1558">
        <f t="shared" si="9"/>
        <v>100</v>
      </c>
      <c r="T38" s="1557" t="s">
        <v>8</v>
      </c>
      <c r="U38" s="1558">
        <f t="shared" si="10"/>
        <v>100</v>
      </c>
      <c r="V38" s="1557" t="s">
        <v>8</v>
      </c>
      <c r="W38" s="1558">
        <f t="shared" si="11"/>
        <v>100</v>
      </c>
      <c r="X38" s="1551"/>
      <c r="Y38" s="3792" t="s">
        <v>766</v>
      </c>
      <c r="Z38" s="1559" t="str">
        <f t="shared" si="12"/>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792"/>
      <c r="Q39" s="1556" t="str">
        <f t="shared" si="8"/>
        <v>层高</v>
      </c>
      <c r="R39" s="1557" t="s">
        <v>8</v>
      </c>
      <c r="S39" s="1558">
        <f t="shared" si="9"/>
        <v>100</v>
      </c>
      <c r="T39" s="1557" t="s">
        <v>8</v>
      </c>
      <c r="U39" s="1558">
        <f t="shared" si="10"/>
        <v>100</v>
      </c>
      <c r="V39" s="1557" t="s">
        <v>8</v>
      </c>
      <c r="W39" s="1558">
        <f t="shared" si="11"/>
        <v>100</v>
      </c>
      <c r="X39" s="1551"/>
      <c r="Y39" s="3792"/>
      <c r="Z39" s="1559" t="str">
        <f t="shared" si="12"/>
        <v>层高</v>
      </c>
      <c r="AA39" s="1560">
        <f t="shared" si="3"/>
        <v>1</v>
      </c>
      <c r="AB39" s="1560">
        <f t="shared" si="4"/>
        <v>1</v>
      </c>
      <c r="AC39" s="1560">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792"/>
      <c r="Q40" s="1556" t="str">
        <f t="shared" si="8"/>
        <v>单套建筑面积</v>
      </c>
      <c r="R40" s="1557" t="s">
        <v>8</v>
      </c>
      <c r="S40" s="1558">
        <f t="shared" si="9"/>
        <v>100</v>
      </c>
      <c r="T40" s="1557" t="s">
        <v>8</v>
      </c>
      <c r="U40" s="1558">
        <f t="shared" si="10"/>
        <v>100</v>
      </c>
      <c r="V40" s="1557" t="s">
        <v>8</v>
      </c>
      <c r="W40" s="1558">
        <f t="shared" si="11"/>
        <v>100</v>
      </c>
      <c r="X40" s="1551"/>
      <c r="Y40" s="3792"/>
      <c r="Z40" s="1559" t="str">
        <f t="shared" si="12"/>
        <v>单套建筑面积</v>
      </c>
      <c r="AA40" s="1560">
        <f t="shared" si="3"/>
        <v>1</v>
      </c>
      <c r="AB40" s="1560">
        <f t="shared" si="4"/>
        <v>1</v>
      </c>
      <c r="AC40" s="1560">
        <f t="shared" si="5"/>
        <v>1</v>
      </c>
    </row>
    <row r="41" spans="1:29" s="1332"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792"/>
      <c r="Q41" s="1588" t="str">
        <f t="shared" si="8"/>
        <v>进深比</v>
      </c>
      <c r="R41" s="1561" t="s">
        <v>8</v>
      </c>
      <c r="S41" s="1562">
        <f t="shared" si="9"/>
        <v>100</v>
      </c>
      <c r="T41" s="1561" t="s">
        <v>8</v>
      </c>
      <c r="U41" s="1562">
        <f t="shared" si="10"/>
        <v>100</v>
      </c>
      <c r="V41" s="1561" t="s">
        <v>8</v>
      </c>
      <c r="W41" s="1562">
        <f t="shared" si="11"/>
        <v>100</v>
      </c>
      <c r="X41" s="1563"/>
      <c r="Y41" s="3792"/>
      <c r="Z41" s="1564" t="str">
        <f t="shared" si="12"/>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792"/>
      <c r="Q42" s="1556" t="str">
        <f t="shared" si="8"/>
        <v>内部装修</v>
      </c>
      <c r="R42" s="1557" t="s">
        <v>8</v>
      </c>
      <c r="S42" s="1558">
        <f t="shared" si="9"/>
        <v>100</v>
      </c>
      <c r="T42" s="1557" t="s">
        <v>8</v>
      </c>
      <c r="U42" s="1558">
        <f t="shared" si="10"/>
        <v>100</v>
      </c>
      <c r="V42" s="1557" t="s">
        <v>8</v>
      </c>
      <c r="W42" s="1558">
        <f t="shared" si="11"/>
        <v>100</v>
      </c>
      <c r="X42" s="1551"/>
      <c r="Y42" s="3792"/>
      <c r="Z42" s="1559" t="str">
        <f t="shared" si="12"/>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792"/>
      <c r="Q43" s="1556" t="str">
        <f t="shared" si="8"/>
        <v>内部装修维护情况</v>
      </c>
      <c r="R43" s="1557" t="s">
        <v>8</v>
      </c>
      <c r="S43" s="1558">
        <f t="shared" si="9"/>
        <v>100</v>
      </c>
      <c r="T43" s="1557" t="s">
        <v>8</v>
      </c>
      <c r="U43" s="1558">
        <f t="shared" si="10"/>
        <v>100</v>
      </c>
      <c r="V43" s="1557" t="s">
        <v>8</v>
      </c>
      <c r="W43" s="1558">
        <f t="shared" si="11"/>
        <v>100</v>
      </c>
      <c r="X43" s="1551"/>
      <c r="Y43" s="3792"/>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792"/>
      <c r="Q44" s="1144">
        <f t="shared" si="8"/>
        <v>111</v>
      </c>
      <c r="R44" s="1552" t="s">
        <v>8</v>
      </c>
      <c r="S44" s="1553">
        <f t="shared" si="9"/>
        <v>100</v>
      </c>
      <c r="T44" s="1552" t="s">
        <v>8</v>
      </c>
      <c r="U44" s="1553">
        <f t="shared" si="10"/>
        <v>100</v>
      </c>
      <c r="V44" s="1552" t="s">
        <v>8</v>
      </c>
      <c r="W44" s="1553">
        <f t="shared" si="11"/>
        <v>100</v>
      </c>
      <c r="X44" s="1554"/>
      <c r="Y44" s="3792"/>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792"/>
      <c r="Q45" s="1556">
        <f t="shared" si="8"/>
        <v>111</v>
      </c>
      <c r="R45" s="1557" t="s">
        <v>8</v>
      </c>
      <c r="S45" s="1558">
        <f t="shared" si="9"/>
        <v>100</v>
      </c>
      <c r="T45" s="1557" t="s">
        <v>8</v>
      </c>
      <c r="U45" s="1558">
        <f t="shared" si="10"/>
        <v>100</v>
      </c>
      <c r="V45" s="1557" t="s">
        <v>8</v>
      </c>
      <c r="W45" s="1558">
        <f t="shared" si="11"/>
        <v>100</v>
      </c>
      <c r="X45" s="1551"/>
      <c r="Y45" s="3792"/>
      <c r="Z45" s="1559">
        <f t="shared" si="12"/>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871"/>
      <c r="Q46" s="1556">
        <f t="shared" si="8"/>
        <v>111</v>
      </c>
      <c r="R46" s="1557" t="s">
        <v>8</v>
      </c>
      <c r="S46" s="1558">
        <f t="shared" si="9"/>
        <v>100</v>
      </c>
      <c r="T46" s="1557" t="s">
        <v>8</v>
      </c>
      <c r="U46" s="1558">
        <f t="shared" si="10"/>
        <v>100</v>
      </c>
      <c r="V46" s="1557" t="s">
        <v>8</v>
      </c>
      <c r="W46" s="1558">
        <f t="shared" si="11"/>
        <v>100</v>
      </c>
      <c r="X46" s="1551"/>
      <c r="Y46" s="3871"/>
      <c r="Z46" s="1559">
        <f t="shared" si="12"/>
        <v>111</v>
      </c>
      <c r="AA46" s="1560">
        <f t="shared" si="3"/>
        <v>1</v>
      </c>
      <c r="AB46" s="1560">
        <f t="shared" si="4"/>
        <v>1</v>
      </c>
      <c r="AC46" s="1560">
        <f t="shared" si="5"/>
        <v>1</v>
      </c>
    </row>
    <row r="47" spans="1:29" ht="15">
      <c r="A47" s="606" t="s">
        <v>736</v>
      </c>
      <c r="B47" s="885"/>
      <c r="C47" s="2587" t="s">
        <v>1</v>
      </c>
      <c r="D47" s="2588"/>
      <c r="E47" s="2589"/>
      <c r="F47" s="2590"/>
      <c r="G47" s="2591"/>
      <c r="H47" s="2592"/>
      <c r="I47" s="2589"/>
      <c r="J47" s="2592"/>
      <c r="K47" s="1594"/>
      <c r="L47" s="2127"/>
      <c r="M47" s="2128"/>
      <c r="N47" s="2117"/>
      <c r="O47" s="2128"/>
      <c r="P47" s="3787" t="str">
        <f>A47</f>
        <v>成交单价（元/平方米）</v>
      </c>
      <c r="Q47" s="3787"/>
      <c r="R47" s="3870">
        <f>E47</f>
        <v>0</v>
      </c>
      <c r="S47" s="3870"/>
      <c r="T47" s="3870">
        <f>G47</f>
        <v>0</v>
      </c>
      <c r="U47" s="3870"/>
      <c r="V47" s="3870">
        <f>I47</f>
        <v>0</v>
      </c>
      <c r="W47" s="3870"/>
      <c r="X47" s="1543"/>
      <c r="Y47" s="1565"/>
      <c r="Z47" s="1543"/>
      <c r="AA47" s="1543"/>
      <c r="AB47" s="1543"/>
      <c r="AC47" s="1543"/>
    </row>
    <row r="48" spans="1:29" ht="15.75" thickBot="1">
      <c r="A48" s="614" t="s">
        <v>2756</v>
      </c>
      <c r="B48" s="886"/>
      <c r="C48" s="2593" t="e">
        <f>R49</f>
        <v>#DIV/0!</v>
      </c>
      <c r="D48" s="2594"/>
      <c r="E48" s="2595" t="e">
        <f>R48</f>
        <v>#DIV/0!</v>
      </c>
      <c r="F48" s="2595"/>
      <c r="G48" s="2593" t="e">
        <f>T48</f>
        <v>#DIV/0!</v>
      </c>
      <c r="H48" s="2594"/>
      <c r="I48" s="2595" t="e">
        <f>V48</f>
        <v>#DIV/0!</v>
      </c>
      <c r="J48" s="2594"/>
      <c r="K48" s="1595"/>
      <c r="L48" s="2127"/>
      <c r="M48" s="2128"/>
      <c r="N48" s="2117"/>
      <c r="O48" s="2128"/>
      <c r="P48" s="3787" t="str">
        <f>A48</f>
        <v>比较价格（元/平方米）</v>
      </c>
      <c r="Q48" s="3787"/>
      <c r="R48" s="3870" t="e">
        <f>IF(F1="售价",ROUND(PRODUCT(R47,AA7:AA46),0),ROUND(PRODUCT(R47,AA7:AA46),1))</f>
        <v>#DIV/0!</v>
      </c>
      <c r="S48" s="3870"/>
      <c r="T48" s="3870" t="e">
        <f>IF(F1="售价",ROUND(PRODUCT(T47,AB7:AB46),0),ROUND(PRODUCT(T47,AB7:AB46),1))</f>
        <v>#DIV/0!</v>
      </c>
      <c r="U48" s="3870"/>
      <c r="V48" s="3870" t="e">
        <f>IF(F1="售价",ROUND(PRODUCT(V47,AC7:AC46),0),ROUND(PRODUCT(V47,AC7:AC46),1))</f>
        <v>#DIV/0!</v>
      </c>
      <c r="W48" s="3870"/>
      <c r="X48" s="1543"/>
      <c r="Y48" s="1543"/>
      <c r="Z48" s="1543"/>
      <c r="AA48" s="1543"/>
      <c r="AB48" s="1543"/>
      <c r="AC48" s="1543"/>
    </row>
    <row r="49" spans="1:29" ht="15.75" thickBot="1">
      <c r="A49" s="620" t="s">
        <v>2930</v>
      </c>
      <c r="B49" s="621"/>
      <c r="C49" s="2596" t="e">
        <f>R49</f>
        <v>#DIV/0!</v>
      </c>
      <c r="D49" s="2596"/>
      <c r="E49" s="2596"/>
      <c r="F49" s="2596"/>
      <c r="G49" s="2596"/>
      <c r="H49" s="2596"/>
      <c r="I49" s="2596"/>
      <c r="J49" s="2596"/>
      <c r="K49" s="1596"/>
      <c r="L49" s="2127"/>
      <c r="M49" s="2128"/>
      <c r="N49" s="2117"/>
      <c r="O49" s="2128"/>
      <c r="P49" s="3808" t="str">
        <f>A49</f>
        <v>估价对象XX用房的比较价格（楼面单价，元/平方米）</v>
      </c>
      <c r="Q49" s="3809"/>
      <c r="R49" s="3869" t="e">
        <f>IF(F1="售价",ROUND(AVERAGE(R48:V48),0),ROUND(AVERAGE(R48:V48),1))</f>
        <v>#DIV/0!</v>
      </c>
      <c r="S49" s="3869"/>
      <c r="T49" s="3869"/>
      <c r="U49" s="3869"/>
      <c r="V49" s="3869"/>
      <c r="W49" s="3869"/>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529</v>
      </c>
      <c r="B58" s="645"/>
      <c r="C58" s="2753"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3"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8"/>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2554</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2555</v>
      </c>
      <c r="C82" s="2558" t="s">
        <v>2556</v>
      </c>
      <c r="D82" s="2558" t="s">
        <v>2557</v>
      </c>
      <c r="E82" s="2558" t="s">
        <v>2558</v>
      </c>
      <c r="F82" s="2558" t="s">
        <v>2559</v>
      </c>
      <c r="G82" s="2558" t="s">
        <v>2560</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7"/>
      <c r="B112" s="1879" t="s">
        <v>2553</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777</v>
      </c>
      <c r="C1" s="503" t="s">
        <v>720</v>
      </c>
      <c r="D1" s="848"/>
      <c r="E1" s="505"/>
      <c r="F1" s="2758"/>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793" t="s">
        <v>522</v>
      </c>
      <c r="D4" s="3794"/>
      <c r="E4" s="3817" t="s">
        <v>523</v>
      </c>
      <c r="F4" s="3818"/>
      <c r="G4" s="3793" t="s">
        <v>524</v>
      </c>
      <c r="H4" s="3794"/>
      <c r="I4" s="3793" t="s">
        <v>525</v>
      </c>
      <c r="J4" s="3794"/>
      <c r="K4" s="513" t="s">
        <v>526</v>
      </c>
      <c r="L4" s="2116"/>
      <c r="M4" s="2117"/>
      <c r="N4" s="2117"/>
      <c r="O4" s="2117"/>
      <c r="P4" s="3895" t="s">
        <v>527</v>
      </c>
      <c r="Q4" s="3796"/>
      <c r="R4" s="3781" t="s">
        <v>523</v>
      </c>
      <c r="S4" s="3782"/>
      <c r="T4" s="3781" t="s">
        <v>524</v>
      </c>
      <c r="U4" s="3782"/>
      <c r="V4" s="3801" t="s">
        <v>525</v>
      </c>
      <c r="W4" s="3801"/>
      <c r="X4" s="1551"/>
      <c r="Y4" s="3781" t="s">
        <v>527</v>
      </c>
      <c r="Z4" s="3782"/>
      <c r="AA4" s="3776" t="s">
        <v>523</v>
      </c>
      <c r="AB4" s="3776" t="s">
        <v>524</v>
      </c>
      <c r="AC4" s="3776" t="s">
        <v>525</v>
      </c>
    </row>
    <row r="5" spans="1:29" ht="15">
      <c r="A5" s="514"/>
      <c r="B5" s="515"/>
      <c r="C5" s="3804" t="s">
        <v>2924</v>
      </c>
      <c r="D5" s="3805"/>
      <c r="E5" s="3819" t="s">
        <v>2925</v>
      </c>
      <c r="F5" s="3820"/>
      <c r="G5" s="3804" t="s">
        <v>2926</v>
      </c>
      <c r="H5" s="3805"/>
      <c r="I5" s="3804" t="s">
        <v>2927</v>
      </c>
      <c r="J5" s="3805"/>
      <c r="K5" s="513"/>
      <c r="L5" s="2116"/>
      <c r="M5" s="2117"/>
      <c r="N5" s="2117"/>
      <c r="O5" s="2117"/>
      <c r="P5" s="3896"/>
      <c r="Q5" s="3798"/>
      <c r="R5" s="3783"/>
      <c r="S5" s="3784"/>
      <c r="T5" s="3783"/>
      <c r="U5" s="3784"/>
      <c r="V5" s="3801"/>
      <c r="W5" s="3801"/>
      <c r="X5" s="1551"/>
      <c r="Y5" s="3783"/>
      <c r="Z5" s="3784"/>
      <c r="AA5" s="3777"/>
      <c r="AB5" s="3777"/>
      <c r="AC5" s="3777"/>
    </row>
    <row r="6" spans="1:29" ht="15.75" thickBot="1">
      <c r="A6" s="516"/>
      <c r="B6" s="517"/>
      <c r="C6" s="3802" t="s">
        <v>2928</v>
      </c>
      <c r="D6" s="3803"/>
      <c r="E6" s="3821" t="s">
        <v>2928</v>
      </c>
      <c r="F6" s="3822"/>
      <c r="G6" s="3802" t="s">
        <v>2928</v>
      </c>
      <c r="H6" s="3803"/>
      <c r="I6" s="3802" t="s">
        <v>2928</v>
      </c>
      <c r="J6" s="3803"/>
      <c r="K6" s="513" t="s">
        <v>528</v>
      </c>
      <c r="L6" s="2116"/>
      <c r="M6" s="2117"/>
      <c r="N6" s="2117"/>
      <c r="O6" s="2117"/>
      <c r="P6" s="3897"/>
      <c r="Q6" s="3800"/>
      <c r="R6" s="3783"/>
      <c r="S6" s="3784"/>
      <c r="T6" s="3785"/>
      <c r="U6" s="3786"/>
      <c r="V6" s="3801"/>
      <c r="W6" s="3801"/>
      <c r="X6" s="1551"/>
      <c r="Y6" s="3785"/>
      <c r="Z6" s="3786"/>
      <c r="AA6" s="3778"/>
      <c r="AB6" s="3778"/>
      <c r="AC6" s="3778"/>
    </row>
    <row r="7" spans="1:29" s="1213" customFormat="1" ht="15.75" thickBot="1">
      <c r="A7" s="2863"/>
      <c r="B7" s="2870" t="s">
        <v>529</v>
      </c>
      <c r="C7" s="518">
        <f>'数据-取费表'!B2</f>
        <v>43965</v>
      </c>
      <c r="D7" s="519">
        <v>100</v>
      </c>
      <c r="E7" s="520"/>
      <c r="F7" s="521">
        <f>SUMIF(59:59,YEAR(E7)&amp;"-"&amp;MONTH(E7),60:60)</f>
        <v>0</v>
      </c>
      <c r="G7" s="520"/>
      <c r="H7" s="519">
        <f>SUMIF(59:59,YEAR(G7)&amp;"-"&amp;MONTH(G7),60:60)</f>
        <v>0</v>
      </c>
      <c r="I7" s="520"/>
      <c r="J7" s="519">
        <f>SUMIF(59:59,YEAR(I7)&amp;"-"&amp;MONTH(I7),60:60)</f>
        <v>0</v>
      </c>
      <c r="K7" s="523"/>
      <c r="L7" s="2118"/>
      <c r="M7" s="2119"/>
      <c r="N7" s="2119"/>
      <c r="O7" s="2119"/>
      <c r="P7" s="3788" t="s">
        <v>530</v>
      </c>
      <c r="Q7" s="3788"/>
      <c r="R7" s="1552" t="s">
        <v>8</v>
      </c>
      <c r="S7" s="1553">
        <f t="shared" ref="S7:S15" si="0">F7</f>
        <v>0</v>
      </c>
      <c r="T7" s="1552" t="s">
        <v>8</v>
      </c>
      <c r="U7" s="1553">
        <f t="shared" ref="U7:U15" si="1">H7</f>
        <v>0</v>
      </c>
      <c r="V7" s="1552" t="s">
        <v>8</v>
      </c>
      <c r="W7" s="1553">
        <f t="shared" ref="W7:W15" si="2">J7</f>
        <v>0</v>
      </c>
      <c r="X7" s="1554"/>
      <c r="Y7" s="3779" t="s">
        <v>530</v>
      </c>
      <c r="Z7" s="3780"/>
      <c r="AA7" s="1555" t="e">
        <f>D7/F7</f>
        <v>#DIV/0!</v>
      </c>
      <c r="AB7" s="1555" t="e">
        <f>D7/H7</f>
        <v>#DIV/0!</v>
      </c>
      <c r="AC7" s="1555" t="e">
        <f>D7/J7</f>
        <v>#DIV/0!</v>
      </c>
    </row>
    <row r="8" spans="1:29" s="1213" customFormat="1" ht="15.75" thickBot="1">
      <c r="A8" s="2864"/>
      <c r="B8" s="2871"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788" t="s">
        <v>533</v>
      </c>
      <c r="Q8" s="3780"/>
      <c r="R8" s="1552" t="s">
        <v>8</v>
      </c>
      <c r="S8" s="1553">
        <f t="shared" si="0"/>
        <v>0</v>
      </c>
      <c r="T8" s="1552" t="s">
        <v>8</v>
      </c>
      <c r="U8" s="1553">
        <f t="shared" si="1"/>
        <v>0</v>
      </c>
      <c r="V8" s="1552" t="s">
        <v>8</v>
      </c>
      <c r="W8" s="1553">
        <f t="shared" si="2"/>
        <v>0</v>
      </c>
      <c r="X8" s="1554"/>
      <c r="Y8" s="3779" t="s">
        <v>533</v>
      </c>
      <c r="Z8" s="3780"/>
      <c r="AA8" s="1555" t="e">
        <f t="shared" ref="AA8:AA47" si="3">D8/F8</f>
        <v>#DIV/0!</v>
      </c>
      <c r="AB8" s="1555" t="e">
        <f t="shared" ref="AB8:AB47" si="4">D8/H8</f>
        <v>#DIV/0!</v>
      </c>
      <c r="AC8" s="1555" t="e">
        <f t="shared" ref="AC8:AC47" si="5">D8/J8</f>
        <v>#DIV/0!</v>
      </c>
    </row>
    <row r="9" spans="1:29" s="1213" customFormat="1" ht="15">
      <c r="A9" s="2865"/>
      <c r="B9" s="2872" t="s">
        <v>2752</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787" t="s">
        <v>535</v>
      </c>
      <c r="Q9" s="1144" t="str">
        <f t="shared" ref="Q9:Q15" si="6">B9</f>
        <v>用途</v>
      </c>
      <c r="R9" s="1552" t="s">
        <v>8</v>
      </c>
      <c r="S9" s="1553">
        <f t="shared" si="0"/>
        <v>100</v>
      </c>
      <c r="T9" s="1552" t="s">
        <v>8</v>
      </c>
      <c r="U9" s="1553">
        <f t="shared" si="1"/>
        <v>100</v>
      </c>
      <c r="V9" s="1552" t="s">
        <v>8</v>
      </c>
      <c r="W9" s="1553">
        <f t="shared" si="2"/>
        <v>100</v>
      </c>
      <c r="X9" s="1554"/>
      <c r="Y9" s="3744" t="s">
        <v>536</v>
      </c>
      <c r="Z9" s="1143" t="str">
        <f t="shared" ref="Z9:Z15" si="7">Q9</f>
        <v>用途</v>
      </c>
      <c r="AA9" s="1555">
        <f t="shared" si="3"/>
        <v>1</v>
      </c>
      <c r="AB9" s="1555">
        <f t="shared" si="4"/>
        <v>1</v>
      </c>
      <c r="AC9" s="1555">
        <f t="shared" si="5"/>
        <v>1</v>
      </c>
    </row>
    <row r="10" spans="1:29" s="1331" customFormat="1" ht="27">
      <c r="A10" s="2866"/>
      <c r="B10" s="2871" t="s">
        <v>2753</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787"/>
      <c r="Q10" s="1144" t="str">
        <f t="shared" si="6"/>
        <v>土地使用年限（年）</v>
      </c>
      <c r="R10" s="1552" t="s">
        <v>8</v>
      </c>
      <c r="S10" s="1553">
        <f t="shared" si="0"/>
        <v>100</v>
      </c>
      <c r="T10" s="1552" t="s">
        <v>8</v>
      </c>
      <c r="U10" s="1553">
        <f t="shared" si="1"/>
        <v>100</v>
      </c>
      <c r="V10" s="1552" t="s">
        <v>8</v>
      </c>
      <c r="W10" s="1553">
        <f t="shared" si="2"/>
        <v>100</v>
      </c>
      <c r="X10" s="1554"/>
      <c r="Y10" s="3744"/>
      <c r="Z10" s="1143" t="str">
        <f t="shared" si="7"/>
        <v>土地使用年限（年）</v>
      </c>
      <c r="AA10" s="1555">
        <f t="shared" si="3"/>
        <v>1</v>
      </c>
      <c r="AB10" s="1555">
        <f t="shared" si="4"/>
        <v>1</v>
      </c>
      <c r="AC10" s="1555">
        <f t="shared" si="5"/>
        <v>1</v>
      </c>
    </row>
    <row r="11" spans="1:29" ht="15">
      <c r="A11" s="2867"/>
      <c r="B11" s="2871"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787"/>
      <c r="Q11" s="1144" t="str">
        <f t="shared" si="6"/>
        <v>容积率</v>
      </c>
      <c r="R11" s="1552" t="s">
        <v>8</v>
      </c>
      <c r="S11" s="1553" t="e">
        <f t="shared" si="0"/>
        <v>#N/A</v>
      </c>
      <c r="T11" s="1552" t="s">
        <v>8</v>
      </c>
      <c r="U11" s="1553" t="e">
        <f t="shared" si="1"/>
        <v>#N/A</v>
      </c>
      <c r="V11" s="1552" t="s">
        <v>8</v>
      </c>
      <c r="W11" s="1553" t="e">
        <f t="shared" si="2"/>
        <v>#N/A</v>
      </c>
      <c r="X11" s="1554"/>
      <c r="Y11" s="3744"/>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787"/>
      <c r="Q12" s="1144">
        <f t="shared" si="6"/>
        <v>111</v>
      </c>
      <c r="R12" s="1552" t="s">
        <v>8</v>
      </c>
      <c r="S12" s="1553">
        <f t="shared" si="0"/>
        <v>100</v>
      </c>
      <c r="T12" s="1552" t="s">
        <v>8</v>
      </c>
      <c r="U12" s="1553">
        <f t="shared" si="1"/>
        <v>100</v>
      </c>
      <c r="V12" s="1552" t="s">
        <v>8</v>
      </c>
      <c r="W12" s="1553">
        <f t="shared" si="2"/>
        <v>100</v>
      </c>
      <c r="X12" s="1554"/>
      <c r="Y12" s="3744"/>
      <c r="Z12" s="1143">
        <f t="shared" si="7"/>
        <v>111</v>
      </c>
      <c r="AA12" s="1555">
        <f>D12/F12</f>
        <v>1</v>
      </c>
      <c r="AB12" s="1555">
        <f>D12/H12</f>
        <v>1</v>
      </c>
      <c r="AC12" s="1555">
        <f>D12/J12</f>
        <v>1</v>
      </c>
    </row>
    <row r="13" spans="1:29" ht="15">
      <c r="A13" s="2868"/>
      <c r="B13" s="2874">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787"/>
      <c r="Q13" s="1144">
        <f t="shared" si="6"/>
        <v>111</v>
      </c>
      <c r="R13" s="1552" t="s">
        <v>8</v>
      </c>
      <c r="S13" s="1553">
        <f t="shared" si="0"/>
        <v>100</v>
      </c>
      <c r="T13" s="1552" t="s">
        <v>8</v>
      </c>
      <c r="U13" s="1553">
        <f t="shared" si="1"/>
        <v>100</v>
      </c>
      <c r="V13" s="1552" t="s">
        <v>8</v>
      </c>
      <c r="W13" s="1553">
        <f t="shared" si="2"/>
        <v>100</v>
      </c>
      <c r="X13" s="1554"/>
      <c r="Y13" s="3744"/>
      <c r="Z13" s="1143">
        <f t="shared" si="7"/>
        <v>111</v>
      </c>
      <c r="AA13" s="1555">
        <f t="shared" si="3"/>
        <v>1</v>
      </c>
      <c r="AB13" s="1555">
        <f t="shared" si="4"/>
        <v>1</v>
      </c>
      <c r="AC13" s="1555">
        <f t="shared" si="5"/>
        <v>1</v>
      </c>
    </row>
    <row r="14" spans="1:29" ht="15.75" thickBot="1">
      <c r="A14" s="2869"/>
      <c r="B14" s="2875">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787"/>
      <c r="Q14" s="1144">
        <f t="shared" si="6"/>
        <v>111</v>
      </c>
      <c r="R14" s="1552" t="s">
        <v>8</v>
      </c>
      <c r="S14" s="1553">
        <f t="shared" si="0"/>
        <v>100</v>
      </c>
      <c r="T14" s="1552" t="s">
        <v>8</v>
      </c>
      <c r="U14" s="1553">
        <f t="shared" si="1"/>
        <v>100</v>
      </c>
      <c r="V14" s="1552" t="s">
        <v>8</v>
      </c>
      <c r="W14" s="1553">
        <f t="shared" si="2"/>
        <v>100</v>
      </c>
      <c r="X14" s="1554"/>
      <c r="Y14" s="3744"/>
      <c r="Z14" s="1143">
        <f t="shared" si="7"/>
        <v>111</v>
      </c>
      <c r="AA14" s="1555">
        <f t="shared" si="3"/>
        <v>1</v>
      </c>
      <c r="AB14" s="1555">
        <f t="shared" si="4"/>
        <v>1</v>
      </c>
      <c r="AC14" s="1555">
        <f t="shared" si="5"/>
        <v>1</v>
      </c>
    </row>
    <row r="15" spans="1:29" ht="71.25">
      <c r="A15" s="2861"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789" t="s">
        <v>540</v>
      </c>
      <c r="Q15" s="1556" t="str">
        <f t="shared" si="6"/>
        <v>办公集聚程度</v>
      </c>
      <c r="R15" s="1557" t="s">
        <v>8</v>
      </c>
      <c r="S15" s="1558">
        <f t="shared" si="0"/>
        <v>100</v>
      </c>
      <c r="T15" s="1557" t="s">
        <v>8</v>
      </c>
      <c r="U15" s="1558">
        <f t="shared" si="1"/>
        <v>100</v>
      </c>
      <c r="V15" s="1557" t="s">
        <v>8</v>
      </c>
      <c r="W15" s="1558">
        <f t="shared" si="2"/>
        <v>100</v>
      </c>
      <c r="X15" s="1551"/>
      <c r="Y15" s="3789"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790"/>
      <c r="Q16" s="1556"/>
      <c r="R16" s="1557"/>
      <c r="S16" s="1558"/>
      <c r="T16" s="1557"/>
      <c r="U16" s="1558"/>
      <c r="V16" s="1557"/>
      <c r="W16" s="1558"/>
      <c r="X16" s="1551"/>
      <c r="Y16" s="3790"/>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790"/>
      <c r="Q17" s="1556" t="str">
        <f>B17</f>
        <v>交通便捷度</v>
      </c>
      <c r="R17" s="1557" t="s">
        <v>8</v>
      </c>
      <c r="S17" s="1558">
        <f>F17</f>
        <v>100</v>
      </c>
      <c r="T17" s="1557" t="s">
        <v>8</v>
      </c>
      <c r="U17" s="1558">
        <f>H17</f>
        <v>100</v>
      </c>
      <c r="V17" s="1557" t="s">
        <v>8</v>
      </c>
      <c r="W17" s="1558">
        <f>J17</f>
        <v>100</v>
      </c>
      <c r="X17" s="1551"/>
      <c r="Y17" s="3790"/>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790"/>
      <c r="Q18" s="1556"/>
      <c r="R18" s="1557"/>
      <c r="S18" s="1558"/>
      <c r="T18" s="1557"/>
      <c r="U18" s="1558"/>
      <c r="V18" s="1557"/>
      <c r="W18" s="1558"/>
      <c r="X18" s="1551"/>
      <c r="Y18" s="3790"/>
      <c r="Z18" s="1559"/>
      <c r="AA18" s="1560">
        <v>1</v>
      </c>
      <c r="AB18" s="1560">
        <v>1</v>
      </c>
      <c r="AC18" s="1560">
        <v>1</v>
      </c>
    </row>
    <row r="19" spans="1:29" ht="42.75">
      <c r="A19" s="531"/>
      <c r="B19" s="2563"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790"/>
      <c r="Q19" s="1556" t="str">
        <f>B19</f>
        <v>公共配套设施</v>
      </c>
      <c r="R19" s="1557" t="s">
        <v>8</v>
      </c>
      <c r="S19" s="1558">
        <f>F19</f>
        <v>100</v>
      </c>
      <c r="T19" s="1557" t="s">
        <v>8</v>
      </c>
      <c r="U19" s="1558">
        <f>H19</f>
        <v>100</v>
      </c>
      <c r="V19" s="1557" t="s">
        <v>8</v>
      </c>
      <c r="W19" s="1558">
        <f>J19</f>
        <v>100</v>
      </c>
      <c r="X19" s="1551"/>
      <c r="Y19" s="3790"/>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790"/>
      <c r="Q20" s="1556"/>
      <c r="R20" s="1557"/>
      <c r="S20" s="1558"/>
      <c r="T20" s="1557"/>
      <c r="U20" s="1558"/>
      <c r="V20" s="1557"/>
      <c r="W20" s="1558"/>
      <c r="X20" s="1551"/>
      <c r="Y20" s="3790"/>
      <c r="Z20" s="1559"/>
      <c r="AA20" s="1560">
        <v>1</v>
      </c>
      <c r="AB20" s="1560">
        <v>1</v>
      </c>
      <c r="AC20" s="1560">
        <v>1</v>
      </c>
    </row>
    <row r="21" spans="1:29" ht="28.5">
      <c r="A21" s="531"/>
      <c r="B21" s="2551"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790"/>
      <c r="Q21" s="2539" t="str">
        <f>B21</f>
        <v>基础设施水平</v>
      </c>
      <c r="R21" s="1557" t="s">
        <v>8</v>
      </c>
      <c r="S21" s="1558">
        <f>F21</f>
        <v>100</v>
      </c>
      <c r="T21" s="1557" t="s">
        <v>8</v>
      </c>
      <c r="U21" s="1558">
        <f>H21</f>
        <v>100</v>
      </c>
      <c r="V21" s="1557" t="s">
        <v>8</v>
      </c>
      <c r="W21" s="1558">
        <f>J21</f>
        <v>100</v>
      </c>
      <c r="X21" s="2541"/>
      <c r="Y21" s="3790"/>
      <c r="Z21" s="2540" t="str">
        <f>Q21</f>
        <v>基础设施水平</v>
      </c>
      <c r="AA21" s="1560">
        <f>D21/F21</f>
        <v>1</v>
      </c>
      <c r="AB21" s="1560">
        <f>D21/H21</f>
        <v>1</v>
      </c>
      <c r="AC21" s="1560">
        <f>D21/J21</f>
        <v>1</v>
      </c>
    </row>
    <row r="22" spans="1:29" ht="15">
      <c r="A22" s="531"/>
      <c r="B22" s="577"/>
      <c r="C22" s="566"/>
      <c r="D22" s="554"/>
      <c r="E22" s="575"/>
      <c r="F22" s="554"/>
      <c r="G22" s="553"/>
      <c r="H22" s="554"/>
      <c r="I22" s="553"/>
      <c r="J22" s="554"/>
      <c r="K22" s="2562"/>
      <c r="L22" s="2125"/>
      <c r="M22" s="2117"/>
      <c r="N22" s="2117"/>
      <c r="O22" s="2117"/>
      <c r="P22" s="3790"/>
      <c r="Q22" s="2539"/>
      <c r="R22" s="1557"/>
      <c r="S22" s="1558"/>
      <c r="T22" s="1557"/>
      <c r="U22" s="1558"/>
      <c r="V22" s="1557"/>
      <c r="W22" s="1558"/>
      <c r="X22" s="2541"/>
      <c r="Y22" s="3790"/>
      <c r="Z22" s="2540"/>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790"/>
      <c r="Q23" s="1556" t="str">
        <f>B23</f>
        <v>环境质量</v>
      </c>
      <c r="R23" s="1557" t="s">
        <v>8</v>
      </c>
      <c r="S23" s="1558">
        <f>F23</f>
        <v>100</v>
      </c>
      <c r="T23" s="1557" t="s">
        <v>8</v>
      </c>
      <c r="U23" s="1558">
        <f>H23</f>
        <v>100</v>
      </c>
      <c r="V23" s="1557" t="s">
        <v>8</v>
      </c>
      <c r="W23" s="1558">
        <f>J23</f>
        <v>100</v>
      </c>
      <c r="X23" s="1551"/>
      <c r="Y23" s="3790"/>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790"/>
      <c r="Q24" s="1556"/>
      <c r="R24" s="1557"/>
      <c r="S24" s="1558"/>
      <c r="T24" s="1557"/>
      <c r="U24" s="1558"/>
      <c r="V24" s="1557"/>
      <c r="W24" s="1558"/>
      <c r="X24" s="1551"/>
      <c r="Y24" s="3790"/>
      <c r="Z24" s="1559"/>
      <c r="AA24" s="1560">
        <v>1</v>
      </c>
      <c r="AB24" s="1560">
        <v>1</v>
      </c>
      <c r="AC24" s="1560">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790"/>
      <c r="Q25" s="1556" t="str">
        <f>B25</f>
        <v>毗邻道路的类型与等级</v>
      </c>
      <c r="R25" s="1557" t="s">
        <v>8</v>
      </c>
      <c r="S25" s="1558">
        <f>F25</f>
        <v>100</v>
      </c>
      <c r="T25" s="1557" t="s">
        <v>8</v>
      </c>
      <c r="U25" s="1558">
        <f>H25</f>
        <v>100</v>
      </c>
      <c r="V25" s="1557" t="s">
        <v>8</v>
      </c>
      <c r="W25" s="1558">
        <f>J25</f>
        <v>100</v>
      </c>
      <c r="X25" s="1551"/>
      <c r="Y25" s="3790"/>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790"/>
      <c r="Q26" s="1556"/>
      <c r="R26" s="1557"/>
      <c r="S26" s="1558"/>
      <c r="T26" s="1557"/>
      <c r="U26" s="1558"/>
      <c r="V26" s="1557"/>
      <c r="W26" s="1558"/>
      <c r="X26" s="1551"/>
      <c r="Y26" s="3790"/>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790"/>
      <c r="Q27" s="1556" t="str">
        <f t="shared" ref="Q27:Q47" si="8">B27</f>
        <v>楼层</v>
      </c>
      <c r="R27" s="1557" t="s">
        <v>8</v>
      </c>
      <c r="S27" s="1558">
        <f>F27</f>
        <v>100</v>
      </c>
      <c r="T27" s="1557" t="s">
        <v>8</v>
      </c>
      <c r="U27" s="1558">
        <f>H27</f>
        <v>100</v>
      </c>
      <c r="V27" s="1557" t="s">
        <v>8</v>
      </c>
      <c r="W27" s="1558">
        <f>J27</f>
        <v>100</v>
      </c>
      <c r="X27" s="1551"/>
      <c r="Y27" s="3790"/>
      <c r="Z27" s="1559" t="str">
        <f>Q27</f>
        <v>楼层</v>
      </c>
      <c r="AA27" s="1560">
        <f t="shared" si="3"/>
        <v>1</v>
      </c>
      <c r="AB27" s="1560">
        <f t="shared" si="4"/>
        <v>1</v>
      </c>
      <c r="AC27" s="1560">
        <f t="shared" si="5"/>
        <v>1</v>
      </c>
    </row>
    <row r="28" spans="1:29" s="1213"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790"/>
      <c r="Q28" s="1144" t="str">
        <f t="shared" si="8"/>
        <v>朝向</v>
      </c>
      <c r="R28" s="1552" t="s">
        <v>8</v>
      </c>
      <c r="S28" s="1553">
        <f>F28</f>
        <v>100</v>
      </c>
      <c r="T28" s="1552" t="s">
        <v>8</v>
      </c>
      <c r="U28" s="1553">
        <f>H28</f>
        <v>100</v>
      </c>
      <c r="V28" s="1552" t="s">
        <v>8</v>
      </c>
      <c r="W28" s="1553">
        <f>J28</f>
        <v>100</v>
      </c>
      <c r="X28" s="1554"/>
      <c r="Y28" s="3790"/>
      <c r="Z28" s="1143"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790"/>
      <c r="Q29" s="1556">
        <f t="shared" si="8"/>
        <v>111</v>
      </c>
      <c r="R29" s="1557" t="s">
        <v>8</v>
      </c>
      <c r="S29" s="1558">
        <f t="shared" ref="S29:S47" si="9">F29</f>
        <v>100</v>
      </c>
      <c r="T29" s="1557" t="s">
        <v>8</v>
      </c>
      <c r="U29" s="1558">
        <f t="shared" ref="U29:U47" si="10">H29</f>
        <v>100</v>
      </c>
      <c r="V29" s="1557" t="s">
        <v>8</v>
      </c>
      <c r="W29" s="1558">
        <f t="shared" ref="W29:W47" si="11">J29</f>
        <v>100</v>
      </c>
      <c r="X29" s="1551"/>
      <c r="Y29" s="3790"/>
      <c r="Z29" s="1559">
        <f t="shared" ref="Z29:Z47" si="12">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790"/>
      <c r="Q30" s="1556">
        <f t="shared" si="8"/>
        <v>111</v>
      </c>
      <c r="R30" s="1557" t="s">
        <v>8</v>
      </c>
      <c r="S30" s="1558">
        <f t="shared" si="9"/>
        <v>100</v>
      </c>
      <c r="T30" s="1557" t="s">
        <v>8</v>
      </c>
      <c r="U30" s="1558">
        <f t="shared" si="10"/>
        <v>100</v>
      </c>
      <c r="V30" s="1557" t="s">
        <v>8</v>
      </c>
      <c r="W30" s="1558">
        <f t="shared" si="11"/>
        <v>100</v>
      </c>
      <c r="X30" s="1551"/>
      <c r="Y30" s="3790"/>
      <c r="Z30" s="1559">
        <f t="shared" si="12"/>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790"/>
      <c r="Q31" s="1556">
        <f t="shared" si="8"/>
        <v>111</v>
      </c>
      <c r="R31" s="1557" t="s">
        <v>8</v>
      </c>
      <c r="S31" s="1558">
        <f t="shared" si="9"/>
        <v>100</v>
      </c>
      <c r="T31" s="1557" t="s">
        <v>8</v>
      </c>
      <c r="U31" s="1558">
        <f t="shared" si="10"/>
        <v>100</v>
      </c>
      <c r="V31" s="1557" t="s">
        <v>8</v>
      </c>
      <c r="W31" s="1558">
        <f t="shared" si="11"/>
        <v>100</v>
      </c>
      <c r="X31" s="1551"/>
      <c r="Y31" s="3790"/>
      <c r="Z31" s="1559">
        <f t="shared" si="12"/>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790"/>
      <c r="Q32" s="1556">
        <f t="shared" si="8"/>
        <v>111</v>
      </c>
      <c r="R32" s="1557" t="s">
        <v>8</v>
      </c>
      <c r="S32" s="1558">
        <f t="shared" si="9"/>
        <v>100</v>
      </c>
      <c r="T32" s="1557" t="s">
        <v>8</v>
      </c>
      <c r="U32" s="1558">
        <f t="shared" si="10"/>
        <v>100</v>
      </c>
      <c r="V32" s="1557" t="s">
        <v>8</v>
      </c>
      <c r="W32" s="1558">
        <f t="shared" si="11"/>
        <v>100</v>
      </c>
      <c r="X32" s="1551"/>
      <c r="Y32" s="3790"/>
      <c r="Z32" s="1559">
        <f t="shared" si="12"/>
        <v>111</v>
      </c>
      <c r="AA32" s="1560">
        <f t="shared" si="3"/>
        <v>1</v>
      </c>
      <c r="AB32" s="1560">
        <f t="shared" si="4"/>
        <v>1</v>
      </c>
      <c r="AC32" s="1560">
        <f t="shared" si="5"/>
        <v>1</v>
      </c>
    </row>
    <row r="33" spans="1:29" ht="15">
      <c r="A33" s="2858" t="s">
        <v>2751</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791" t="s">
        <v>550</v>
      </c>
      <c r="Q33" s="1556" t="str">
        <f t="shared" si="8"/>
        <v>建筑类型</v>
      </c>
      <c r="R33" s="1557" t="s">
        <v>8</v>
      </c>
      <c r="S33" s="1558">
        <f t="shared" si="9"/>
        <v>100</v>
      </c>
      <c r="T33" s="1557" t="s">
        <v>8</v>
      </c>
      <c r="U33" s="1558">
        <f t="shared" si="10"/>
        <v>100</v>
      </c>
      <c r="V33" s="1557" t="s">
        <v>8</v>
      </c>
      <c r="W33" s="1558">
        <f t="shared" si="11"/>
        <v>100</v>
      </c>
      <c r="X33" s="1551"/>
      <c r="Y33" s="3792" t="s">
        <v>550</v>
      </c>
      <c r="Z33" s="1559" t="str">
        <f t="shared" si="12"/>
        <v>建筑类型</v>
      </c>
      <c r="AA33" s="1560">
        <f t="shared" si="3"/>
        <v>1</v>
      </c>
      <c r="AB33" s="1560">
        <f t="shared" si="4"/>
        <v>1</v>
      </c>
      <c r="AC33" s="1560">
        <f t="shared" si="5"/>
        <v>1</v>
      </c>
    </row>
    <row r="34" spans="1:29" s="1332"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792"/>
      <c r="Q34" s="1588" t="str">
        <f t="shared" si="8"/>
        <v>项目建筑规模</v>
      </c>
      <c r="R34" s="1561" t="s">
        <v>8</v>
      </c>
      <c r="S34" s="1562" t="e">
        <f t="shared" si="9"/>
        <v>#N/A</v>
      </c>
      <c r="T34" s="1561" t="s">
        <v>8</v>
      </c>
      <c r="U34" s="1562" t="e">
        <f t="shared" si="10"/>
        <v>#N/A</v>
      </c>
      <c r="V34" s="1561" t="s">
        <v>8</v>
      </c>
      <c r="W34" s="1562" t="e">
        <f t="shared" si="11"/>
        <v>#N/A</v>
      </c>
      <c r="X34" s="1563"/>
      <c r="Y34" s="3792"/>
      <c r="Z34" s="1564" t="str">
        <f t="shared" si="12"/>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792"/>
      <c r="Q35" s="1556" t="str">
        <f t="shared" si="8"/>
        <v>建筑结构</v>
      </c>
      <c r="R35" s="1557" t="s">
        <v>8</v>
      </c>
      <c r="S35" s="1558">
        <f t="shared" si="9"/>
        <v>100</v>
      </c>
      <c r="T35" s="1557" t="s">
        <v>8</v>
      </c>
      <c r="U35" s="1558">
        <f t="shared" si="10"/>
        <v>100</v>
      </c>
      <c r="V35" s="1557" t="s">
        <v>8</v>
      </c>
      <c r="W35" s="1558">
        <f t="shared" si="11"/>
        <v>100</v>
      </c>
      <c r="X35" s="1551"/>
      <c r="Y35" s="3792"/>
      <c r="Z35" s="1559" t="str">
        <f t="shared" si="12"/>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792"/>
      <c r="Q36" s="1556" t="str">
        <f t="shared" si="8"/>
        <v>公共部分装修</v>
      </c>
      <c r="R36" s="1557" t="s">
        <v>8</v>
      </c>
      <c r="S36" s="1558">
        <f t="shared" si="9"/>
        <v>100</v>
      </c>
      <c r="T36" s="1557" t="s">
        <v>8</v>
      </c>
      <c r="U36" s="1558">
        <f t="shared" si="10"/>
        <v>100</v>
      </c>
      <c r="V36" s="1557" t="s">
        <v>8</v>
      </c>
      <c r="W36" s="1558">
        <f t="shared" si="11"/>
        <v>100</v>
      </c>
      <c r="X36" s="1551"/>
      <c r="Y36" s="3792"/>
      <c r="Z36" s="1559" t="str">
        <f t="shared" si="12"/>
        <v>公共部分装修</v>
      </c>
      <c r="AA36" s="1560">
        <f t="shared" si="3"/>
        <v>1</v>
      </c>
      <c r="AB36" s="1560">
        <f t="shared" si="4"/>
        <v>1</v>
      </c>
      <c r="AC36" s="1560">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792"/>
      <c r="Q37" s="1556" t="str">
        <f t="shared" si="8"/>
        <v>成新度</v>
      </c>
      <c r="R37" s="1557" t="s">
        <v>8</v>
      </c>
      <c r="S37" s="1558" t="e">
        <f t="shared" si="9"/>
        <v>#N/A</v>
      </c>
      <c r="T37" s="1557" t="s">
        <v>8</v>
      </c>
      <c r="U37" s="1558" t="e">
        <f t="shared" si="10"/>
        <v>#N/A</v>
      </c>
      <c r="V37" s="1557" t="s">
        <v>8</v>
      </c>
      <c r="W37" s="1558" t="e">
        <f t="shared" si="11"/>
        <v>#N/A</v>
      </c>
      <c r="X37" s="1551"/>
      <c r="Y37" s="3792"/>
      <c r="Z37" s="1559" t="str">
        <f t="shared" si="12"/>
        <v>成新度</v>
      </c>
      <c r="AA37" s="1560" t="e">
        <f t="shared" si="3"/>
        <v>#N/A</v>
      </c>
      <c r="AB37" s="1560" t="e">
        <f t="shared" si="4"/>
        <v>#N/A</v>
      </c>
      <c r="AC37" s="1560" t="e">
        <f t="shared" si="5"/>
        <v>#N/A</v>
      </c>
    </row>
    <row r="38" spans="1:29" s="1213"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792"/>
      <c r="Q38" s="1144" t="str">
        <f t="shared" si="8"/>
        <v>写字楼等级</v>
      </c>
      <c r="R38" s="1552" t="s">
        <v>8</v>
      </c>
      <c r="S38" s="1553">
        <f t="shared" si="9"/>
        <v>100</v>
      </c>
      <c r="T38" s="1552" t="s">
        <v>8</v>
      </c>
      <c r="U38" s="1553">
        <f t="shared" si="10"/>
        <v>100</v>
      </c>
      <c r="V38" s="1552" t="s">
        <v>8</v>
      </c>
      <c r="W38" s="1553">
        <f t="shared" si="11"/>
        <v>100</v>
      </c>
      <c r="X38" s="1554"/>
      <c r="Y38" s="3792"/>
      <c r="Z38" s="1143" t="str">
        <f t="shared" si="12"/>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792" t="s">
        <v>550</v>
      </c>
      <c r="Q39" s="1556" t="str">
        <f t="shared" si="8"/>
        <v>物业管理</v>
      </c>
      <c r="R39" s="1557" t="s">
        <v>8</v>
      </c>
      <c r="S39" s="1558">
        <f t="shared" si="9"/>
        <v>100</v>
      </c>
      <c r="T39" s="1557" t="s">
        <v>8</v>
      </c>
      <c r="U39" s="1558">
        <f t="shared" si="10"/>
        <v>100</v>
      </c>
      <c r="V39" s="1557" t="s">
        <v>8</v>
      </c>
      <c r="W39" s="1558">
        <f t="shared" si="11"/>
        <v>100</v>
      </c>
      <c r="X39" s="1551"/>
      <c r="Y39" s="3792" t="s">
        <v>550</v>
      </c>
      <c r="Z39" s="1559" t="str">
        <f t="shared" si="12"/>
        <v>物业管理</v>
      </c>
      <c r="AA39" s="1560">
        <f t="shared" si="3"/>
        <v>1</v>
      </c>
      <c r="AB39" s="1560">
        <f t="shared" si="4"/>
        <v>1</v>
      </c>
      <c r="AC39" s="1560">
        <f t="shared" si="5"/>
        <v>1</v>
      </c>
    </row>
    <row r="40" spans="1:29" ht="15">
      <c r="A40" s="593"/>
      <c r="B40" s="1878"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792"/>
      <c r="Q40" s="1556" t="str">
        <f t="shared" si="8"/>
        <v>市政基础设施</v>
      </c>
      <c r="R40" s="1557" t="s">
        <v>8</v>
      </c>
      <c r="S40" s="1558">
        <f t="shared" si="9"/>
        <v>100</v>
      </c>
      <c r="T40" s="1557" t="s">
        <v>8</v>
      </c>
      <c r="U40" s="1558">
        <f t="shared" si="10"/>
        <v>100</v>
      </c>
      <c r="V40" s="1557" t="s">
        <v>8</v>
      </c>
      <c r="W40" s="1558">
        <f t="shared" si="11"/>
        <v>100</v>
      </c>
      <c r="X40" s="1551"/>
      <c r="Y40" s="3792"/>
      <c r="Z40" s="1559" t="str">
        <f t="shared" si="12"/>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792"/>
      <c r="Q41" s="1556" t="str">
        <f t="shared" si="8"/>
        <v>层高</v>
      </c>
      <c r="R41" s="1557" t="s">
        <v>8</v>
      </c>
      <c r="S41" s="1558">
        <f t="shared" si="9"/>
        <v>100</v>
      </c>
      <c r="T41" s="1557" t="s">
        <v>8</v>
      </c>
      <c r="U41" s="1558">
        <f t="shared" si="10"/>
        <v>100</v>
      </c>
      <c r="V41" s="1557" t="s">
        <v>8</v>
      </c>
      <c r="W41" s="1558">
        <f t="shared" si="11"/>
        <v>100</v>
      </c>
      <c r="X41" s="1551"/>
      <c r="Y41" s="3792"/>
      <c r="Z41" s="1559" t="str">
        <f t="shared" si="12"/>
        <v>层高</v>
      </c>
      <c r="AA41" s="1560">
        <f t="shared" si="3"/>
        <v>1</v>
      </c>
      <c r="AB41" s="1560">
        <f t="shared" si="4"/>
        <v>1</v>
      </c>
      <c r="AC41" s="1560">
        <f t="shared" si="5"/>
        <v>1</v>
      </c>
    </row>
    <row r="42" spans="1:29" s="1332"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792"/>
      <c r="Q42" s="1588" t="str">
        <f t="shared" si="8"/>
        <v>单套建筑面积</v>
      </c>
      <c r="R42" s="1561" t="s">
        <v>8</v>
      </c>
      <c r="S42" s="1562">
        <f t="shared" si="9"/>
        <v>100</v>
      </c>
      <c r="T42" s="1561" t="s">
        <v>8</v>
      </c>
      <c r="U42" s="1562">
        <f t="shared" si="10"/>
        <v>100</v>
      </c>
      <c r="V42" s="1561" t="s">
        <v>8</v>
      </c>
      <c r="W42" s="1562">
        <f t="shared" si="11"/>
        <v>100</v>
      </c>
      <c r="X42" s="1563"/>
      <c r="Y42" s="3792"/>
      <c r="Z42" s="1564" t="str">
        <f t="shared" si="12"/>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792"/>
      <c r="Q43" s="1556" t="str">
        <f t="shared" si="8"/>
        <v>内部装修</v>
      </c>
      <c r="R43" s="1557" t="s">
        <v>8</v>
      </c>
      <c r="S43" s="1558">
        <f t="shared" si="9"/>
        <v>100</v>
      </c>
      <c r="T43" s="1557" t="s">
        <v>8</v>
      </c>
      <c r="U43" s="1558">
        <f t="shared" si="10"/>
        <v>100</v>
      </c>
      <c r="V43" s="1557" t="s">
        <v>8</v>
      </c>
      <c r="W43" s="1558">
        <f t="shared" si="11"/>
        <v>100</v>
      </c>
      <c r="X43" s="1551"/>
      <c r="Y43" s="3792"/>
      <c r="Z43" s="1559" t="str">
        <f t="shared" si="12"/>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792"/>
      <c r="Q44" s="1556" t="str">
        <f t="shared" si="8"/>
        <v>内部装修维护情况</v>
      </c>
      <c r="R44" s="1557" t="s">
        <v>8</v>
      </c>
      <c r="S44" s="1558">
        <f t="shared" si="9"/>
        <v>100</v>
      </c>
      <c r="T44" s="1557" t="s">
        <v>8</v>
      </c>
      <c r="U44" s="1558">
        <f t="shared" si="10"/>
        <v>100</v>
      </c>
      <c r="V44" s="1557" t="s">
        <v>8</v>
      </c>
      <c r="W44" s="1558">
        <f t="shared" si="11"/>
        <v>100</v>
      </c>
      <c r="X44" s="1551"/>
      <c r="Y44" s="3792"/>
      <c r="Z44" s="1559" t="str">
        <f t="shared" si="12"/>
        <v>内部装修维护情况</v>
      </c>
      <c r="AA44" s="1560">
        <f t="shared" si="3"/>
        <v>1</v>
      </c>
      <c r="AB44" s="1560">
        <f t="shared" si="4"/>
        <v>1</v>
      </c>
      <c r="AC44" s="1560">
        <f t="shared" si="5"/>
        <v>1</v>
      </c>
    </row>
    <row r="45" spans="1:29" s="1213"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792"/>
      <c r="Q45" s="1144">
        <f t="shared" si="8"/>
        <v>111</v>
      </c>
      <c r="R45" s="1552" t="s">
        <v>8</v>
      </c>
      <c r="S45" s="1553">
        <f t="shared" si="9"/>
        <v>100</v>
      </c>
      <c r="T45" s="1552" t="s">
        <v>8</v>
      </c>
      <c r="U45" s="1553">
        <f t="shared" si="10"/>
        <v>100</v>
      </c>
      <c r="V45" s="1552" t="s">
        <v>8</v>
      </c>
      <c r="W45" s="1553">
        <f t="shared" si="11"/>
        <v>100</v>
      </c>
      <c r="X45" s="1554"/>
      <c r="Y45" s="3792"/>
      <c r="Z45" s="1143">
        <f t="shared" si="12"/>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792"/>
      <c r="Q46" s="1556">
        <f t="shared" si="8"/>
        <v>111</v>
      </c>
      <c r="R46" s="1557" t="s">
        <v>8</v>
      </c>
      <c r="S46" s="1558">
        <f t="shared" si="9"/>
        <v>100</v>
      </c>
      <c r="T46" s="1557" t="s">
        <v>8</v>
      </c>
      <c r="U46" s="1558">
        <f t="shared" si="10"/>
        <v>100</v>
      </c>
      <c r="V46" s="1557" t="s">
        <v>8</v>
      </c>
      <c r="W46" s="1558">
        <f t="shared" si="11"/>
        <v>100</v>
      </c>
      <c r="X46" s="1551"/>
      <c r="Y46" s="3792"/>
      <c r="Z46" s="1559">
        <f t="shared" si="12"/>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871"/>
      <c r="Q47" s="1556">
        <f t="shared" si="8"/>
        <v>111</v>
      </c>
      <c r="R47" s="1557" t="s">
        <v>8</v>
      </c>
      <c r="S47" s="1558">
        <f t="shared" si="9"/>
        <v>100</v>
      </c>
      <c r="T47" s="1557" t="s">
        <v>8</v>
      </c>
      <c r="U47" s="1558">
        <f t="shared" si="10"/>
        <v>100</v>
      </c>
      <c r="V47" s="1557" t="s">
        <v>8</v>
      </c>
      <c r="W47" s="1558">
        <f t="shared" si="11"/>
        <v>100</v>
      </c>
      <c r="X47" s="1551"/>
      <c r="Y47" s="3871"/>
      <c r="Z47" s="1559">
        <f t="shared" si="12"/>
        <v>111</v>
      </c>
      <c r="AA47" s="1560">
        <f t="shared" si="3"/>
        <v>1</v>
      </c>
      <c r="AB47" s="1560">
        <f t="shared" si="4"/>
        <v>1</v>
      </c>
      <c r="AC47" s="1560">
        <f t="shared" si="5"/>
        <v>1</v>
      </c>
    </row>
    <row r="48" spans="1:29" ht="15">
      <c r="A48" s="606" t="s">
        <v>736</v>
      </c>
      <c r="B48" s="885"/>
      <c r="C48" s="2587" t="s">
        <v>1</v>
      </c>
      <c r="D48" s="2588"/>
      <c r="E48" s="2589"/>
      <c r="F48" s="2590"/>
      <c r="G48" s="2591"/>
      <c r="H48" s="2592"/>
      <c r="I48" s="2589"/>
      <c r="J48" s="2592"/>
      <c r="K48" s="1594"/>
      <c r="L48" s="2127"/>
      <c r="M48" s="2117"/>
      <c r="N48" s="2117"/>
      <c r="O48" s="2117"/>
      <c r="P48" s="3809" t="str">
        <f>A48</f>
        <v>成交单价（元/平方米）</v>
      </c>
      <c r="Q48" s="3787"/>
      <c r="R48" s="3870">
        <f>E48</f>
        <v>0</v>
      </c>
      <c r="S48" s="3870"/>
      <c r="T48" s="3870">
        <f>G48</f>
        <v>0</v>
      </c>
      <c r="U48" s="3870"/>
      <c r="V48" s="3870">
        <f>I48</f>
        <v>0</v>
      </c>
      <c r="W48" s="3870"/>
      <c r="X48" s="1543"/>
      <c r="Y48" s="1565"/>
      <c r="Z48" s="1543"/>
      <c r="AA48" s="1543"/>
      <c r="AB48" s="1543"/>
      <c r="AC48" s="1543"/>
    </row>
    <row r="49" spans="1:29" ht="15.75" thickBot="1">
      <c r="A49" s="614" t="s">
        <v>2756</v>
      </c>
      <c r="B49" s="886"/>
      <c r="C49" s="2593" t="e">
        <f>R50</f>
        <v>#DIV/0!</v>
      </c>
      <c r="D49" s="2594"/>
      <c r="E49" s="2595" t="e">
        <f>R49</f>
        <v>#DIV/0!</v>
      </c>
      <c r="F49" s="2595"/>
      <c r="G49" s="2593" t="e">
        <f>T49</f>
        <v>#DIV/0!</v>
      </c>
      <c r="H49" s="2594"/>
      <c r="I49" s="2595" t="e">
        <f>V49</f>
        <v>#DIV/0!</v>
      </c>
      <c r="J49" s="2594"/>
      <c r="K49" s="1595"/>
      <c r="L49" s="2127"/>
      <c r="M49" s="2117"/>
      <c r="N49" s="2117"/>
      <c r="O49" s="2117"/>
      <c r="P49" s="3809" t="str">
        <f>A49</f>
        <v>比较价格（元/平方米）</v>
      </c>
      <c r="Q49" s="3787"/>
      <c r="R49" s="3870" t="e">
        <f>IF(F1="售价",ROUND(PRODUCT(R48,AA7:AA47),0),ROUND(PRODUCT(R48,AA7:AA47),1))</f>
        <v>#DIV/0!</v>
      </c>
      <c r="S49" s="3870"/>
      <c r="T49" s="3870" t="e">
        <f>IF(F1="售价",ROUND(PRODUCT(T48,AB7:AB47),0),ROUND(PRODUCT(T48,AB7:AB47),1))</f>
        <v>#DIV/0!</v>
      </c>
      <c r="U49" s="3870"/>
      <c r="V49" s="3870" t="e">
        <f>IF(F1="售价",ROUND(PRODUCT(V48,AC7:AC47),0),ROUND(PRODUCT(V48,AC7:AC47),1))</f>
        <v>#DIV/0!</v>
      </c>
      <c r="W49" s="3870"/>
      <c r="X49" s="1543"/>
      <c r="Y49" s="1543"/>
      <c r="Z49" s="1543"/>
      <c r="AA49" s="1543"/>
      <c r="AB49" s="1543"/>
      <c r="AC49" s="1543"/>
    </row>
    <row r="50" spans="1:29" ht="15.75" thickBot="1">
      <c r="A50" s="620" t="s">
        <v>2930</v>
      </c>
      <c r="B50" s="621"/>
      <c r="C50" s="2596" t="e">
        <f>R50</f>
        <v>#DIV/0!</v>
      </c>
      <c r="D50" s="2596"/>
      <c r="E50" s="2596"/>
      <c r="F50" s="2596"/>
      <c r="G50" s="2596"/>
      <c r="H50" s="2596"/>
      <c r="I50" s="2596"/>
      <c r="J50" s="2596"/>
      <c r="K50" s="1596"/>
      <c r="L50" s="2127"/>
      <c r="M50" s="2117"/>
      <c r="N50" s="2117"/>
      <c r="O50" s="2117"/>
      <c r="P50" s="3898" t="str">
        <f>A50</f>
        <v>估价对象XX用房的比较价格（楼面单价，元/平方米）</v>
      </c>
      <c r="Q50" s="3809"/>
      <c r="R50" s="3869" t="e">
        <f>IF(F1="售价",ROUND(AVERAGE(R49:V49),0),ROUND(AVERAGE(R49:V49),1))</f>
        <v>#DIV/0!</v>
      </c>
      <c r="S50" s="3869"/>
      <c r="T50" s="3869"/>
      <c r="U50" s="3869"/>
      <c r="V50" s="3869"/>
      <c r="W50" s="3869"/>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4" t="s">
        <v>529</v>
      </c>
      <c r="B59" s="645"/>
      <c r="C59" s="2753" t="str">
        <f>YEAR(C7)&amp;"-"&amp;MONTH(C7)</f>
        <v>2020-5</v>
      </c>
      <c r="D59" s="2755">
        <f>EDATE(C59,-1)</f>
        <v>43922</v>
      </c>
      <c r="E59" s="2755">
        <f t="shared" ref="E59:O59" si="13">EDATE(D59,-1)</f>
        <v>43891</v>
      </c>
      <c r="F59" s="2755">
        <f t="shared" si="13"/>
        <v>43862</v>
      </c>
      <c r="G59" s="2755">
        <f t="shared" si="13"/>
        <v>43831</v>
      </c>
      <c r="H59" s="2755">
        <f t="shared" si="13"/>
        <v>43800</v>
      </c>
      <c r="I59" s="2755">
        <f t="shared" si="13"/>
        <v>43770</v>
      </c>
      <c r="J59" s="2755">
        <f t="shared" si="13"/>
        <v>43739</v>
      </c>
      <c r="K59" s="2755">
        <f t="shared" si="13"/>
        <v>43709</v>
      </c>
      <c r="L59" s="2755">
        <f t="shared" si="13"/>
        <v>43678</v>
      </c>
      <c r="M59" s="2755">
        <f t="shared" si="13"/>
        <v>43647</v>
      </c>
      <c r="N59" s="2755">
        <f t="shared" si="13"/>
        <v>43617</v>
      </c>
      <c r="O59" s="2755">
        <f t="shared" si="13"/>
        <v>43586</v>
      </c>
      <c r="P59" s="2194"/>
      <c r="Q59" s="2144"/>
      <c r="R59" s="2144"/>
      <c r="S59" s="2144"/>
      <c r="T59" s="2144"/>
      <c r="U59" s="2144"/>
      <c r="V59" s="2144"/>
      <c r="W59" s="2144"/>
      <c r="X59" s="2144"/>
      <c r="Y59" s="2144"/>
      <c r="Z59" s="2144"/>
      <c r="AA59" s="2144"/>
      <c r="AB59" s="2144"/>
      <c r="AC59" s="2144"/>
    </row>
    <row r="60" spans="1:29" s="1213"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3"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3"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2554</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7" t="s">
        <v>2555</v>
      </c>
      <c r="C83" s="2558" t="s">
        <v>2556</v>
      </c>
      <c r="D83" s="2558" t="s">
        <v>2557</v>
      </c>
      <c r="E83" s="2558" t="s">
        <v>2558</v>
      </c>
      <c r="F83" s="2558" t="s">
        <v>2559</v>
      </c>
      <c r="G83" s="2558" t="s">
        <v>2560</v>
      </c>
      <c r="H83" s="673"/>
      <c r="I83" s="673"/>
      <c r="J83" s="673"/>
      <c r="K83" s="673"/>
      <c r="L83" s="673"/>
      <c r="M83" s="2561"/>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2553</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502" t="s">
        <v>788</v>
      </c>
      <c r="C1" s="503" t="s">
        <v>720</v>
      </c>
      <c r="D1" s="848"/>
      <c r="E1" s="505"/>
      <c r="F1" s="2758"/>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793" t="s">
        <v>522</v>
      </c>
      <c r="D4" s="3794"/>
      <c r="E4" s="3817" t="s">
        <v>523</v>
      </c>
      <c r="F4" s="3818"/>
      <c r="G4" s="3793" t="s">
        <v>524</v>
      </c>
      <c r="H4" s="3794"/>
      <c r="I4" s="3793" t="s">
        <v>525</v>
      </c>
      <c r="J4" s="3794"/>
      <c r="K4" s="513" t="s">
        <v>526</v>
      </c>
      <c r="L4" s="2116"/>
      <c r="M4" s="2117"/>
      <c r="N4" s="2117"/>
      <c r="O4" s="2117"/>
      <c r="P4" s="3795" t="s">
        <v>527</v>
      </c>
      <c r="Q4" s="3796"/>
      <c r="R4" s="3781" t="s">
        <v>523</v>
      </c>
      <c r="S4" s="3782"/>
      <c r="T4" s="3781" t="s">
        <v>524</v>
      </c>
      <c r="U4" s="3782"/>
      <c r="V4" s="3801" t="s">
        <v>525</v>
      </c>
      <c r="W4" s="3801"/>
      <c r="X4" s="1551"/>
      <c r="Y4" s="3781" t="s">
        <v>527</v>
      </c>
      <c r="Z4" s="3782"/>
      <c r="AA4" s="3776" t="s">
        <v>523</v>
      </c>
      <c r="AB4" s="3777" t="s">
        <v>524</v>
      </c>
      <c r="AC4" s="3776" t="s">
        <v>525</v>
      </c>
    </row>
    <row r="5" spans="1:29" ht="15">
      <c r="A5" s="514"/>
      <c r="B5" s="515"/>
      <c r="C5" s="3804" t="s">
        <v>2924</v>
      </c>
      <c r="D5" s="3805"/>
      <c r="E5" s="3819" t="s">
        <v>2925</v>
      </c>
      <c r="F5" s="3820"/>
      <c r="G5" s="3804" t="s">
        <v>2926</v>
      </c>
      <c r="H5" s="3805"/>
      <c r="I5" s="3804" t="s">
        <v>2927</v>
      </c>
      <c r="J5" s="3805"/>
      <c r="K5" s="513"/>
      <c r="L5" s="2116"/>
      <c r="M5" s="2117"/>
      <c r="N5" s="2117"/>
      <c r="O5" s="2117"/>
      <c r="P5" s="3797"/>
      <c r="Q5" s="3798"/>
      <c r="R5" s="3783"/>
      <c r="S5" s="3784"/>
      <c r="T5" s="3783"/>
      <c r="U5" s="3784"/>
      <c r="V5" s="3801"/>
      <c r="W5" s="3801"/>
      <c r="X5" s="1551"/>
      <c r="Y5" s="3783"/>
      <c r="Z5" s="3784"/>
      <c r="AA5" s="3777"/>
      <c r="AB5" s="3777"/>
      <c r="AC5" s="3777"/>
    </row>
    <row r="6" spans="1:29" ht="15.75" thickBot="1">
      <c r="A6" s="516"/>
      <c r="B6" s="517"/>
      <c r="C6" s="3802" t="s">
        <v>2928</v>
      </c>
      <c r="D6" s="3803"/>
      <c r="E6" s="3821" t="s">
        <v>2928</v>
      </c>
      <c r="F6" s="3822"/>
      <c r="G6" s="3802" t="s">
        <v>2928</v>
      </c>
      <c r="H6" s="3803"/>
      <c r="I6" s="3802" t="s">
        <v>2928</v>
      </c>
      <c r="J6" s="3803"/>
      <c r="K6" s="513" t="s">
        <v>528</v>
      </c>
      <c r="L6" s="2116"/>
      <c r="M6" s="2117"/>
      <c r="N6" s="2117"/>
      <c r="O6" s="2117"/>
      <c r="P6" s="3799"/>
      <c r="Q6" s="3800"/>
      <c r="R6" s="3783"/>
      <c r="S6" s="3784"/>
      <c r="T6" s="3785"/>
      <c r="U6" s="3786"/>
      <c r="V6" s="3801"/>
      <c r="W6" s="3801"/>
      <c r="X6" s="1551"/>
      <c r="Y6" s="3785"/>
      <c r="Z6" s="3786"/>
      <c r="AA6" s="3778"/>
      <c r="AB6" s="3778"/>
      <c r="AC6" s="3778"/>
    </row>
    <row r="7" spans="1:29" s="1213" customFormat="1" ht="15.75" thickBot="1">
      <c r="A7" s="2863"/>
      <c r="B7" s="2870" t="s">
        <v>529</v>
      </c>
      <c r="C7" s="518">
        <f>'数据-取费表'!B2</f>
        <v>43965</v>
      </c>
      <c r="D7" s="519">
        <v>100</v>
      </c>
      <c r="E7" s="520"/>
      <c r="F7" s="521">
        <f>SUMIF(52:52,YEAR(E7)&amp;"-"&amp;MONTH(E7),53:53)</f>
        <v>0</v>
      </c>
      <c r="G7" s="520"/>
      <c r="H7" s="519">
        <f>SUMIF(52:52,YEAR(G7)&amp;"-"&amp;MONTH(G7),53:53)</f>
        <v>0</v>
      </c>
      <c r="I7" s="520"/>
      <c r="J7" s="519">
        <f>SUMIF(52:52,YEAR(I7)&amp;"-"&amp;MONTH(I7),53:53)</f>
        <v>0</v>
      </c>
      <c r="K7" s="523"/>
      <c r="L7" s="2118"/>
      <c r="M7" s="2119"/>
      <c r="N7" s="2119"/>
      <c r="O7" s="2119"/>
      <c r="P7" s="3779" t="s">
        <v>530</v>
      </c>
      <c r="Q7" s="3788"/>
      <c r="R7" s="1552" t="s">
        <v>8</v>
      </c>
      <c r="S7" s="1553">
        <f t="shared" ref="S7:S15" si="0">F7</f>
        <v>0</v>
      </c>
      <c r="T7" s="1552" t="s">
        <v>8</v>
      </c>
      <c r="U7" s="1553">
        <f t="shared" ref="U7:U15" si="1">H7</f>
        <v>0</v>
      </c>
      <c r="V7" s="1552" t="s">
        <v>8</v>
      </c>
      <c r="W7" s="1553">
        <f t="shared" ref="W7:W15" si="2">J7</f>
        <v>0</v>
      </c>
      <c r="X7" s="1554"/>
      <c r="Y7" s="3779" t="s">
        <v>530</v>
      </c>
      <c r="Z7" s="3780"/>
      <c r="AA7" s="1555" t="e">
        <f>D7/F7</f>
        <v>#DIV/0!</v>
      </c>
      <c r="AB7" s="1555" t="e">
        <f>D7/H7</f>
        <v>#DIV/0!</v>
      </c>
      <c r="AC7" s="1555" t="e">
        <f>D7/J7</f>
        <v>#DIV/0!</v>
      </c>
    </row>
    <row r="8" spans="1:29" s="1213" customFormat="1" ht="15.75" thickBot="1">
      <c r="A8" s="2864"/>
      <c r="B8" s="2871"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779" t="s">
        <v>533</v>
      </c>
      <c r="Q8" s="3780"/>
      <c r="R8" s="1552" t="s">
        <v>8</v>
      </c>
      <c r="S8" s="1553">
        <f t="shared" si="0"/>
        <v>0</v>
      </c>
      <c r="T8" s="1552" t="s">
        <v>8</v>
      </c>
      <c r="U8" s="1553">
        <f t="shared" si="1"/>
        <v>0</v>
      </c>
      <c r="V8" s="1552" t="s">
        <v>8</v>
      </c>
      <c r="W8" s="1553">
        <f t="shared" si="2"/>
        <v>0</v>
      </c>
      <c r="X8" s="1554"/>
      <c r="Y8" s="3779" t="s">
        <v>533</v>
      </c>
      <c r="Z8" s="3780"/>
      <c r="AA8" s="1555" t="e">
        <f t="shared" ref="AA8:AA40" si="3">D8/F8</f>
        <v>#DIV/0!</v>
      </c>
      <c r="AB8" s="1555" t="e">
        <f t="shared" ref="AB8:AB40" si="4">D8/H8</f>
        <v>#DIV/0!</v>
      </c>
      <c r="AC8" s="1555" t="e">
        <f t="shared" ref="AC8:AC40" si="5">D8/J8</f>
        <v>#DIV/0!</v>
      </c>
    </row>
    <row r="9" spans="1:29" s="1213" customFormat="1" ht="15">
      <c r="A9" s="2865"/>
      <c r="B9" s="2872" t="s">
        <v>2752</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787" t="s">
        <v>535</v>
      </c>
      <c r="Q9" s="1144" t="str">
        <f t="shared" ref="Q9:Q15" si="6">B9</f>
        <v>用途</v>
      </c>
      <c r="R9" s="1552" t="s">
        <v>8</v>
      </c>
      <c r="S9" s="1553">
        <f t="shared" si="0"/>
        <v>100</v>
      </c>
      <c r="T9" s="1552" t="s">
        <v>8</v>
      </c>
      <c r="U9" s="1553">
        <f t="shared" si="1"/>
        <v>100</v>
      </c>
      <c r="V9" s="1552" t="s">
        <v>8</v>
      </c>
      <c r="W9" s="1553">
        <f t="shared" si="2"/>
        <v>100</v>
      </c>
      <c r="X9" s="1554"/>
      <c r="Y9" s="3744" t="s">
        <v>536</v>
      </c>
      <c r="Z9" s="1143" t="str">
        <f t="shared" ref="Z9:Z15" si="7">Q9</f>
        <v>用途</v>
      </c>
      <c r="AA9" s="1555">
        <f t="shared" si="3"/>
        <v>1</v>
      </c>
      <c r="AB9" s="1555">
        <f t="shared" si="4"/>
        <v>1</v>
      </c>
      <c r="AC9" s="1555">
        <f t="shared" si="5"/>
        <v>1</v>
      </c>
    </row>
    <row r="10" spans="1:29" s="1331" customFormat="1" ht="27">
      <c r="A10" s="2866"/>
      <c r="B10" s="2871" t="s">
        <v>2753</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787"/>
      <c r="Q10" s="1144" t="str">
        <f t="shared" si="6"/>
        <v>土地使用年限（年）</v>
      </c>
      <c r="R10" s="1552" t="s">
        <v>8</v>
      </c>
      <c r="S10" s="1553">
        <f t="shared" si="0"/>
        <v>100</v>
      </c>
      <c r="T10" s="1552" t="s">
        <v>8</v>
      </c>
      <c r="U10" s="1553">
        <f t="shared" si="1"/>
        <v>100</v>
      </c>
      <c r="V10" s="1552" t="s">
        <v>8</v>
      </c>
      <c r="W10" s="1553">
        <f t="shared" si="2"/>
        <v>100</v>
      </c>
      <c r="X10" s="1554"/>
      <c r="Y10" s="3744"/>
      <c r="Z10" s="1143" t="str">
        <f t="shared" si="7"/>
        <v>土地使用年限（年）</v>
      </c>
      <c r="AA10" s="1555">
        <f t="shared" si="3"/>
        <v>1</v>
      </c>
      <c r="AB10" s="1555">
        <f t="shared" si="4"/>
        <v>1</v>
      </c>
      <c r="AC10" s="1555">
        <f t="shared" si="5"/>
        <v>1</v>
      </c>
    </row>
    <row r="11" spans="1:29" ht="15">
      <c r="A11" s="2867"/>
      <c r="B11" s="2871"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787"/>
      <c r="Q11" s="1144" t="str">
        <f t="shared" si="6"/>
        <v>容积率</v>
      </c>
      <c r="R11" s="1552" t="s">
        <v>8</v>
      </c>
      <c r="S11" s="1553" t="e">
        <f t="shared" si="0"/>
        <v>#N/A</v>
      </c>
      <c r="T11" s="1552" t="s">
        <v>8</v>
      </c>
      <c r="U11" s="1553" t="e">
        <f t="shared" si="1"/>
        <v>#N/A</v>
      </c>
      <c r="V11" s="1552" t="s">
        <v>8</v>
      </c>
      <c r="W11" s="1553" t="e">
        <f t="shared" si="2"/>
        <v>#N/A</v>
      </c>
      <c r="X11" s="1554"/>
      <c r="Y11" s="3744"/>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787"/>
      <c r="Q12" s="1144">
        <f t="shared" si="6"/>
        <v>111</v>
      </c>
      <c r="R12" s="1552" t="s">
        <v>8</v>
      </c>
      <c r="S12" s="1553">
        <f t="shared" si="0"/>
        <v>100</v>
      </c>
      <c r="T12" s="1552" t="s">
        <v>8</v>
      </c>
      <c r="U12" s="1553">
        <f t="shared" si="1"/>
        <v>100</v>
      </c>
      <c r="V12" s="1552" t="s">
        <v>8</v>
      </c>
      <c r="W12" s="1553">
        <f t="shared" si="2"/>
        <v>100</v>
      </c>
      <c r="X12" s="1554"/>
      <c r="Y12" s="3744"/>
      <c r="Z12" s="1143">
        <f t="shared" si="7"/>
        <v>111</v>
      </c>
      <c r="AA12" s="1555">
        <f>D12/F12</f>
        <v>1</v>
      </c>
      <c r="AB12" s="1555">
        <f>D12/H12</f>
        <v>1</v>
      </c>
      <c r="AC12" s="1555">
        <f>D12/J12</f>
        <v>1</v>
      </c>
    </row>
    <row r="13" spans="1:29" ht="15">
      <c r="A13" s="2868"/>
      <c r="B13" s="2874">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787"/>
      <c r="Q13" s="1144">
        <f t="shared" si="6"/>
        <v>111</v>
      </c>
      <c r="R13" s="1552" t="s">
        <v>8</v>
      </c>
      <c r="S13" s="1553">
        <f t="shared" si="0"/>
        <v>100</v>
      </c>
      <c r="T13" s="1552" t="s">
        <v>8</v>
      </c>
      <c r="U13" s="1553">
        <f t="shared" si="1"/>
        <v>100</v>
      </c>
      <c r="V13" s="1552" t="s">
        <v>8</v>
      </c>
      <c r="W13" s="1553">
        <f t="shared" si="2"/>
        <v>100</v>
      </c>
      <c r="X13" s="1554"/>
      <c r="Y13" s="3744"/>
      <c r="Z13" s="1143">
        <f t="shared" si="7"/>
        <v>111</v>
      </c>
      <c r="AA13" s="1555">
        <f t="shared" si="3"/>
        <v>1</v>
      </c>
      <c r="AB13" s="1555">
        <f t="shared" si="4"/>
        <v>1</v>
      </c>
      <c r="AC13" s="1555">
        <f t="shared" si="5"/>
        <v>1</v>
      </c>
    </row>
    <row r="14" spans="1:29" ht="15.75" thickBot="1">
      <c r="A14" s="2869"/>
      <c r="B14" s="2875">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787"/>
      <c r="Q14" s="1144">
        <f t="shared" si="6"/>
        <v>111</v>
      </c>
      <c r="R14" s="1552" t="s">
        <v>8</v>
      </c>
      <c r="S14" s="1553">
        <f t="shared" si="0"/>
        <v>100</v>
      </c>
      <c r="T14" s="1552" t="s">
        <v>8</v>
      </c>
      <c r="U14" s="1553">
        <f t="shared" si="1"/>
        <v>100</v>
      </c>
      <c r="V14" s="1552" t="s">
        <v>8</v>
      </c>
      <c r="W14" s="1553">
        <f t="shared" si="2"/>
        <v>100</v>
      </c>
      <c r="X14" s="1554"/>
      <c r="Y14" s="3744"/>
      <c r="Z14" s="1143">
        <f t="shared" si="7"/>
        <v>111</v>
      </c>
      <c r="AA14" s="1555">
        <f t="shared" si="3"/>
        <v>1</v>
      </c>
      <c r="AB14" s="1555">
        <f t="shared" si="4"/>
        <v>1</v>
      </c>
      <c r="AC14" s="1555">
        <f t="shared" si="5"/>
        <v>1</v>
      </c>
    </row>
    <row r="15" spans="1:29" ht="57">
      <c r="A15" s="2861" t="s">
        <v>2750</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789" t="s">
        <v>540</v>
      </c>
      <c r="Q15" s="1556" t="str">
        <f t="shared" si="6"/>
        <v>产业集聚程度</v>
      </c>
      <c r="R15" s="1557" t="s">
        <v>8</v>
      </c>
      <c r="S15" s="1558">
        <f t="shared" si="0"/>
        <v>100</v>
      </c>
      <c r="T15" s="1557" t="s">
        <v>8</v>
      </c>
      <c r="U15" s="1558">
        <f t="shared" si="1"/>
        <v>100</v>
      </c>
      <c r="V15" s="1557" t="s">
        <v>8</v>
      </c>
      <c r="W15" s="1558">
        <f t="shared" si="2"/>
        <v>100</v>
      </c>
      <c r="X15" s="1551"/>
      <c r="Y15" s="3789"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790"/>
      <c r="Q16" s="1556"/>
      <c r="R16" s="1557"/>
      <c r="S16" s="1558"/>
      <c r="T16" s="1557"/>
      <c r="U16" s="1558"/>
      <c r="V16" s="1557"/>
      <c r="W16" s="1558"/>
      <c r="X16" s="1551"/>
      <c r="Y16" s="3790"/>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790"/>
      <c r="Q17" s="1556" t="str">
        <f>B17</f>
        <v>交通便捷度</v>
      </c>
      <c r="R17" s="1557" t="s">
        <v>8</v>
      </c>
      <c r="S17" s="1558">
        <f>F17</f>
        <v>100</v>
      </c>
      <c r="T17" s="1557" t="s">
        <v>8</v>
      </c>
      <c r="U17" s="1558">
        <f>H17</f>
        <v>100</v>
      </c>
      <c r="V17" s="1557" t="s">
        <v>8</v>
      </c>
      <c r="W17" s="1558">
        <f>J17</f>
        <v>100</v>
      </c>
      <c r="X17" s="1551"/>
      <c r="Y17" s="379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790"/>
      <c r="Q18" s="1556"/>
      <c r="R18" s="1557"/>
      <c r="S18" s="1558"/>
      <c r="T18" s="1557"/>
      <c r="U18" s="1558"/>
      <c r="V18" s="1557"/>
      <c r="W18" s="1558"/>
      <c r="X18" s="1551"/>
      <c r="Y18" s="3790"/>
      <c r="Z18" s="1559"/>
      <c r="AA18" s="1560">
        <v>1</v>
      </c>
      <c r="AB18" s="1560">
        <v>1</v>
      </c>
      <c r="AC18" s="1560">
        <v>1</v>
      </c>
    </row>
    <row r="19" spans="1:29" ht="42.75">
      <c r="A19" s="531"/>
      <c r="B19" s="2563"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790"/>
      <c r="Q19" s="1556" t="str">
        <f>B19</f>
        <v>公共配套设施</v>
      </c>
      <c r="R19" s="1557" t="s">
        <v>8</v>
      </c>
      <c r="S19" s="1558">
        <f>F19</f>
        <v>100</v>
      </c>
      <c r="T19" s="1557" t="s">
        <v>8</v>
      </c>
      <c r="U19" s="1558">
        <f>H19</f>
        <v>100</v>
      </c>
      <c r="V19" s="1557" t="s">
        <v>8</v>
      </c>
      <c r="W19" s="1558">
        <f>J19</f>
        <v>100</v>
      </c>
      <c r="X19" s="1551"/>
      <c r="Y19" s="3790"/>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790"/>
      <c r="Q20" s="1556"/>
      <c r="R20" s="1557"/>
      <c r="S20" s="1558"/>
      <c r="T20" s="1557"/>
      <c r="U20" s="1558"/>
      <c r="V20" s="1557"/>
      <c r="W20" s="1558"/>
      <c r="X20" s="1551"/>
      <c r="Y20" s="3790"/>
      <c r="Z20" s="1559"/>
      <c r="AA20" s="1560">
        <v>1</v>
      </c>
      <c r="AB20" s="1560">
        <v>1</v>
      </c>
      <c r="AC20" s="1560">
        <v>1</v>
      </c>
    </row>
    <row r="21" spans="1:29" ht="28.5">
      <c r="A21" s="531"/>
      <c r="B21" s="2551"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790"/>
      <c r="Q21" s="2539" t="str">
        <f>B21</f>
        <v>基础设施水平</v>
      </c>
      <c r="R21" s="1557" t="s">
        <v>8</v>
      </c>
      <c r="S21" s="1558">
        <f>F21</f>
        <v>100</v>
      </c>
      <c r="T21" s="1557" t="s">
        <v>8</v>
      </c>
      <c r="U21" s="1558">
        <f>H21</f>
        <v>100</v>
      </c>
      <c r="V21" s="1557" t="s">
        <v>8</v>
      </c>
      <c r="W21" s="1558">
        <f>J21</f>
        <v>100</v>
      </c>
      <c r="X21" s="2541"/>
      <c r="Y21" s="3790"/>
      <c r="Z21" s="2540" t="str">
        <f>Q21</f>
        <v>基础设施水平</v>
      </c>
      <c r="AA21" s="1560">
        <f>D21/F21</f>
        <v>1</v>
      </c>
      <c r="AB21" s="1560">
        <f>D21/H21</f>
        <v>1</v>
      </c>
      <c r="AC21" s="1560">
        <f>D21/J21</f>
        <v>1</v>
      </c>
    </row>
    <row r="22" spans="1:29" ht="15">
      <c r="A22" s="531"/>
      <c r="B22" s="577"/>
      <c r="C22" s="872"/>
      <c r="D22" s="554"/>
      <c r="E22" s="575"/>
      <c r="F22" s="556"/>
      <c r="G22" s="575"/>
      <c r="H22" s="554"/>
      <c r="I22" s="575"/>
      <c r="J22" s="554"/>
      <c r="K22" s="2562"/>
      <c r="L22" s="2125"/>
      <c r="M22" s="2117"/>
      <c r="N22" s="2117"/>
      <c r="O22" s="2124"/>
      <c r="P22" s="3790"/>
      <c r="Q22" s="2539"/>
      <c r="R22" s="1557"/>
      <c r="S22" s="1558"/>
      <c r="T22" s="1557"/>
      <c r="U22" s="1558"/>
      <c r="V22" s="1557"/>
      <c r="W22" s="1558"/>
      <c r="X22" s="2541"/>
      <c r="Y22" s="3790"/>
      <c r="Z22" s="2540"/>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790"/>
      <c r="Q23" s="1556" t="str">
        <f>B23</f>
        <v>环境质量</v>
      </c>
      <c r="R23" s="1557" t="s">
        <v>8</v>
      </c>
      <c r="S23" s="1558">
        <f>F23</f>
        <v>100</v>
      </c>
      <c r="T23" s="1557" t="s">
        <v>8</v>
      </c>
      <c r="U23" s="1558">
        <f>H23</f>
        <v>100</v>
      </c>
      <c r="V23" s="1557" t="s">
        <v>8</v>
      </c>
      <c r="W23" s="1558">
        <f>J23</f>
        <v>100</v>
      </c>
      <c r="X23" s="1551"/>
      <c r="Y23" s="3790"/>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790"/>
      <c r="Q24" s="1556"/>
      <c r="R24" s="1557"/>
      <c r="S24" s="1558"/>
      <c r="T24" s="1557"/>
      <c r="U24" s="1558"/>
      <c r="V24" s="1557"/>
      <c r="W24" s="1558"/>
      <c r="X24" s="1551"/>
      <c r="Y24" s="3790"/>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790"/>
      <c r="Q25" s="1556">
        <f>B25</f>
        <v>111</v>
      </c>
      <c r="R25" s="1557" t="s">
        <v>8</v>
      </c>
      <c r="S25" s="1558">
        <f>F25</f>
        <v>100</v>
      </c>
      <c r="T25" s="1557" t="s">
        <v>8</v>
      </c>
      <c r="U25" s="1558">
        <f>H25</f>
        <v>100</v>
      </c>
      <c r="V25" s="1557" t="s">
        <v>8</v>
      </c>
      <c r="W25" s="1558">
        <f>J25</f>
        <v>100</v>
      </c>
      <c r="X25" s="1551"/>
      <c r="Y25" s="3790"/>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790"/>
      <c r="Q26" s="1556">
        <f t="shared" ref="Q26:Q40" si="8">B26</f>
        <v>111</v>
      </c>
      <c r="R26" s="1557" t="s">
        <v>8</v>
      </c>
      <c r="S26" s="1558">
        <f>F26</f>
        <v>100</v>
      </c>
      <c r="T26" s="1557" t="s">
        <v>8</v>
      </c>
      <c r="U26" s="1558">
        <f>H26</f>
        <v>100</v>
      </c>
      <c r="V26" s="1557" t="s">
        <v>8</v>
      </c>
      <c r="W26" s="1558">
        <f>J26</f>
        <v>100</v>
      </c>
      <c r="X26" s="1551"/>
      <c r="Y26" s="3790"/>
      <c r="Z26" s="1559">
        <f>Q26</f>
        <v>111</v>
      </c>
      <c r="AA26" s="1560">
        <f t="shared" si="3"/>
        <v>1</v>
      </c>
      <c r="AB26" s="1560">
        <f t="shared" si="4"/>
        <v>1</v>
      </c>
      <c r="AC26" s="1560">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790"/>
      <c r="Q27" s="1144">
        <f t="shared" si="8"/>
        <v>111</v>
      </c>
      <c r="R27" s="1552" t="s">
        <v>8</v>
      </c>
      <c r="S27" s="1553">
        <f>F27</f>
        <v>100</v>
      </c>
      <c r="T27" s="1552" t="s">
        <v>8</v>
      </c>
      <c r="U27" s="1553">
        <f>H27</f>
        <v>100</v>
      </c>
      <c r="V27" s="1552" t="s">
        <v>8</v>
      </c>
      <c r="W27" s="1553">
        <f>J27</f>
        <v>100</v>
      </c>
      <c r="X27" s="1554"/>
      <c r="Y27" s="3790"/>
      <c r="Z27" s="1143">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790"/>
      <c r="Q28" s="1556">
        <f t="shared" si="8"/>
        <v>111</v>
      </c>
      <c r="R28" s="1557" t="s">
        <v>8</v>
      </c>
      <c r="S28" s="1558">
        <f t="shared" ref="S28:S40" si="9">F28</f>
        <v>100</v>
      </c>
      <c r="T28" s="1557" t="s">
        <v>8</v>
      </c>
      <c r="U28" s="1558">
        <f t="shared" ref="U28:U40" si="10">H28</f>
        <v>100</v>
      </c>
      <c r="V28" s="1557" t="s">
        <v>8</v>
      </c>
      <c r="W28" s="1558">
        <f t="shared" ref="W28:W40" si="11">J28</f>
        <v>100</v>
      </c>
      <c r="X28" s="1551"/>
      <c r="Y28" s="3790"/>
      <c r="Z28" s="1559">
        <f t="shared" ref="Z28:Z40" si="12">Q28</f>
        <v>111</v>
      </c>
      <c r="AA28" s="1560">
        <f t="shared" si="3"/>
        <v>1</v>
      </c>
      <c r="AB28" s="1560">
        <f t="shared" si="4"/>
        <v>1</v>
      </c>
      <c r="AC28" s="1560">
        <f t="shared" si="5"/>
        <v>1</v>
      </c>
    </row>
    <row r="29" spans="1:29" ht="15">
      <c r="A29" s="2858" t="s">
        <v>2751</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791" t="s">
        <v>550</v>
      </c>
      <c r="Q29" s="1556" t="str">
        <f t="shared" si="8"/>
        <v>建筑类型</v>
      </c>
      <c r="R29" s="1557" t="s">
        <v>8</v>
      </c>
      <c r="S29" s="1558">
        <f t="shared" si="9"/>
        <v>100</v>
      </c>
      <c r="T29" s="1557" t="s">
        <v>8</v>
      </c>
      <c r="U29" s="1558">
        <f t="shared" si="10"/>
        <v>100</v>
      </c>
      <c r="V29" s="1557" t="s">
        <v>8</v>
      </c>
      <c r="W29" s="1558">
        <f t="shared" si="11"/>
        <v>100</v>
      </c>
      <c r="X29" s="1551"/>
      <c r="Y29" s="3792" t="s">
        <v>550</v>
      </c>
      <c r="Z29" s="1559" t="str">
        <f t="shared" si="12"/>
        <v>建筑类型</v>
      </c>
      <c r="AA29" s="1560">
        <f t="shared" si="3"/>
        <v>1</v>
      </c>
      <c r="AB29" s="1560">
        <f t="shared" si="4"/>
        <v>1</v>
      </c>
      <c r="AC29" s="1560">
        <f t="shared" si="5"/>
        <v>1</v>
      </c>
    </row>
    <row r="30" spans="1:29" s="1332"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792"/>
      <c r="Q30" s="1588" t="str">
        <f t="shared" si="8"/>
        <v>项目建筑规模</v>
      </c>
      <c r="R30" s="1561" t="s">
        <v>8</v>
      </c>
      <c r="S30" s="1562" t="e">
        <f t="shared" si="9"/>
        <v>#N/A</v>
      </c>
      <c r="T30" s="1561" t="s">
        <v>8</v>
      </c>
      <c r="U30" s="1562" t="e">
        <f t="shared" si="10"/>
        <v>#N/A</v>
      </c>
      <c r="V30" s="1561" t="s">
        <v>8</v>
      </c>
      <c r="W30" s="1562" t="e">
        <f t="shared" si="11"/>
        <v>#N/A</v>
      </c>
      <c r="X30" s="1563"/>
      <c r="Y30" s="3792"/>
      <c r="Z30" s="1564" t="str">
        <f t="shared" si="12"/>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792"/>
      <c r="Q31" s="1556" t="str">
        <f t="shared" si="8"/>
        <v>建筑结构</v>
      </c>
      <c r="R31" s="1557" t="s">
        <v>8</v>
      </c>
      <c r="S31" s="1558">
        <f t="shared" si="9"/>
        <v>100</v>
      </c>
      <c r="T31" s="1557" t="s">
        <v>8</v>
      </c>
      <c r="U31" s="1558">
        <f t="shared" si="10"/>
        <v>100</v>
      </c>
      <c r="V31" s="1557" t="s">
        <v>8</v>
      </c>
      <c r="W31" s="1558">
        <f t="shared" si="11"/>
        <v>100</v>
      </c>
      <c r="X31" s="1551"/>
      <c r="Y31" s="3792"/>
      <c r="Z31" s="1559" t="str">
        <f t="shared" si="12"/>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792"/>
      <c r="Q32" s="1556" t="str">
        <f t="shared" si="8"/>
        <v>公共部分装修</v>
      </c>
      <c r="R32" s="1557" t="s">
        <v>8</v>
      </c>
      <c r="S32" s="1558">
        <f t="shared" si="9"/>
        <v>100</v>
      </c>
      <c r="T32" s="1557" t="s">
        <v>8</v>
      </c>
      <c r="U32" s="1558">
        <f t="shared" si="10"/>
        <v>100</v>
      </c>
      <c r="V32" s="1557" t="s">
        <v>8</v>
      </c>
      <c r="W32" s="1558">
        <f t="shared" si="11"/>
        <v>100</v>
      </c>
      <c r="X32" s="1551"/>
      <c r="Y32" s="3792"/>
      <c r="Z32" s="1559" t="str">
        <f t="shared" si="12"/>
        <v>公共部分装修</v>
      </c>
      <c r="AA32" s="1560">
        <f t="shared" si="3"/>
        <v>1</v>
      </c>
      <c r="AB32" s="1560">
        <f t="shared" si="4"/>
        <v>1</v>
      </c>
      <c r="AC32" s="1560">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792"/>
      <c r="Q33" s="1556" t="str">
        <f t="shared" si="8"/>
        <v>成新度</v>
      </c>
      <c r="R33" s="1557" t="s">
        <v>8</v>
      </c>
      <c r="S33" s="1558" t="e">
        <f t="shared" si="9"/>
        <v>#N/A</v>
      </c>
      <c r="T33" s="1557" t="s">
        <v>8</v>
      </c>
      <c r="U33" s="1558" t="e">
        <f t="shared" si="10"/>
        <v>#N/A</v>
      </c>
      <c r="V33" s="1557" t="s">
        <v>8</v>
      </c>
      <c r="W33" s="1558" t="e">
        <f t="shared" si="11"/>
        <v>#N/A</v>
      </c>
      <c r="X33" s="1551"/>
      <c r="Y33" s="3792"/>
      <c r="Z33" s="1559" t="str">
        <f t="shared" si="12"/>
        <v>成新度</v>
      </c>
      <c r="AA33" s="1560" t="e">
        <f t="shared" si="3"/>
        <v>#N/A</v>
      </c>
      <c r="AB33" s="1560" t="e">
        <f t="shared" si="4"/>
        <v>#N/A</v>
      </c>
      <c r="AC33" s="1560" t="e">
        <f t="shared" si="5"/>
        <v>#N/A</v>
      </c>
    </row>
    <row r="34" spans="1:29" s="1213"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792"/>
      <c r="Q34" s="1144" t="str">
        <f t="shared" si="8"/>
        <v>物业管理</v>
      </c>
      <c r="R34" s="1552" t="s">
        <v>8</v>
      </c>
      <c r="S34" s="1553">
        <f t="shared" si="9"/>
        <v>100</v>
      </c>
      <c r="T34" s="1552" t="s">
        <v>8</v>
      </c>
      <c r="U34" s="1553">
        <f t="shared" si="10"/>
        <v>100</v>
      </c>
      <c r="V34" s="1552" t="s">
        <v>8</v>
      </c>
      <c r="W34" s="1553">
        <f t="shared" si="11"/>
        <v>100</v>
      </c>
      <c r="X34" s="1554"/>
      <c r="Y34" s="3792"/>
      <c r="Z34" s="1143" t="str">
        <f t="shared" si="12"/>
        <v>物业管理</v>
      </c>
      <c r="AA34" s="1555">
        <f t="shared" si="3"/>
        <v>1</v>
      </c>
      <c r="AB34" s="1555">
        <f t="shared" si="4"/>
        <v>1</v>
      </c>
      <c r="AC34" s="1555">
        <f t="shared" si="5"/>
        <v>1</v>
      </c>
    </row>
    <row r="35" spans="1:29" ht="15">
      <c r="A35" s="593"/>
      <c r="B35" s="1878"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792" t="s">
        <v>550</v>
      </c>
      <c r="Q35" s="1556" t="str">
        <f t="shared" si="8"/>
        <v>市政基础设施</v>
      </c>
      <c r="R35" s="1557" t="s">
        <v>8</v>
      </c>
      <c r="S35" s="1558">
        <f t="shared" si="9"/>
        <v>100</v>
      </c>
      <c r="T35" s="1557" t="s">
        <v>8</v>
      </c>
      <c r="U35" s="1558">
        <f t="shared" si="10"/>
        <v>100</v>
      </c>
      <c r="V35" s="1557" t="s">
        <v>8</v>
      </c>
      <c r="W35" s="1558">
        <f t="shared" si="11"/>
        <v>100</v>
      </c>
      <c r="X35" s="1551"/>
      <c r="Y35" s="3792" t="s">
        <v>550</v>
      </c>
      <c r="Z35" s="1559" t="str">
        <f t="shared" si="12"/>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792"/>
      <c r="Q36" s="1556" t="str">
        <f t="shared" si="8"/>
        <v>内部装修</v>
      </c>
      <c r="R36" s="1557" t="s">
        <v>8</v>
      </c>
      <c r="S36" s="1558">
        <f t="shared" si="9"/>
        <v>100</v>
      </c>
      <c r="T36" s="1557" t="s">
        <v>8</v>
      </c>
      <c r="U36" s="1558">
        <f t="shared" si="10"/>
        <v>100</v>
      </c>
      <c r="V36" s="1557" t="s">
        <v>8</v>
      </c>
      <c r="W36" s="1558">
        <f t="shared" si="11"/>
        <v>100</v>
      </c>
      <c r="X36" s="1551"/>
      <c r="Y36" s="3792"/>
      <c r="Z36" s="1559" t="str">
        <f t="shared" si="12"/>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792"/>
      <c r="Q37" s="1556" t="str">
        <f t="shared" si="8"/>
        <v>内部装修状况</v>
      </c>
      <c r="R37" s="1557" t="s">
        <v>8</v>
      </c>
      <c r="S37" s="1558">
        <f t="shared" si="9"/>
        <v>100</v>
      </c>
      <c r="T37" s="1557" t="s">
        <v>8</v>
      </c>
      <c r="U37" s="1558">
        <f t="shared" si="10"/>
        <v>100</v>
      </c>
      <c r="V37" s="1557" t="s">
        <v>8</v>
      </c>
      <c r="W37" s="1558">
        <f t="shared" si="11"/>
        <v>100</v>
      </c>
      <c r="X37" s="1551"/>
      <c r="Y37" s="3792"/>
      <c r="Z37" s="1559" t="str">
        <f t="shared" si="12"/>
        <v>内部装修状况</v>
      </c>
      <c r="AA37" s="1560">
        <f t="shared" si="3"/>
        <v>1</v>
      </c>
      <c r="AB37" s="1560">
        <f t="shared" si="4"/>
        <v>1</v>
      </c>
      <c r="AC37" s="1560">
        <f t="shared" si="5"/>
        <v>1</v>
      </c>
    </row>
    <row r="38" spans="1:29" s="1332"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792"/>
      <c r="Q38" s="1588">
        <f t="shared" si="8"/>
        <v>111</v>
      </c>
      <c r="R38" s="1561" t="s">
        <v>8</v>
      </c>
      <c r="S38" s="1562">
        <f t="shared" si="9"/>
        <v>100</v>
      </c>
      <c r="T38" s="1561" t="s">
        <v>8</v>
      </c>
      <c r="U38" s="1562">
        <f t="shared" si="10"/>
        <v>100</v>
      </c>
      <c r="V38" s="1561" t="s">
        <v>8</v>
      </c>
      <c r="W38" s="1562">
        <f t="shared" si="11"/>
        <v>100</v>
      </c>
      <c r="X38" s="1563"/>
      <c r="Y38" s="3792"/>
      <c r="Z38" s="1564">
        <f t="shared" si="12"/>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792"/>
      <c r="Q39" s="1556">
        <f t="shared" si="8"/>
        <v>111</v>
      </c>
      <c r="R39" s="1557" t="s">
        <v>8</v>
      </c>
      <c r="S39" s="1558">
        <f t="shared" si="9"/>
        <v>100</v>
      </c>
      <c r="T39" s="1557" t="s">
        <v>8</v>
      </c>
      <c r="U39" s="1558">
        <f t="shared" si="10"/>
        <v>100</v>
      </c>
      <c r="V39" s="1557" t="s">
        <v>8</v>
      </c>
      <c r="W39" s="1558">
        <f t="shared" si="11"/>
        <v>100</v>
      </c>
      <c r="X39" s="1551"/>
      <c r="Y39" s="3792"/>
      <c r="Z39" s="1559">
        <f t="shared" si="12"/>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871"/>
      <c r="Q40" s="1556">
        <f t="shared" si="8"/>
        <v>111</v>
      </c>
      <c r="R40" s="1557" t="s">
        <v>8</v>
      </c>
      <c r="S40" s="1558">
        <f t="shared" si="9"/>
        <v>100</v>
      </c>
      <c r="T40" s="1557" t="s">
        <v>8</v>
      </c>
      <c r="U40" s="1558">
        <f t="shared" si="10"/>
        <v>100</v>
      </c>
      <c r="V40" s="1557" t="s">
        <v>8</v>
      </c>
      <c r="W40" s="1558">
        <f t="shared" si="11"/>
        <v>100</v>
      </c>
      <c r="X40" s="1551"/>
      <c r="Y40" s="3871"/>
      <c r="Z40" s="1559">
        <f t="shared" si="12"/>
        <v>111</v>
      </c>
      <c r="AA40" s="1560">
        <f t="shared" si="3"/>
        <v>1</v>
      </c>
      <c r="AB40" s="1560">
        <f t="shared" si="4"/>
        <v>1</v>
      </c>
      <c r="AC40" s="1560">
        <f t="shared" si="5"/>
        <v>1</v>
      </c>
    </row>
    <row r="41" spans="1:29" ht="15">
      <c r="A41" s="606" t="s">
        <v>736</v>
      </c>
      <c r="B41" s="885"/>
      <c r="C41" s="2587" t="s">
        <v>1</v>
      </c>
      <c r="D41" s="2588"/>
      <c r="E41" s="2589"/>
      <c r="F41" s="2590"/>
      <c r="G41" s="2591"/>
      <c r="H41" s="2592"/>
      <c r="I41" s="2589"/>
      <c r="J41" s="2592"/>
      <c r="K41" s="1594"/>
      <c r="L41" s="2127"/>
      <c r="M41" s="2128"/>
      <c r="N41" s="2117"/>
      <c r="O41" s="2128"/>
      <c r="P41" s="3787" t="str">
        <f>A41</f>
        <v>成交单价（元/平方米）</v>
      </c>
      <c r="Q41" s="3787"/>
      <c r="R41" s="3870">
        <f>E41</f>
        <v>0</v>
      </c>
      <c r="S41" s="3870"/>
      <c r="T41" s="3870">
        <f>G41</f>
        <v>0</v>
      </c>
      <c r="U41" s="3870"/>
      <c r="V41" s="3870">
        <f>I41</f>
        <v>0</v>
      </c>
      <c r="W41" s="3870"/>
      <c r="X41" s="1543"/>
      <c r="Y41" s="1565"/>
      <c r="Z41" s="1543"/>
      <c r="AA41" s="1543"/>
      <c r="AB41" s="1543"/>
      <c r="AC41" s="1543"/>
    </row>
    <row r="42" spans="1:29" ht="15.75" thickBot="1">
      <c r="A42" s="614" t="s">
        <v>2756</v>
      </c>
      <c r="B42" s="886"/>
      <c r="C42" s="2593" t="e">
        <f>R43</f>
        <v>#DIV/0!</v>
      </c>
      <c r="D42" s="2594"/>
      <c r="E42" s="2595" t="e">
        <f>R42</f>
        <v>#DIV/0!</v>
      </c>
      <c r="F42" s="2595"/>
      <c r="G42" s="2593" t="e">
        <f>T42</f>
        <v>#DIV/0!</v>
      </c>
      <c r="H42" s="2594"/>
      <c r="I42" s="2595" t="e">
        <f>V42</f>
        <v>#DIV/0!</v>
      </c>
      <c r="J42" s="2594"/>
      <c r="K42" s="1595"/>
      <c r="L42" s="2127"/>
      <c r="M42" s="2128"/>
      <c r="N42" s="2117"/>
      <c r="O42" s="2128"/>
      <c r="P42" s="3787" t="str">
        <f>A42</f>
        <v>比较价格（元/平方米）</v>
      </c>
      <c r="Q42" s="3787"/>
      <c r="R42" s="3870" t="e">
        <f>IF(F1="售价",ROUND(PRODUCT(R41,AA7:AA40),0),ROUND(PRODUCT(R41,AA7:AA40),1))</f>
        <v>#DIV/0!</v>
      </c>
      <c r="S42" s="3870"/>
      <c r="T42" s="3870" t="e">
        <f>IF(F1="售价",ROUND(PRODUCT(T41,AB7:AB40),0),ROUND(PRODUCT(T41,AB7:AB40),1))</f>
        <v>#DIV/0!</v>
      </c>
      <c r="U42" s="3870"/>
      <c r="V42" s="3870" t="e">
        <f>IF(F1="售价",ROUND(PRODUCT(V41,AC7:AC40),0),ROUND(PRODUCT(V41,AC7:AC40),1))</f>
        <v>#DIV/0!</v>
      </c>
      <c r="W42" s="3870"/>
      <c r="X42" s="1543"/>
      <c r="Y42" s="1543"/>
      <c r="Z42" s="1543"/>
      <c r="AA42" s="1543"/>
      <c r="AB42" s="1543"/>
      <c r="AC42" s="1543"/>
    </row>
    <row r="43" spans="1:29" ht="15.75" thickBot="1">
      <c r="A43" s="620" t="s">
        <v>2930</v>
      </c>
      <c r="B43" s="621"/>
      <c r="C43" s="2596" t="e">
        <f>R43</f>
        <v>#DIV/0!</v>
      </c>
      <c r="D43" s="2596"/>
      <c r="E43" s="2596"/>
      <c r="F43" s="2596"/>
      <c r="G43" s="2596"/>
      <c r="H43" s="2596"/>
      <c r="I43" s="2596"/>
      <c r="J43" s="2596"/>
      <c r="K43" s="1596"/>
      <c r="L43" s="2127"/>
      <c r="M43" s="2128"/>
      <c r="N43" s="2128"/>
      <c r="O43" s="2128"/>
      <c r="P43" s="3808" t="str">
        <f>A43</f>
        <v>估价对象XX用房的比较价格（楼面单价，元/平方米）</v>
      </c>
      <c r="Q43" s="3809"/>
      <c r="R43" s="3869" t="e">
        <f>IF(F1="售价",ROUND(AVERAGE(R42:V42),0),ROUND(AVERAGE(R42:V42),1))</f>
        <v>#DIV/0!</v>
      </c>
      <c r="S43" s="3869"/>
      <c r="T43" s="3869"/>
      <c r="U43" s="3869"/>
      <c r="V43" s="3869"/>
      <c r="W43" s="3869"/>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4" t="s">
        <v>529</v>
      </c>
      <c r="B52" s="645"/>
      <c r="C52" s="2753" t="str">
        <f>YEAR(C7)&amp;"-"&amp;MONTH(C7)</f>
        <v>2020-5</v>
      </c>
      <c r="D52" s="2755">
        <f>EDATE(C52,-1)</f>
        <v>43922</v>
      </c>
      <c r="E52" s="2755">
        <f t="shared" ref="E52:O52" si="13">EDATE(D52,-1)</f>
        <v>43891</v>
      </c>
      <c r="F52" s="2755">
        <f t="shared" si="13"/>
        <v>43862</v>
      </c>
      <c r="G52" s="2755">
        <f t="shared" si="13"/>
        <v>43831</v>
      </c>
      <c r="H52" s="2755">
        <f t="shared" si="13"/>
        <v>43800</v>
      </c>
      <c r="I52" s="2755">
        <f t="shared" si="13"/>
        <v>43770</v>
      </c>
      <c r="J52" s="2755">
        <f t="shared" si="13"/>
        <v>43739</v>
      </c>
      <c r="K52" s="2755">
        <f t="shared" si="13"/>
        <v>43709</v>
      </c>
      <c r="L52" s="2755">
        <f t="shared" si="13"/>
        <v>43678</v>
      </c>
      <c r="M52" s="2755">
        <f t="shared" si="13"/>
        <v>43647</v>
      </c>
      <c r="N52" s="2755">
        <f t="shared" si="13"/>
        <v>43617</v>
      </c>
      <c r="O52" s="2755">
        <f t="shared" si="13"/>
        <v>43586</v>
      </c>
      <c r="P52" s="2143"/>
      <c r="Q52" s="2144"/>
      <c r="R52" s="2144"/>
      <c r="S52" s="2144"/>
      <c r="T52" s="2144"/>
      <c r="U52" s="2144"/>
      <c r="V52" s="2144"/>
      <c r="W52" s="2144"/>
      <c r="X52" s="2144"/>
      <c r="Y52" s="2144"/>
      <c r="Z52" s="2144"/>
      <c r="AA52" s="2144"/>
      <c r="AB52" s="2144"/>
      <c r="AC52" s="2144"/>
    </row>
    <row r="53" spans="1:29" s="1213"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3"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3"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2554</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7" t="s">
        <v>2555</v>
      </c>
      <c r="C76" s="2558" t="s">
        <v>2556</v>
      </c>
      <c r="D76" s="2558" t="s">
        <v>2557</v>
      </c>
      <c r="E76" s="2558" t="s">
        <v>2558</v>
      </c>
      <c r="F76" s="2558" t="s">
        <v>2559</v>
      </c>
      <c r="G76" s="2558" t="s">
        <v>2560</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2553</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1905</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245288.5平方米。</v>
      </c>
    </row>
    <row r="7" spans="1:4" ht="93.75">
      <c r="A7" s="2824" t="s">
        <v>2744</v>
      </c>
    </row>
    <row r="8" spans="1:4" ht="18.75">
      <c r="A8" s="1777" t="s">
        <v>1906</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2024</v>
      </c>
    </row>
    <row r="11" spans="1:4" ht="18.75">
      <c r="A11" s="1763" t="str">
        <f>TEXT(项目基本情况!D3,"yyyy年m月d日;;")&amp;IF(项目基本情况!B3=项目基本情况!D3,"（评估专业人员勘察现场之日）","")</f>
        <v>2020年5月14日（评估专业人员勘察现场之日）</v>
      </c>
    </row>
    <row r="12" spans="1:4" ht="18.75">
      <c r="A12" s="1780" t="s">
        <v>2023</v>
      </c>
    </row>
    <row r="13" spans="1:4" ht="18.75">
      <c r="A13" s="1774" t="s">
        <v>2069</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2070</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2071</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根据《国有土地使用证》[]，估价对象（分摊）出让国有建设用地使用权面积为61677.15平方米。根据《建设工程规划许可证》[]、《出让合同》[]，估价对象规划建筑面积为245288.5平方米。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2072</v>
      </c>
    </row>
    <row r="23" spans="1:1" ht="18.75">
      <c r="A23" s="2826" t="s">
        <v>2745</v>
      </c>
    </row>
    <row r="24" spans="1:1" ht="18.75">
      <c r="A24" s="1774" t="s">
        <v>2073</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2025</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8"/>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IF(B37="元/平方米",C39,ROUND(B2*10000/D3,0))</f>
        <v>#DIV/0!</v>
      </c>
      <c r="C3" s="851" t="s">
        <v>796</v>
      </c>
      <c r="D3" s="850">
        <f>SUMIF('数据-汇总表'!$C19:$C33,D1,'数据-汇总表'!$E19:$E33)</f>
        <v>0</v>
      </c>
      <c r="E3" s="1831" t="s">
        <v>2074</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793" t="s">
        <v>798</v>
      </c>
      <c r="D4" s="3794"/>
      <c r="E4" s="3793" t="s">
        <v>799</v>
      </c>
      <c r="F4" s="3794"/>
      <c r="G4" s="3793" t="s">
        <v>800</v>
      </c>
      <c r="H4" s="3794"/>
      <c r="I4" s="3793" t="s">
        <v>801</v>
      </c>
      <c r="J4" s="3794"/>
      <c r="K4" s="513" t="s">
        <v>802</v>
      </c>
      <c r="L4" s="2116"/>
      <c r="M4" s="2117"/>
      <c r="N4" s="2117"/>
      <c r="O4" s="2117"/>
      <c r="P4" s="3795" t="s">
        <v>803</v>
      </c>
      <c r="Q4" s="3796"/>
      <c r="R4" s="3781" t="s">
        <v>799</v>
      </c>
      <c r="S4" s="3782"/>
      <c r="T4" s="3781" t="s">
        <v>800</v>
      </c>
      <c r="U4" s="3782"/>
      <c r="V4" s="3801" t="s">
        <v>801</v>
      </c>
      <c r="W4" s="3801"/>
      <c r="X4" s="1551"/>
      <c r="Y4" s="3781" t="s">
        <v>803</v>
      </c>
      <c r="Z4" s="3782"/>
      <c r="AA4" s="3776" t="s">
        <v>799</v>
      </c>
      <c r="AB4" s="3777" t="s">
        <v>800</v>
      </c>
      <c r="AC4" s="3776" t="s">
        <v>801</v>
      </c>
    </row>
    <row r="5" spans="1:29" ht="15">
      <c r="A5" s="514"/>
      <c r="B5" s="515"/>
      <c r="C5" s="3804" t="s">
        <v>2924</v>
      </c>
      <c r="D5" s="3805"/>
      <c r="E5" s="3804" t="s">
        <v>2925</v>
      </c>
      <c r="F5" s="3805"/>
      <c r="G5" s="3804" t="s">
        <v>2926</v>
      </c>
      <c r="H5" s="3805"/>
      <c r="I5" s="3804" t="s">
        <v>2927</v>
      </c>
      <c r="J5" s="3805"/>
      <c r="K5" s="513"/>
      <c r="L5" s="2116"/>
      <c r="M5" s="2117"/>
      <c r="N5" s="2117"/>
      <c r="O5" s="2117"/>
      <c r="P5" s="3797"/>
      <c r="Q5" s="3798"/>
      <c r="R5" s="3783"/>
      <c r="S5" s="3784"/>
      <c r="T5" s="3783"/>
      <c r="U5" s="3784"/>
      <c r="V5" s="3801"/>
      <c r="W5" s="3801"/>
      <c r="X5" s="1551"/>
      <c r="Y5" s="3783"/>
      <c r="Z5" s="3784"/>
      <c r="AA5" s="3777"/>
      <c r="AB5" s="3777"/>
      <c r="AC5" s="3777"/>
    </row>
    <row r="6" spans="1:29" ht="15.75" thickBot="1">
      <c r="A6" s="516"/>
      <c r="B6" s="517"/>
      <c r="C6" s="3802" t="s">
        <v>2928</v>
      </c>
      <c r="D6" s="3803"/>
      <c r="E6" s="3806" t="s">
        <v>2928</v>
      </c>
      <c r="F6" s="3807"/>
      <c r="G6" s="3802" t="s">
        <v>2928</v>
      </c>
      <c r="H6" s="3803"/>
      <c r="I6" s="3802" t="s">
        <v>2928</v>
      </c>
      <c r="J6" s="3803"/>
      <c r="K6" s="513" t="s">
        <v>528</v>
      </c>
      <c r="L6" s="2116"/>
      <c r="M6" s="2117"/>
      <c r="N6" s="2117"/>
      <c r="O6" s="2117"/>
      <c r="P6" s="3799"/>
      <c r="Q6" s="3800"/>
      <c r="R6" s="3783"/>
      <c r="S6" s="3784"/>
      <c r="T6" s="3785"/>
      <c r="U6" s="3786"/>
      <c r="V6" s="3801"/>
      <c r="W6" s="3801"/>
      <c r="X6" s="1551"/>
      <c r="Y6" s="3785"/>
      <c r="Z6" s="3786"/>
      <c r="AA6" s="3778"/>
      <c r="AB6" s="3778"/>
      <c r="AC6" s="3778"/>
    </row>
    <row r="7" spans="1:29" s="1213" customFormat="1" ht="15.75" thickBot="1">
      <c r="A7" s="2863"/>
      <c r="B7" s="2870" t="s">
        <v>529</v>
      </c>
      <c r="C7" s="518">
        <f>'数据-取费表'!B2</f>
        <v>43965</v>
      </c>
      <c r="D7" s="519">
        <v>100</v>
      </c>
      <c r="E7" s="520"/>
      <c r="F7" s="521">
        <f>SUMIF(48:48,YEAR(E7)&amp;"-"&amp;MONTH(E7),49:49)</f>
        <v>0</v>
      </c>
      <c r="G7" s="522"/>
      <c r="H7" s="519">
        <f>SUMIF(48:48,YEAR(G7)&amp;"-"&amp;MONTH(G7),49:49)</f>
        <v>0</v>
      </c>
      <c r="I7" s="522"/>
      <c r="J7" s="519">
        <f>SUMIF(48:48,YEAR(I7)&amp;"-"&amp;MONTH(I7),49:49)</f>
        <v>0</v>
      </c>
      <c r="K7" s="523"/>
      <c r="L7" s="2118"/>
      <c r="M7" s="2119"/>
      <c r="N7" s="2119"/>
      <c r="O7" s="2119"/>
      <c r="P7" s="3779" t="s">
        <v>530</v>
      </c>
      <c r="Q7" s="3788"/>
      <c r="R7" s="1552" t="s">
        <v>8</v>
      </c>
      <c r="S7" s="1553">
        <f t="shared" ref="S7:S14" si="0">F7</f>
        <v>0</v>
      </c>
      <c r="T7" s="1552" t="s">
        <v>8</v>
      </c>
      <c r="U7" s="1553">
        <f t="shared" ref="U7:U14" si="1">H7</f>
        <v>0</v>
      </c>
      <c r="V7" s="1552" t="s">
        <v>8</v>
      </c>
      <c r="W7" s="1553">
        <f t="shared" ref="W7:W14" si="2">J7</f>
        <v>0</v>
      </c>
      <c r="X7" s="1554"/>
      <c r="Y7" s="3779" t="s">
        <v>530</v>
      </c>
      <c r="Z7" s="3780"/>
      <c r="AA7" s="1555" t="e">
        <f>D7/F7</f>
        <v>#DIV/0!</v>
      </c>
      <c r="AB7" s="1555" t="e">
        <f>D7/H7</f>
        <v>#DIV/0!</v>
      </c>
      <c r="AC7" s="1555" t="e">
        <f>D7/J7</f>
        <v>#DIV/0!</v>
      </c>
    </row>
    <row r="8" spans="1:29" s="1213" customFormat="1" ht="15.75" thickBot="1">
      <c r="A8" s="2864"/>
      <c r="B8" s="2871"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779" t="s">
        <v>533</v>
      </c>
      <c r="Q8" s="3780"/>
      <c r="R8" s="1552" t="s">
        <v>8</v>
      </c>
      <c r="S8" s="1553">
        <f t="shared" si="0"/>
        <v>0</v>
      </c>
      <c r="T8" s="1552" t="s">
        <v>8</v>
      </c>
      <c r="U8" s="1553">
        <f t="shared" si="1"/>
        <v>0</v>
      </c>
      <c r="V8" s="1552" t="s">
        <v>8</v>
      </c>
      <c r="W8" s="1553">
        <f t="shared" si="2"/>
        <v>0</v>
      </c>
      <c r="X8" s="1554"/>
      <c r="Y8" s="3779" t="s">
        <v>533</v>
      </c>
      <c r="Z8" s="3780"/>
      <c r="AA8" s="1555" t="e">
        <f t="shared" ref="AA8:AA36" si="3">D8/F8</f>
        <v>#DIV/0!</v>
      </c>
      <c r="AB8" s="1555" t="e">
        <f t="shared" ref="AB8:AB36" si="4">D8/H8</f>
        <v>#DIV/0!</v>
      </c>
      <c r="AC8" s="1555" t="e">
        <f t="shared" ref="AC8:AC36" si="5">D8/J8</f>
        <v>#DIV/0!</v>
      </c>
    </row>
    <row r="9" spans="1:29" s="1213" customFormat="1" ht="15">
      <c r="A9" s="2865"/>
      <c r="B9" s="2872" t="s">
        <v>2752</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787" t="s">
        <v>535</v>
      </c>
      <c r="Q9" s="1144" t="str">
        <f t="shared" ref="Q9:Q14" si="6">B9</f>
        <v>用途</v>
      </c>
      <c r="R9" s="1552" t="s">
        <v>8</v>
      </c>
      <c r="S9" s="1553">
        <f t="shared" si="0"/>
        <v>100</v>
      </c>
      <c r="T9" s="1552" t="s">
        <v>8</v>
      </c>
      <c r="U9" s="1553">
        <f t="shared" si="1"/>
        <v>100</v>
      </c>
      <c r="V9" s="1552" t="s">
        <v>8</v>
      </c>
      <c r="W9" s="1553">
        <f t="shared" si="2"/>
        <v>100</v>
      </c>
      <c r="X9" s="1554"/>
      <c r="Y9" s="3744" t="s">
        <v>536</v>
      </c>
      <c r="Z9" s="1143" t="str">
        <f t="shared" ref="Z9:Z14" si="7">Q9</f>
        <v>用途</v>
      </c>
      <c r="AA9" s="1555">
        <f t="shared" si="3"/>
        <v>1</v>
      </c>
      <c r="AB9" s="1555">
        <f t="shared" si="4"/>
        <v>1</v>
      </c>
      <c r="AC9" s="1555">
        <f t="shared" si="5"/>
        <v>1</v>
      </c>
    </row>
    <row r="10" spans="1:29" s="1331" customFormat="1" ht="27">
      <c r="A10" s="2866"/>
      <c r="B10" s="2871" t="s">
        <v>2753</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787"/>
      <c r="Q10" s="1144" t="str">
        <f t="shared" si="6"/>
        <v>土地使用年限（年）</v>
      </c>
      <c r="R10" s="1552" t="s">
        <v>8</v>
      </c>
      <c r="S10" s="1553">
        <f t="shared" si="0"/>
        <v>100</v>
      </c>
      <c r="T10" s="1552" t="s">
        <v>8</v>
      </c>
      <c r="U10" s="1553">
        <f t="shared" si="1"/>
        <v>100</v>
      </c>
      <c r="V10" s="1552" t="s">
        <v>8</v>
      </c>
      <c r="W10" s="1553">
        <f t="shared" si="2"/>
        <v>100</v>
      </c>
      <c r="X10" s="1554"/>
      <c r="Y10" s="3744"/>
      <c r="Z10" s="1143" t="str">
        <f t="shared" si="7"/>
        <v>土地使用年限（年）</v>
      </c>
      <c r="AA10" s="1555">
        <f t="shared" si="3"/>
        <v>1</v>
      </c>
      <c r="AB10" s="1555">
        <f t="shared" si="4"/>
        <v>1</v>
      </c>
      <c r="AC10" s="1555">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787"/>
      <c r="Q11" s="1144">
        <f t="shared" si="6"/>
        <v>111</v>
      </c>
      <c r="R11" s="1552" t="s">
        <v>8</v>
      </c>
      <c r="S11" s="1553">
        <f t="shared" si="0"/>
        <v>100</v>
      </c>
      <c r="T11" s="1552" t="s">
        <v>8</v>
      </c>
      <c r="U11" s="1553">
        <f t="shared" si="1"/>
        <v>100</v>
      </c>
      <c r="V11" s="1552" t="s">
        <v>8</v>
      </c>
      <c r="W11" s="1553">
        <f t="shared" si="2"/>
        <v>100</v>
      </c>
      <c r="X11" s="1554"/>
      <c r="Y11" s="3744"/>
      <c r="Z11" s="1143">
        <f t="shared" si="7"/>
        <v>111</v>
      </c>
      <c r="AA11" s="1555">
        <f t="shared" si="3"/>
        <v>1</v>
      </c>
      <c r="AB11" s="1555">
        <f t="shared" si="4"/>
        <v>1</v>
      </c>
      <c r="AC11" s="1555">
        <f t="shared" si="5"/>
        <v>1</v>
      </c>
    </row>
    <row r="12" spans="1:29" s="1213"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787"/>
      <c r="Q12" s="1144">
        <f t="shared" si="6"/>
        <v>111</v>
      </c>
      <c r="R12" s="1552" t="s">
        <v>8</v>
      </c>
      <c r="S12" s="1553">
        <f t="shared" si="0"/>
        <v>100</v>
      </c>
      <c r="T12" s="1552" t="s">
        <v>8</v>
      </c>
      <c r="U12" s="1553">
        <f t="shared" si="1"/>
        <v>100</v>
      </c>
      <c r="V12" s="1552" t="s">
        <v>8</v>
      </c>
      <c r="W12" s="1553">
        <f t="shared" si="2"/>
        <v>100</v>
      </c>
      <c r="X12" s="1554"/>
      <c r="Y12" s="3744"/>
      <c r="Z12" s="1143">
        <f t="shared" si="7"/>
        <v>111</v>
      </c>
      <c r="AA12" s="1555">
        <f>D12/F12</f>
        <v>1</v>
      </c>
      <c r="AB12" s="1555">
        <f>D12/H12</f>
        <v>1</v>
      </c>
      <c r="AC12" s="1555">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787"/>
      <c r="Q13" s="1144">
        <f t="shared" si="6"/>
        <v>111</v>
      </c>
      <c r="R13" s="1552" t="s">
        <v>8</v>
      </c>
      <c r="S13" s="1553">
        <f t="shared" si="0"/>
        <v>100</v>
      </c>
      <c r="T13" s="1552" t="s">
        <v>8</v>
      </c>
      <c r="U13" s="1553">
        <f t="shared" si="1"/>
        <v>100</v>
      </c>
      <c r="V13" s="1552" t="s">
        <v>8</v>
      </c>
      <c r="W13" s="1553">
        <f t="shared" si="2"/>
        <v>100</v>
      </c>
      <c r="X13" s="1554"/>
      <c r="Y13" s="3744"/>
      <c r="Z13" s="1143">
        <f t="shared" si="7"/>
        <v>111</v>
      </c>
      <c r="AA13" s="1555">
        <f t="shared" si="3"/>
        <v>1</v>
      </c>
      <c r="AB13" s="1555">
        <f t="shared" si="4"/>
        <v>1</v>
      </c>
      <c r="AC13" s="1555">
        <f t="shared" si="5"/>
        <v>1</v>
      </c>
    </row>
    <row r="14" spans="1:29" ht="85.5">
      <c r="A14" s="2861" t="s">
        <v>2750</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789" t="s">
        <v>540</v>
      </c>
      <c r="Q14" s="1556" t="str">
        <f t="shared" si="6"/>
        <v>交通便捷度</v>
      </c>
      <c r="R14" s="1557" t="s">
        <v>8</v>
      </c>
      <c r="S14" s="1558">
        <f t="shared" si="0"/>
        <v>100</v>
      </c>
      <c r="T14" s="1557" t="s">
        <v>8</v>
      </c>
      <c r="U14" s="1558">
        <f t="shared" si="1"/>
        <v>100</v>
      </c>
      <c r="V14" s="1557" t="s">
        <v>8</v>
      </c>
      <c r="W14" s="1558">
        <f t="shared" si="2"/>
        <v>100</v>
      </c>
      <c r="X14" s="1551"/>
      <c r="Y14" s="3789" t="s">
        <v>540</v>
      </c>
      <c r="Z14" s="1559" t="str">
        <f t="shared" si="7"/>
        <v>交通便捷度</v>
      </c>
      <c r="AA14" s="1560">
        <f t="shared" si="3"/>
        <v>1</v>
      </c>
      <c r="AB14" s="1560">
        <f t="shared" si="4"/>
        <v>1</v>
      </c>
      <c r="AC14" s="1560">
        <f t="shared" si="5"/>
        <v>1</v>
      </c>
    </row>
    <row r="15" spans="1:29" ht="15">
      <c r="A15" s="514"/>
      <c r="B15" s="922"/>
      <c r="C15" s="575"/>
      <c r="D15" s="554"/>
      <c r="E15" s="575"/>
      <c r="F15" s="556"/>
      <c r="G15" s="575"/>
      <c r="H15" s="558"/>
      <c r="I15" s="575"/>
      <c r="J15" s="554"/>
      <c r="K15" s="897"/>
      <c r="L15" s="2125"/>
      <c r="M15" s="2117"/>
      <c r="N15" s="2117"/>
      <c r="O15" s="2124"/>
      <c r="P15" s="3790"/>
      <c r="Q15" s="1556"/>
      <c r="R15" s="1557"/>
      <c r="S15" s="1558"/>
      <c r="T15" s="1557"/>
      <c r="U15" s="1558"/>
      <c r="V15" s="1557"/>
      <c r="W15" s="1558"/>
      <c r="X15" s="1551"/>
      <c r="Y15" s="3790"/>
      <c r="Z15" s="1559"/>
      <c r="AA15" s="1560">
        <v>1</v>
      </c>
      <c r="AB15" s="1560">
        <v>1</v>
      </c>
      <c r="AC15" s="1560">
        <v>1</v>
      </c>
    </row>
    <row r="16" spans="1:29" ht="42.75">
      <c r="A16" s="514"/>
      <c r="B16" s="2563"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790"/>
      <c r="Q16" s="1556" t="str">
        <f>B16</f>
        <v>公共配套设施</v>
      </c>
      <c r="R16" s="1557" t="s">
        <v>8</v>
      </c>
      <c r="S16" s="1558">
        <f>F16</f>
        <v>100</v>
      </c>
      <c r="T16" s="1557" t="s">
        <v>8</v>
      </c>
      <c r="U16" s="1558">
        <f>H16</f>
        <v>100</v>
      </c>
      <c r="V16" s="1557" t="s">
        <v>8</v>
      </c>
      <c r="W16" s="1558">
        <f>J16</f>
        <v>100</v>
      </c>
      <c r="X16" s="1551"/>
      <c r="Y16" s="3790"/>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7"/>
      <c r="L17" s="2125"/>
      <c r="M17" s="2117"/>
      <c r="N17" s="2117"/>
      <c r="O17" s="2124"/>
      <c r="P17" s="3790"/>
      <c r="Q17" s="1556"/>
      <c r="R17" s="1557"/>
      <c r="S17" s="1558"/>
      <c r="T17" s="1557"/>
      <c r="U17" s="1558"/>
      <c r="V17" s="1557"/>
      <c r="W17" s="1558"/>
      <c r="X17" s="1551"/>
      <c r="Y17" s="3790"/>
      <c r="Z17" s="1559"/>
      <c r="AA17" s="1560">
        <v>1</v>
      </c>
      <c r="AB17" s="1560">
        <v>1</v>
      </c>
      <c r="AC17" s="1560">
        <v>1</v>
      </c>
    </row>
    <row r="18" spans="1:29" ht="28.5">
      <c r="A18" s="514"/>
      <c r="B18" s="2551"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790"/>
      <c r="Q18" s="2539" t="str">
        <f>B18</f>
        <v>基础设施水平</v>
      </c>
      <c r="R18" s="1557" t="s">
        <v>8</v>
      </c>
      <c r="S18" s="1558">
        <f>F18</f>
        <v>100</v>
      </c>
      <c r="T18" s="1557" t="s">
        <v>8</v>
      </c>
      <c r="U18" s="1558">
        <f>H18</f>
        <v>100</v>
      </c>
      <c r="V18" s="1557" t="s">
        <v>8</v>
      </c>
      <c r="W18" s="1558">
        <f>J18</f>
        <v>100</v>
      </c>
      <c r="X18" s="2541"/>
      <c r="Y18" s="3790"/>
      <c r="Z18" s="2540" t="str">
        <f>Q18</f>
        <v>基础设施水平</v>
      </c>
      <c r="AA18" s="1560">
        <f>D18/F18</f>
        <v>1</v>
      </c>
      <c r="AB18" s="1560">
        <f>D18/H18</f>
        <v>1</v>
      </c>
      <c r="AC18" s="1560">
        <f>D18/J18</f>
        <v>1</v>
      </c>
    </row>
    <row r="19" spans="1:29" ht="15">
      <c r="A19" s="514"/>
      <c r="B19" s="577"/>
      <c r="C19" s="872"/>
      <c r="D19" s="558"/>
      <c r="E19" s="575"/>
      <c r="F19" s="556"/>
      <c r="G19" s="575"/>
      <c r="H19" s="554"/>
      <c r="I19" s="575"/>
      <c r="J19" s="554"/>
      <c r="K19" s="2562"/>
      <c r="L19" s="2125"/>
      <c r="M19" s="2117"/>
      <c r="N19" s="2117"/>
      <c r="O19" s="2124"/>
      <c r="P19" s="3790"/>
      <c r="Q19" s="2539"/>
      <c r="R19" s="1557"/>
      <c r="S19" s="1558"/>
      <c r="T19" s="1557"/>
      <c r="U19" s="1558"/>
      <c r="V19" s="1557"/>
      <c r="W19" s="1558"/>
      <c r="X19" s="2541"/>
      <c r="Y19" s="3790"/>
      <c r="Z19" s="2540"/>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790"/>
      <c r="Q20" s="1556" t="str">
        <f>B20</f>
        <v>自然及人文环境</v>
      </c>
      <c r="R20" s="1557" t="s">
        <v>8</v>
      </c>
      <c r="S20" s="1558">
        <f>F20</f>
        <v>100</v>
      </c>
      <c r="T20" s="1557" t="s">
        <v>8</v>
      </c>
      <c r="U20" s="1558">
        <f>H20</f>
        <v>100</v>
      </c>
      <c r="V20" s="1557" t="s">
        <v>8</v>
      </c>
      <c r="W20" s="1558">
        <f>J20</f>
        <v>100</v>
      </c>
      <c r="X20" s="1551"/>
      <c r="Y20" s="3790"/>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7"/>
      <c r="L21" s="2125"/>
      <c r="M21" s="2117"/>
      <c r="N21" s="2117"/>
      <c r="O21" s="2124"/>
      <c r="P21" s="3790"/>
      <c r="Q21" s="1556"/>
      <c r="R21" s="1557"/>
      <c r="S21" s="1558"/>
      <c r="T21" s="1557"/>
      <c r="U21" s="1558"/>
      <c r="V21" s="1557"/>
      <c r="W21" s="1558"/>
      <c r="X21" s="1551"/>
      <c r="Y21" s="3790"/>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790"/>
      <c r="Q22" s="1556" t="str">
        <f>B22</f>
        <v>楼层</v>
      </c>
      <c r="R22" s="1557" t="s">
        <v>8</v>
      </c>
      <c r="S22" s="1558">
        <f>F22</f>
        <v>100</v>
      </c>
      <c r="T22" s="1557" t="s">
        <v>8</v>
      </c>
      <c r="U22" s="1558">
        <f>H22</f>
        <v>100</v>
      </c>
      <c r="V22" s="1557" t="s">
        <v>8</v>
      </c>
      <c r="W22" s="1558">
        <f>J22</f>
        <v>100</v>
      </c>
      <c r="X22" s="1551"/>
      <c r="Y22" s="3790"/>
      <c r="Z22" s="1559" t="str">
        <f>Q22</f>
        <v>楼层</v>
      </c>
      <c r="AA22" s="1560">
        <f t="shared" si="3"/>
        <v>1</v>
      </c>
      <c r="AB22" s="1560">
        <f t="shared" si="4"/>
        <v>1</v>
      </c>
      <c r="AC22" s="1560">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790"/>
      <c r="Q23" s="1556">
        <f>B23</f>
        <v>111</v>
      </c>
      <c r="R23" s="1557" t="s">
        <v>8</v>
      </c>
      <c r="S23" s="1558">
        <f>F23</f>
        <v>100</v>
      </c>
      <c r="T23" s="1557" t="s">
        <v>8</v>
      </c>
      <c r="U23" s="1558">
        <f>H23</f>
        <v>100</v>
      </c>
      <c r="V23" s="1557" t="s">
        <v>8</v>
      </c>
      <c r="W23" s="1558">
        <f>J23</f>
        <v>100</v>
      </c>
      <c r="X23" s="1551"/>
      <c r="Y23" s="3790"/>
      <c r="Z23" s="1559">
        <f>Q23</f>
        <v>111</v>
      </c>
      <c r="AA23" s="1560">
        <f t="shared" si="3"/>
        <v>1</v>
      </c>
      <c r="AB23" s="1560">
        <f t="shared" si="4"/>
        <v>1</v>
      </c>
      <c r="AC23" s="1560">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790"/>
      <c r="Q24" s="1556">
        <f t="shared" ref="Q24:Q36" si="8">B24</f>
        <v>111</v>
      </c>
      <c r="R24" s="1557" t="s">
        <v>8</v>
      </c>
      <c r="S24" s="1558">
        <f>F24</f>
        <v>100</v>
      </c>
      <c r="T24" s="1557" t="s">
        <v>8</v>
      </c>
      <c r="U24" s="1558">
        <f>H24</f>
        <v>100</v>
      </c>
      <c r="V24" s="1557" t="s">
        <v>8</v>
      </c>
      <c r="W24" s="1558">
        <f>J24</f>
        <v>100</v>
      </c>
      <c r="X24" s="1551"/>
      <c r="Y24" s="3790"/>
      <c r="Z24" s="1559">
        <f>Q24</f>
        <v>111</v>
      </c>
      <c r="AA24" s="1560">
        <f t="shared" si="3"/>
        <v>1</v>
      </c>
      <c r="AB24" s="1560">
        <f t="shared" si="4"/>
        <v>1</v>
      </c>
      <c r="AC24" s="1560">
        <f t="shared" si="5"/>
        <v>1</v>
      </c>
    </row>
    <row r="25" spans="1:29" s="1213"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790"/>
      <c r="Q25" s="1144">
        <f t="shared" si="8"/>
        <v>111</v>
      </c>
      <c r="R25" s="1552" t="s">
        <v>8</v>
      </c>
      <c r="S25" s="1553">
        <f>F25</f>
        <v>100</v>
      </c>
      <c r="T25" s="1552" t="s">
        <v>8</v>
      </c>
      <c r="U25" s="1553">
        <f>H25</f>
        <v>100</v>
      </c>
      <c r="V25" s="1552" t="s">
        <v>8</v>
      </c>
      <c r="W25" s="1553">
        <f>J25</f>
        <v>100</v>
      </c>
      <c r="X25" s="1554"/>
      <c r="Y25" s="3790"/>
      <c r="Z25" s="1143">
        <f>Q25</f>
        <v>111</v>
      </c>
      <c r="AA25" s="1560">
        <f>D25/F25</f>
        <v>1</v>
      </c>
      <c r="AB25" s="1560">
        <f>D25/H25</f>
        <v>1</v>
      </c>
      <c r="AC25" s="1560">
        <f>D25/J25</f>
        <v>1</v>
      </c>
    </row>
    <row r="26" spans="1:29" ht="15">
      <c r="A26" s="2858" t="s">
        <v>2751</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791" t="s">
        <v>550</v>
      </c>
      <c r="Q26" s="1556" t="str">
        <f t="shared" si="8"/>
        <v>配套类型</v>
      </c>
      <c r="R26" s="1557" t="s">
        <v>8</v>
      </c>
      <c r="S26" s="1558">
        <f t="shared" ref="S26:S36" si="9">F26</f>
        <v>100</v>
      </c>
      <c r="T26" s="1557" t="s">
        <v>8</v>
      </c>
      <c r="U26" s="1558">
        <f t="shared" ref="U26:U36" si="10">H26</f>
        <v>100</v>
      </c>
      <c r="V26" s="1557" t="s">
        <v>8</v>
      </c>
      <c r="W26" s="1558">
        <f t="shared" ref="W26:W36" si="11">J26</f>
        <v>100</v>
      </c>
      <c r="X26" s="1551"/>
      <c r="Y26" s="3792" t="s">
        <v>550</v>
      </c>
      <c r="Z26" s="1559" t="str">
        <f t="shared" ref="Z26:Z36" si="12">Q26</f>
        <v>配套类型</v>
      </c>
      <c r="AA26" s="1560">
        <f t="shared" si="3"/>
        <v>1</v>
      </c>
      <c r="AB26" s="1560">
        <f t="shared" si="4"/>
        <v>1</v>
      </c>
      <c r="AC26" s="1560">
        <f t="shared" si="5"/>
        <v>1</v>
      </c>
    </row>
    <row r="27" spans="1:29" s="1332"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792"/>
      <c r="Q27" s="1588" t="str">
        <f t="shared" si="8"/>
        <v>项目停车位配比</v>
      </c>
      <c r="R27" s="1561" t="s">
        <v>8</v>
      </c>
      <c r="S27" s="1562">
        <f t="shared" si="9"/>
        <v>100</v>
      </c>
      <c r="T27" s="1561" t="s">
        <v>8</v>
      </c>
      <c r="U27" s="1562">
        <f t="shared" si="10"/>
        <v>100</v>
      </c>
      <c r="V27" s="1561" t="s">
        <v>8</v>
      </c>
      <c r="W27" s="1562">
        <f t="shared" si="11"/>
        <v>100</v>
      </c>
      <c r="X27" s="1563"/>
      <c r="Y27" s="3792"/>
      <c r="Z27" s="1564" t="str">
        <f t="shared" si="12"/>
        <v>项目停车位配比</v>
      </c>
      <c r="AA27" s="1560">
        <f t="shared" si="3"/>
        <v>1</v>
      </c>
      <c r="AB27" s="1560">
        <f t="shared" si="4"/>
        <v>1</v>
      </c>
      <c r="AC27" s="1560">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792"/>
      <c r="Q28" s="1556" t="str">
        <f t="shared" si="8"/>
        <v>公共部分装修</v>
      </c>
      <c r="R28" s="1557" t="s">
        <v>8</v>
      </c>
      <c r="S28" s="1558">
        <f t="shared" si="9"/>
        <v>100</v>
      </c>
      <c r="T28" s="1557" t="s">
        <v>8</v>
      </c>
      <c r="U28" s="1558">
        <f t="shared" si="10"/>
        <v>100</v>
      </c>
      <c r="V28" s="1557" t="s">
        <v>8</v>
      </c>
      <c r="W28" s="1558">
        <f t="shared" si="11"/>
        <v>100</v>
      </c>
      <c r="X28" s="1551"/>
      <c r="Y28" s="3792"/>
      <c r="Z28" s="1559" t="str">
        <f t="shared" si="12"/>
        <v>公共部分装修</v>
      </c>
      <c r="AA28" s="1560">
        <f t="shared" si="3"/>
        <v>1</v>
      </c>
      <c r="AB28" s="1560">
        <f t="shared" si="4"/>
        <v>1</v>
      </c>
      <c r="AC28" s="1560">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792"/>
      <c r="Q29" s="1556" t="str">
        <f t="shared" si="8"/>
        <v>成新率</v>
      </c>
      <c r="R29" s="1557" t="s">
        <v>8</v>
      </c>
      <c r="S29" s="1558" t="e">
        <f t="shared" si="9"/>
        <v>#N/A</v>
      </c>
      <c r="T29" s="1557" t="s">
        <v>8</v>
      </c>
      <c r="U29" s="1558" t="e">
        <f t="shared" si="10"/>
        <v>#N/A</v>
      </c>
      <c r="V29" s="1557" t="s">
        <v>8</v>
      </c>
      <c r="W29" s="1558" t="e">
        <f t="shared" si="11"/>
        <v>#N/A</v>
      </c>
      <c r="X29" s="1551"/>
      <c r="Y29" s="3792"/>
      <c r="Z29" s="1559" t="str">
        <f t="shared" si="12"/>
        <v>成新率</v>
      </c>
      <c r="AA29" s="1560" t="e">
        <f t="shared" si="3"/>
        <v>#N/A</v>
      </c>
      <c r="AB29" s="1560" t="e">
        <f t="shared" si="4"/>
        <v>#N/A</v>
      </c>
      <c r="AC29" s="1560"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792"/>
      <c r="Q30" s="1556" t="str">
        <f t="shared" si="8"/>
        <v>物业等级</v>
      </c>
      <c r="R30" s="1557" t="s">
        <v>8</v>
      </c>
      <c r="S30" s="1558">
        <f t="shared" si="9"/>
        <v>100</v>
      </c>
      <c r="T30" s="1557" t="s">
        <v>8</v>
      </c>
      <c r="U30" s="1558">
        <f t="shared" si="10"/>
        <v>100</v>
      </c>
      <c r="V30" s="1557" t="s">
        <v>8</v>
      </c>
      <c r="W30" s="1558">
        <f t="shared" si="11"/>
        <v>100</v>
      </c>
      <c r="X30" s="1551"/>
      <c r="Y30" s="3792"/>
      <c r="Z30" s="1559" t="str">
        <f t="shared" si="12"/>
        <v>物业等级</v>
      </c>
      <c r="AA30" s="1560">
        <f t="shared" si="3"/>
        <v>1</v>
      </c>
      <c r="AB30" s="1560">
        <f t="shared" si="4"/>
        <v>1</v>
      </c>
      <c r="AC30" s="1560">
        <f t="shared" si="5"/>
        <v>1</v>
      </c>
    </row>
    <row r="31" spans="1:29" s="1213"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792"/>
      <c r="Q31" s="1144" t="str">
        <f t="shared" si="8"/>
        <v>停车位面积</v>
      </c>
      <c r="R31" s="1552" t="s">
        <v>8</v>
      </c>
      <c r="S31" s="1553" t="e">
        <f t="shared" si="9"/>
        <v>#N/A</v>
      </c>
      <c r="T31" s="1552" t="s">
        <v>8</v>
      </c>
      <c r="U31" s="1553" t="e">
        <f t="shared" si="10"/>
        <v>#N/A</v>
      </c>
      <c r="V31" s="1552" t="s">
        <v>8</v>
      </c>
      <c r="W31" s="1553" t="e">
        <f t="shared" si="11"/>
        <v>#N/A</v>
      </c>
      <c r="X31" s="1554"/>
      <c r="Y31" s="3792"/>
      <c r="Z31" s="1143" t="str">
        <f t="shared" si="12"/>
        <v>停车位面积</v>
      </c>
      <c r="AA31" s="1555" t="e">
        <f t="shared" si="3"/>
        <v>#N/A</v>
      </c>
      <c r="AB31" s="1555" t="e">
        <f t="shared" si="4"/>
        <v>#N/A</v>
      </c>
      <c r="AC31" s="1555"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792" t="s">
        <v>550</v>
      </c>
      <c r="Q32" s="1556" t="str">
        <f t="shared" si="8"/>
        <v>车位类型</v>
      </c>
      <c r="R32" s="1557" t="s">
        <v>8</v>
      </c>
      <c r="S32" s="1558">
        <f t="shared" si="9"/>
        <v>100</v>
      </c>
      <c r="T32" s="1557" t="s">
        <v>8</v>
      </c>
      <c r="U32" s="1558">
        <f t="shared" si="10"/>
        <v>100</v>
      </c>
      <c r="V32" s="1557" t="s">
        <v>8</v>
      </c>
      <c r="W32" s="1558">
        <f t="shared" si="11"/>
        <v>100</v>
      </c>
      <c r="X32" s="1551"/>
      <c r="Y32" s="3792" t="s">
        <v>550</v>
      </c>
      <c r="Z32" s="1559" t="str">
        <f t="shared" si="12"/>
        <v>车位类型</v>
      </c>
      <c r="AA32" s="1560">
        <f t="shared" si="3"/>
        <v>1</v>
      </c>
      <c r="AB32" s="1560">
        <f t="shared" si="4"/>
        <v>1</v>
      </c>
      <c r="AC32" s="1560">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792"/>
      <c r="Q33" s="1556" t="str">
        <f t="shared" si="8"/>
        <v>是否直接入户</v>
      </c>
      <c r="R33" s="1557" t="s">
        <v>8</v>
      </c>
      <c r="S33" s="1558">
        <f t="shared" si="9"/>
        <v>100</v>
      </c>
      <c r="T33" s="1557" t="s">
        <v>8</v>
      </c>
      <c r="U33" s="1558">
        <f t="shared" si="10"/>
        <v>100</v>
      </c>
      <c r="V33" s="1557" t="s">
        <v>8</v>
      </c>
      <c r="W33" s="1558">
        <f t="shared" si="11"/>
        <v>100</v>
      </c>
      <c r="X33" s="1551"/>
      <c r="Y33" s="3792"/>
      <c r="Z33" s="1559" t="str">
        <f t="shared" si="12"/>
        <v>是否直接入户</v>
      </c>
      <c r="AA33" s="1560">
        <f t="shared" si="3"/>
        <v>1</v>
      </c>
      <c r="AB33" s="1560">
        <f t="shared" si="4"/>
        <v>1</v>
      </c>
      <c r="AC33" s="1560">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792"/>
      <c r="Q34" s="1556">
        <f t="shared" si="8"/>
        <v>111</v>
      </c>
      <c r="R34" s="1557" t="s">
        <v>8</v>
      </c>
      <c r="S34" s="1558">
        <f t="shared" si="9"/>
        <v>100</v>
      </c>
      <c r="T34" s="1557" t="s">
        <v>8</v>
      </c>
      <c r="U34" s="1558">
        <f t="shared" si="10"/>
        <v>100</v>
      </c>
      <c r="V34" s="1557" t="s">
        <v>8</v>
      </c>
      <c r="W34" s="1558">
        <f t="shared" si="11"/>
        <v>100</v>
      </c>
      <c r="X34" s="1551"/>
      <c r="Y34" s="3792"/>
      <c r="Z34" s="1559">
        <f t="shared" si="12"/>
        <v>111</v>
      </c>
      <c r="AA34" s="1560">
        <f t="shared" si="3"/>
        <v>1</v>
      </c>
      <c r="AB34" s="1560">
        <f t="shared" si="4"/>
        <v>1</v>
      </c>
      <c r="AC34" s="1560">
        <f t="shared" si="5"/>
        <v>1</v>
      </c>
    </row>
    <row r="35" spans="1:29" s="1332"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792"/>
      <c r="Q35" s="1588">
        <f t="shared" si="8"/>
        <v>111</v>
      </c>
      <c r="R35" s="1561" t="s">
        <v>8</v>
      </c>
      <c r="S35" s="1562">
        <f t="shared" si="9"/>
        <v>100</v>
      </c>
      <c r="T35" s="1561" t="s">
        <v>8</v>
      </c>
      <c r="U35" s="1562">
        <f t="shared" si="10"/>
        <v>100</v>
      </c>
      <c r="V35" s="1561" t="s">
        <v>8</v>
      </c>
      <c r="W35" s="1562">
        <f t="shared" si="11"/>
        <v>100</v>
      </c>
      <c r="X35" s="1563"/>
      <c r="Y35" s="3792"/>
      <c r="Z35" s="1564">
        <f t="shared" si="12"/>
        <v>111</v>
      </c>
      <c r="AA35" s="1560">
        <f t="shared" si="3"/>
        <v>1</v>
      </c>
      <c r="AB35" s="1560">
        <f t="shared" si="4"/>
        <v>1</v>
      </c>
      <c r="AC35" s="1560">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792"/>
      <c r="Q36" s="1556">
        <f t="shared" si="8"/>
        <v>111</v>
      </c>
      <c r="R36" s="1557" t="s">
        <v>8</v>
      </c>
      <c r="S36" s="1558">
        <f t="shared" si="9"/>
        <v>100</v>
      </c>
      <c r="T36" s="1557" t="s">
        <v>8</v>
      </c>
      <c r="U36" s="1558">
        <f t="shared" si="10"/>
        <v>100</v>
      </c>
      <c r="V36" s="1557" t="s">
        <v>8</v>
      </c>
      <c r="W36" s="1558">
        <f t="shared" si="11"/>
        <v>100</v>
      </c>
      <c r="X36" s="1551"/>
      <c r="Y36" s="3792"/>
      <c r="Z36" s="1559">
        <f t="shared" si="12"/>
        <v>111</v>
      </c>
      <c r="AA36" s="1560">
        <f t="shared" si="3"/>
        <v>1</v>
      </c>
      <c r="AB36" s="1560">
        <f t="shared" si="4"/>
        <v>1</v>
      </c>
      <c r="AC36" s="1560">
        <f t="shared" si="5"/>
        <v>1</v>
      </c>
    </row>
    <row r="37" spans="1:29" ht="15">
      <c r="A37" s="1829" t="s">
        <v>2075</v>
      </c>
      <c r="B37" s="1830" t="s">
        <v>2076</v>
      </c>
      <c r="C37" s="2587" t="s">
        <v>1</v>
      </c>
      <c r="D37" s="2588"/>
      <c r="E37" s="2589"/>
      <c r="F37" s="2590"/>
      <c r="G37" s="2591"/>
      <c r="H37" s="2592"/>
      <c r="I37" s="2589"/>
      <c r="J37" s="2592"/>
      <c r="K37" s="1594"/>
      <c r="L37" s="2127"/>
      <c r="M37" s="2128"/>
      <c r="N37" s="2117"/>
      <c r="O37" s="2128"/>
      <c r="P37" s="3787" t="str">
        <f>A37</f>
        <v>成交单价</v>
      </c>
      <c r="Q37" s="3787"/>
      <c r="R37" s="3870">
        <f>E37</f>
        <v>0</v>
      </c>
      <c r="S37" s="3870"/>
      <c r="T37" s="3870">
        <f>G37</f>
        <v>0</v>
      </c>
      <c r="U37" s="3870"/>
      <c r="V37" s="3870">
        <f>I37</f>
        <v>0</v>
      </c>
      <c r="W37" s="3870"/>
      <c r="X37" s="1543"/>
      <c r="Y37" s="1565"/>
      <c r="Z37" s="1543"/>
      <c r="AA37" s="1543"/>
      <c r="AB37" s="1543"/>
      <c r="AC37" s="1543"/>
    </row>
    <row r="38" spans="1:29" ht="15.75" thickBot="1">
      <c r="A38" s="614" t="s">
        <v>2756</v>
      </c>
      <c r="B38" s="886"/>
      <c r="C38" s="2593" t="e">
        <f>R39</f>
        <v>#DIV/0!</v>
      </c>
      <c r="D38" s="2594"/>
      <c r="E38" s="2595" t="e">
        <f>R38</f>
        <v>#DIV/0!</v>
      </c>
      <c r="F38" s="2595"/>
      <c r="G38" s="2593" t="e">
        <f>T38</f>
        <v>#DIV/0!</v>
      </c>
      <c r="H38" s="2594"/>
      <c r="I38" s="2595" t="e">
        <f>V38</f>
        <v>#DIV/0!</v>
      </c>
      <c r="J38" s="2594"/>
      <c r="K38" s="1595"/>
      <c r="L38" s="2127"/>
      <c r="M38" s="2128"/>
      <c r="N38" s="2128"/>
      <c r="O38" s="2128"/>
      <c r="P38" s="3787" t="str">
        <f>A38</f>
        <v>比较价格（元/平方米）</v>
      </c>
      <c r="Q38" s="3787"/>
      <c r="R38" s="3870" t="e">
        <f>IF(F1="售价",ROUND(PRODUCT(R37,AA7:AA36),0),ROUND(PRODUCT(R37,AA7:AA36),1))</f>
        <v>#DIV/0!</v>
      </c>
      <c r="S38" s="3870"/>
      <c r="T38" s="3870" t="e">
        <f>IF(F1="售价",ROUND(PRODUCT(T37,AB7:AB36),0),ROUND(PRODUCT(T37,AB7:AB36),1))</f>
        <v>#DIV/0!</v>
      </c>
      <c r="U38" s="3870"/>
      <c r="V38" s="3870" t="e">
        <f>IF(F1="售价",ROUND(PRODUCT(V37,AC7:AC36),0),ROUND(PRODUCT(V37,AC7:AC36),1))</f>
        <v>#DIV/0!</v>
      </c>
      <c r="W38" s="3870"/>
      <c r="X38" s="1543"/>
      <c r="Y38" s="1543"/>
      <c r="Z38" s="1543"/>
      <c r="AA38" s="1543"/>
      <c r="AB38" s="1543"/>
      <c r="AC38" s="1543"/>
    </row>
    <row r="39" spans="1:29" ht="15.75" thickBot="1">
      <c r="A39" s="620" t="s">
        <v>2930</v>
      </c>
      <c r="B39" s="621"/>
      <c r="C39" s="2596" t="e">
        <f>R39</f>
        <v>#DIV/0!</v>
      </c>
      <c r="D39" s="2596"/>
      <c r="E39" s="2596"/>
      <c r="F39" s="2596"/>
      <c r="G39" s="2596"/>
      <c r="H39" s="2596"/>
      <c r="I39" s="2596"/>
      <c r="J39" s="2596"/>
      <c r="K39" s="1596"/>
      <c r="L39" s="2127"/>
      <c r="M39" s="2128"/>
      <c r="N39" s="2128"/>
      <c r="O39" s="2128"/>
      <c r="P39" s="3808" t="str">
        <f>A39</f>
        <v>估价对象XX用房的比较价格（楼面单价，元/平方米）</v>
      </c>
      <c r="Q39" s="3809"/>
      <c r="R39" s="3869" t="e">
        <f>IF(F1="售价",ROUND(AVERAGE(R38:V38),0),ROUND(AVERAGE(R38:V38),1))</f>
        <v>#DIV/0!</v>
      </c>
      <c r="S39" s="3869"/>
      <c r="T39" s="3869"/>
      <c r="U39" s="3869"/>
      <c r="V39" s="3869"/>
      <c r="W39" s="3869"/>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4" t="s">
        <v>529</v>
      </c>
      <c r="B48" s="645"/>
      <c r="C48" s="2753" t="str">
        <f>YEAR(C7)&amp;"-"&amp;MONTH(C7)</f>
        <v>2020-5</v>
      </c>
      <c r="D48" s="2755">
        <f>EDATE(C48,-1)</f>
        <v>43922</v>
      </c>
      <c r="E48" s="2755">
        <f t="shared" ref="E48:O48" si="13">EDATE(D48,-1)</f>
        <v>43891</v>
      </c>
      <c r="F48" s="2755">
        <f t="shared" si="13"/>
        <v>43862</v>
      </c>
      <c r="G48" s="2755">
        <f t="shared" si="13"/>
        <v>43831</v>
      </c>
      <c r="H48" s="2755">
        <f t="shared" si="13"/>
        <v>43800</v>
      </c>
      <c r="I48" s="2755">
        <f t="shared" si="13"/>
        <v>43770</v>
      </c>
      <c r="J48" s="2755">
        <f t="shared" si="13"/>
        <v>43739</v>
      </c>
      <c r="K48" s="2755">
        <f t="shared" si="13"/>
        <v>43709</v>
      </c>
      <c r="L48" s="2755">
        <f t="shared" si="13"/>
        <v>43678</v>
      </c>
      <c r="M48" s="2755">
        <f t="shared" si="13"/>
        <v>43647</v>
      </c>
      <c r="N48" s="2755">
        <f t="shared" si="13"/>
        <v>43617</v>
      </c>
      <c r="O48" s="2755">
        <f t="shared" si="13"/>
        <v>43586</v>
      </c>
      <c r="P48" s="2143"/>
      <c r="Q48" s="2144"/>
      <c r="R48" s="2144"/>
      <c r="S48" s="2144"/>
      <c r="T48" s="2144"/>
      <c r="U48" s="2144"/>
      <c r="V48" s="2144"/>
      <c r="W48" s="2144"/>
      <c r="X48" s="2144"/>
      <c r="Y48" s="2144"/>
      <c r="Z48" s="2144"/>
      <c r="AA48" s="2144"/>
      <c r="AB48" s="2144"/>
      <c r="AC48" s="2144"/>
    </row>
    <row r="49" spans="1:29" s="1213" customFormat="1" ht="15">
      <c r="A49" s="646"/>
      <c r="B49" s="647"/>
      <c r="C49" s="2754">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3"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3"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2554</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7" t="s">
        <v>2555</v>
      </c>
      <c r="C67" s="2558" t="s">
        <v>2556</v>
      </c>
      <c r="D67" s="2558" t="s">
        <v>2557</v>
      </c>
      <c r="E67" s="2558" t="s">
        <v>2558</v>
      </c>
      <c r="F67" s="2558" t="s">
        <v>2559</v>
      </c>
      <c r="G67" s="2558" t="s">
        <v>2560</v>
      </c>
      <c r="H67" s="673"/>
      <c r="I67" s="673"/>
      <c r="J67" s="673"/>
      <c r="K67" s="673"/>
      <c r="L67" s="673"/>
      <c r="M67" s="2561"/>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7"/>
      <c r="B90" s="672" t="s">
        <v>818</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2"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718</v>
      </c>
      <c r="B1" s="921"/>
      <c r="C1" s="503" t="s">
        <v>792</v>
      </c>
      <c r="D1" s="848"/>
      <c r="E1" s="505"/>
      <c r="F1" s="2758"/>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793" t="s">
        <v>798</v>
      </c>
      <c r="D4" s="3794"/>
      <c r="E4" s="3817" t="s">
        <v>799</v>
      </c>
      <c r="F4" s="3818"/>
      <c r="G4" s="3793" t="s">
        <v>800</v>
      </c>
      <c r="H4" s="3794"/>
      <c r="I4" s="3793" t="s">
        <v>801</v>
      </c>
      <c r="J4" s="3794"/>
      <c r="K4" s="513" t="s">
        <v>802</v>
      </c>
      <c r="L4" s="2116"/>
      <c r="M4" s="2117"/>
      <c r="N4" s="2117"/>
      <c r="O4" s="2117"/>
      <c r="P4" s="3795" t="s">
        <v>803</v>
      </c>
      <c r="Q4" s="3796"/>
      <c r="R4" s="3781" t="s">
        <v>799</v>
      </c>
      <c r="S4" s="3782"/>
      <c r="T4" s="3781" t="s">
        <v>800</v>
      </c>
      <c r="U4" s="3782"/>
      <c r="V4" s="3801" t="s">
        <v>801</v>
      </c>
      <c r="W4" s="3801"/>
      <c r="X4" s="1551"/>
      <c r="Y4" s="3781" t="s">
        <v>803</v>
      </c>
      <c r="Z4" s="3782"/>
      <c r="AA4" s="3776" t="s">
        <v>799</v>
      </c>
      <c r="AB4" s="3777" t="s">
        <v>800</v>
      </c>
      <c r="AC4" s="3776" t="s">
        <v>801</v>
      </c>
    </row>
    <row r="5" spans="1:29" ht="15">
      <c r="A5" s="514"/>
      <c r="B5" s="515"/>
      <c r="C5" s="3804" t="s">
        <v>2924</v>
      </c>
      <c r="D5" s="3805"/>
      <c r="E5" s="3819" t="s">
        <v>2925</v>
      </c>
      <c r="F5" s="3820"/>
      <c r="G5" s="3804" t="s">
        <v>2926</v>
      </c>
      <c r="H5" s="3805"/>
      <c r="I5" s="3804" t="s">
        <v>2927</v>
      </c>
      <c r="J5" s="3805"/>
      <c r="K5" s="513"/>
      <c r="L5" s="2116"/>
      <c r="M5" s="2117"/>
      <c r="N5" s="2117"/>
      <c r="O5" s="2117"/>
      <c r="P5" s="3797"/>
      <c r="Q5" s="3798"/>
      <c r="R5" s="3783"/>
      <c r="S5" s="3784"/>
      <c r="T5" s="3783"/>
      <c r="U5" s="3784"/>
      <c r="V5" s="3801"/>
      <c r="W5" s="3801"/>
      <c r="X5" s="1551"/>
      <c r="Y5" s="3783"/>
      <c r="Z5" s="3784"/>
      <c r="AA5" s="3777"/>
      <c r="AB5" s="3777"/>
      <c r="AC5" s="3777"/>
    </row>
    <row r="6" spans="1:29" ht="15.75" thickBot="1">
      <c r="A6" s="516"/>
      <c r="B6" s="517"/>
      <c r="C6" s="3802" t="s">
        <v>2928</v>
      </c>
      <c r="D6" s="3803"/>
      <c r="E6" s="3821" t="s">
        <v>2928</v>
      </c>
      <c r="F6" s="3822"/>
      <c r="G6" s="3802" t="s">
        <v>2928</v>
      </c>
      <c r="H6" s="3803"/>
      <c r="I6" s="3802" t="s">
        <v>2928</v>
      </c>
      <c r="J6" s="3803"/>
      <c r="K6" s="513" t="s">
        <v>528</v>
      </c>
      <c r="L6" s="2116"/>
      <c r="M6" s="2117"/>
      <c r="N6" s="2117"/>
      <c r="O6" s="2117"/>
      <c r="P6" s="3799"/>
      <c r="Q6" s="3800"/>
      <c r="R6" s="3783"/>
      <c r="S6" s="3784"/>
      <c r="T6" s="3785"/>
      <c r="U6" s="3786"/>
      <c r="V6" s="3801"/>
      <c r="W6" s="3801"/>
      <c r="X6" s="1551"/>
      <c r="Y6" s="3785"/>
      <c r="Z6" s="3786"/>
      <c r="AA6" s="3778"/>
      <c r="AB6" s="3778"/>
      <c r="AC6" s="3778"/>
    </row>
    <row r="7" spans="1:29" s="1213" customFormat="1" ht="15.75" thickBot="1">
      <c r="A7" s="2863"/>
      <c r="B7" s="2870" t="s">
        <v>529</v>
      </c>
      <c r="C7" s="518">
        <f>'数据-取费表'!B2</f>
        <v>43965</v>
      </c>
      <c r="D7" s="519">
        <v>100</v>
      </c>
      <c r="E7" s="520"/>
      <c r="F7" s="521">
        <f>SUMIF(46:46,YEAR(E7)&amp;"-"&amp;MONTH(E7),47:47)</f>
        <v>0</v>
      </c>
      <c r="G7" s="522"/>
      <c r="H7" s="519">
        <f>SUMIF(46:46,YEAR(G7)&amp;"-"&amp;MONTH(G7),47:47)</f>
        <v>0</v>
      </c>
      <c r="I7" s="522"/>
      <c r="J7" s="519">
        <f>SUMIF(46:46,YEAR(I7)&amp;"-"&amp;MONTH(I7),47:47)</f>
        <v>0</v>
      </c>
      <c r="K7" s="523"/>
      <c r="L7" s="2118"/>
      <c r="M7" s="2119"/>
      <c r="N7" s="2119"/>
      <c r="O7" s="2119"/>
      <c r="P7" s="3779" t="s">
        <v>530</v>
      </c>
      <c r="Q7" s="3788"/>
      <c r="R7" s="1552" t="s">
        <v>8</v>
      </c>
      <c r="S7" s="1553">
        <f t="shared" ref="S7:S14" si="0">F7</f>
        <v>0</v>
      </c>
      <c r="T7" s="1552" t="s">
        <v>8</v>
      </c>
      <c r="U7" s="1553">
        <f t="shared" ref="U7:U14" si="1">H7</f>
        <v>0</v>
      </c>
      <c r="V7" s="1552" t="s">
        <v>8</v>
      </c>
      <c r="W7" s="1553">
        <f t="shared" ref="W7:W14" si="2">J7</f>
        <v>0</v>
      </c>
      <c r="X7" s="1554"/>
      <c r="Y7" s="3779" t="s">
        <v>530</v>
      </c>
      <c r="Z7" s="3780"/>
      <c r="AA7" s="1555" t="e">
        <f>D7/F7</f>
        <v>#DIV/0!</v>
      </c>
      <c r="AB7" s="1555" t="e">
        <f>D7/H7</f>
        <v>#DIV/0!</v>
      </c>
      <c r="AC7" s="1555" t="e">
        <f>D7/J7</f>
        <v>#DIV/0!</v>
      </c>
    </row>
    <row r="8" spans="1:29" s="1213" customFormat="1" ht="15.75" thickBot="1">
      <c r="A8" s="2864"/>
      <c r="B8" s="2871"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779" t="s">
        <v>533</v>
      </c>
      <c r="Q8" s="3780"/>
      <c r="R8" s="1552" t="s">
        <v>8</v>
      </c>
      <c r="S8" s="1553">
        <f t="shared" si="0"/>
        <v>0</v>
      </c>
      <c r="T8" s="1552" t="s">
        <v>8</v>
      </c>
      <c r="U8" s="1553">
        <f t="shared" si="1"/>
        <v>0</v>
      </c>
      <c r="V8" s="1552" t="s">
        <v>8</v>
      </c>
      <c r="W8" s="1553">
        <f t="shared" si="2"/>
        <v>0</v>
      </c>
      <c r="X8" s="1554"/>
      <c r="Y8" s="3779" t="s">
        <v>533</v>
      </c>
      <c r="Z8" s="3780"/>
      <c r="AA8" s="1555" t="e">
        <f t="shared" ref="AA8:AA34" si="3">D8/F8</f>
        <v>#DIV/0!</v>
      </c>
      <c r="AB8" s="1555" t="e">
        <f t="shared" ref="AB8:AB34" si="4">D8/H8</f>
        <v>#DIV/0!</v>
      </c>
      <c r="AC8" s="1555" t="e">
        <f t="shared" ref="AC8:AC34" si="5">D8/J8</f>
        <v>#DIV/0!</v>
      </c>
    </row>
    <row r="9" spans="1:29" s="1213" customFormat="1" ht="15">
      <c r="A9" s="2865"/>
      <c r="B9" s="2872" t="s">
        <v>2752</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787" t="s">
        <v>535</v>
      </c>
      <c r="Q9" s="1144" t="str">
        <f t="shared" ref="Q9:Q14" si="6">B9</f>
        <v>用途</v>
      </c>
      <c r="R9" s="1552" t="s">
        <v>8</v>
      </c>
      <c r="S9" s="1553">
        <f t="shared" si="0"/>
        <v>100</v>
      </c>
      <c r="T9" s="1552" t="s">
        <v>8</v>
      </c>
      <c r="U9" s="1553">
        <f t="shared" si="1"/>
        <v>100</v>
      </c>
      <c r="V9" s="1552" t="s">
        <v>8</v>
      </c>
      <c r="W9" s="1553">
        <f t="shared" si="2"/>
        <v>100</v>
      </c>
      <c r="X9" s="1554"/>
      <c r="Y9" s="3744" t="s">
        <v>536</v>
      </c>
      <c r="Z9" s="1143" t="str">
        <f t="shared" ref="Z9:Z14" si="7">Q9</f>
        <v>用途</v>
      </c>
      <c r="AA9" s="1555">
        <f t="shared" si="3"/>
        <v>1</v>
      </c>
      <c r="AB9" s="1555">
        <f t="shared" si="4"/>
        <v>1</v>
      </c>
      <c r="AC9" s="1555">
        <f t="shared" si="5"/>
        <v>1</v>
      </c>
    </row>
    <row r="10" spans="1:29" s="1331" customFormat="1" ht="27">
      <c r="A10" s="2866"/>
      <c r="B10" s="2871" t="s">
        <v>2753</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787"/>
      <c r="Q10" s="1144" t="str">
        <f t="shared" si="6"/>
        <v>土地使用年限（年）</v>
      </c>
      <c r="R10" s="1552" t="s">
        <v>8</v>
      </c>
      <c r="S10" s="1553">
        <f t="shared" si="0"/>
        <v>100</v>
      </c>
      <c r="T10" s="1552" t="s">
        <v>8</v>
      </c>
      <c r="U10" s="1553">
        <f t="shared" si="1"/>
        <v>100</v>
      </c>
      <c r="V10" s="1552" t="s">
        <v>8</v>
      </c>
      <c r="W10" s="1553">
        <f t="shared" si="2"/>
        <v>100</v>
      </c>
      <c r="X10" s="1554"/>
      <c r="Y10" s="3744"/>
      <c r="Z10" s="1143" t="str">
        <f t="shared" si="7"/>
        <v>土地使用年限（年）</v>
      </c>
      <c r="AA10" s="1555">
        <f t="shared" si="3"/>
        <v>1</v>
      </c>
      <c r="AB10" s="1555">
        <f t="shared" si="4"/>
        <v>1</v>
      </c>
      <c r="AC10" s="1555">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787"/>
      <c r="Q11" s="1144">
        <f t="shared" si="6"/>
        <v>111</v>
      </c>
      <c r="R11" s="1552" t="s">
        <v>8</v>
      </c>
      <c r="S11" s="1553">
        <f t="shared" si="0"/>
        <v>100</v>
      </c>
      <c r="T11" s="1552" t="s">
        <v>8</v>
      </c>
      <c r="U11" s="1553">
        <f t="shared" si="1"/>
        <v>100</v>
      </c>
      <c r="V11" s="1552" t="s">
        <v>8</v>
      </c>
      <c r="W11" s="1553">
        <f t="shared" si="2"/>
        <v>100</v>
      </c>
      <c r="X11" s="1554"/>
      <c r="Y11" s="3744"/>
      <c r="Z11" s="1143">
        <f t="shared" si="7"/>
        <v>111</v>
      </c>
      <c r="AA11" s="1555">
        <f t="shared" si="3"/>
        <v>1</v>
      </c>
      <c r="AB11" s="1555">
        <f t="shared" si="4"/>
        <v>1</v>
      </c>
      <c r="AC11" s="1555">
        <f t="shared" si="5"/>
        <v>1</v>
      </c>
    </row>
    <row r="12" spans="1:29" s="1213"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787"/>
      <c r="Q12" s="1144">
        <f t="shared" si="6"/>
        <v>111</v>
      </c>
      <c r="R12" s="1552" t="s">
        <v>8</v>
      </c>
      <c r="S12" s="1553">
        <f t="shared" si="0"/>
        <v>100</v>
      </c>
      <c r="T12" s="1552" t="s">
        <v>8</v>
      </c>
      <c r="U12" s="1553">
        <f t="shared" si="1"/>
        <v>100</v>
      </c>
      <c r="V12" s="1552" t="s">
        <v>8</v>
      </c>
      <c r="W12" s="1553">
        <f t="shared" si="2"/>
        <v>100</v>
      </c>
      <c r="X12" s="1554"/>
      <c r="Y12" s="3744"/>
      <c r="Z12" s="1143">
        <f t="shared" si="7"/>
        <v>111</v>
      </c>
      <c r="AA12" s="1555">
        <f>D12/F12</f>
        <v>1</v>
      </c>
      <c r="AB12" s="1555">
        <f>D12/H12</f>
        <v>1</v>
      </c>
      <c r="AC12" s="1555">
        <f>D12/J12</f>
        <v>1</v>
      </c>
    </row>
    <row r="13" spans="1:29" ht="15.75"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787"/>
      <c r="Q13" s="1144">
        <f t="shared" si="6"/>
        <v>111</v>
      </c>
      <c r="R13" s="1552" t="s">
        <v>8</v>
      </c>
      <c r="S13" s="1553">
        <f t="shared" si="0"/>
        <v>100</v>
      </c>
      <c r="T13" s="1552" t="s">
        <v>8</v>
      </c>
      <c r="U13" s="1553">
        <f t="shared" si="1"/>
        <v>100</v>
      </c>
      <c r="V13" s="1552" t="s">
        <v>8</v>
      </c>
      <c r="W13" s="1553">
        <f t="shared" si="2"/>
        <v>100</v>
      </c>
      <c r="X13" s="1554"/>
      <c r="Y13" s="3744"/>
      <c r="Z13" s="1143">
        <f t="shared" si="7"/>
        <v>111</v>
      </c>
      <c r="AA13" s="1555">
        <f t="shared" si="3"/>
        <v>1</v>
      </c>
      <c r="AB13" s="1555">
        <f t="shared" si="4"/>
        <v>1</v>
      </c>
      <c r="AC13" s="1555">
        <f t="shared" si="5"/>
        <v>1</v>
      </c>
    </row>
    <row r="14" spans="1:29" ht="85.5">
      <c r="A14" s="2861" t="s">
        <v>2750</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789" t="s">
        <v>540</v>
      </c>
      <c r="Q14" s="1556" t="str">
        <f t="shared" si="6"/>
        <v>交通便捷度</v>
      </c>
      <c r="R14" s="1557" t="s">
        <v>8</v>
      </c>
      <c r="S14" s="1558">
        <f t="shared" si="0"/>
        <v>100</v>
      </c>
      <c r="T14" s="1557" t="s">
        <v>8</v>
      </c>
      <c r="U14" s="1558">
        <f t="shared" si="1"/>
        <v>100</v>
      </c>
      <c r="V14" s="1557" t="s">
        <v>8</v>
      </c>
      <c r="W14" s="1558">
        <f t="shared" si="2"/>
        <v>100</v>
      </c>
      <c r="X14" s="1551"/>
      <c r="Y14" s="3789"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7"/>
      <c r="L15" s="2125"/>
      <c r="M15" s="2117"/>
      <c r="N15" s="2117"/>
      <c r="O15" s="2124"/>
      <c r="P15" s="3790"/>
      <c r="Q15" s="1556"/>
      <c r="R15" s="1557"/>
      <c r="S15" s="1558"/>
      <c r="T15" s="1557"/>
      <c r="U15" s="1558"/>
      <c r="V15" s="1557"/>
      <c r="W15" s="1558"/>
      <c r="X15" s="1551"/>
      <c r="Y15" s="3790"/>
      <c r="Z15" s="1559"/>
      <c r="AA15" s="1560">
        <v>1</v>
      </c>
      <c r="AB15" s="1560">
        <v>1</v>
      </c>
      <c r="AC15" s="1560">
        <v>1</v>
      </c>
    </row>
    <row r="16" spans="1:29" ht="42.75">
      <c r="A16" s="531"/>
      <c r="B16" s="2563"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790"/>
      <c r="Q16" s="1556" t="str">
        <f>B16</f>
        <v>公共配套设施</v>
      </c>
      <c r="R16" s="1557" t="s">
        <v>8</v>
      </c>
      <c r="S16" s="1558">
        <f>F16</f>
        <v>100</v>
      </c>
      <c r="T16" s="1557" t="s">
        <v>8</v>
      </c>
      <c r="U16" s="1558">
        <f>H16</f>
        <v>100</v>
      </c>
      <c r="V16" s="1557" t="s">
        <v>8</v>
      </c>
      <c r="W16" s="1558">
        <f>J16</f>
        <v>100</v>
      </c>
      <c r="X16" s="1551"/>
      <c r="Y16" s="3790"/>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7"/>
      <c r="L17" s="2125"/>
      <c r="M17" s="2117"/>
      <c r="N17" s="2117"/>
      <c r="O17" s="2124"/>
      <c r="P17" s="3790"/>
      <c r="Q17" s="1556"/>
      <c r="R17" s="1557"/>
      <c r="S17" s="1558"/>
      <c r="T17" s="1557"/>
      <c r="U17" s="1558"/>
      <c r="V17" s="1557"/>
      <c r="W17" s="1558"/>
      <c r="X17" s="1551"/>
      <c r="Y17" s="3790"/>
      <c r="Z17" s="1559"/>
      <c r="AA17" s="1560">
        <v>1</v>
      </c>
      <c r="AB17" s="1560">
        <v>1</v>
      </c>
      <c r="AC17" s="1560">
        <v>1</v>
      </c>
    </row>
    <row r="18" spans="1:29" ht="28.5">
      <c r="A18" s="531"/>
      <c r="B18" s="2551"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790"/>
      <c r="Q18" s="2539" t="str">
        <f>B18</f>
        <v>基础设施水平</v>
      </c>
      <c r="R18" s="1557" t="s">
        <v>8</v>
      </c>
      <c r="S18" s="1558">
        <f>F18</f>
        <v>100</v>
      </c>
      <c r="T18" s="1557" t="s">
        <v>8</v>
      </c>
      <c r="U18" s="1558">
        <f>H18</f>
        <v>100</v>
      </c>
      <c r="V18" s="1557" t="s">
        <v>8</v>
      </c>
      <c r="W18" s="1558">
        <f>J18</f>
        <v>100</v>
      </c>
      <c r="X18" s="2541"/>
      <c r="Y18" s="3790"/>
      <c r="Z18" s="2540" t="str">
        <f>Q18</f>
        <v>基础设施水平</v>
      </c>
      <c r="AA18" s="1560">
        <f>D18/F18</f>
        <v>1</v>
      </c>
      <c r="AB18" s="1560">
        <f>D18/H18</f>
        <v>1</v>
      </c>
      <c r="AC18" s="1560">
        <f>D18/J18</f>
        <v>1</v>
      </c>
    </row>
    <row r="19" spans="1:29" ht="15">
      <c r="A19" s="531"/>
      <c r="B19" s="577"/>
      <c r="C19" s="872"/>
      <c r="D19" s="558"/>
      <c r="E19" s="872"/>
      <c r="F19" s="562"/>
      <c r="G19" s="872"/>
      <c r="H19" s="554"/>
      <c r="I19" s="575"/>
      <c r="J19" s="554"/>
      <c r="K19" s="2562"/>
      <c r="L19" s="2125"/>
      <c r="M19" s="2117"/>
      <c r="N19" s="2117"/>
      <c r="O19" s="2124"/>
      <c r="P19" s="3790"/>
      <c r="Q19" s="2539"/>
      <c r="R19" s="1557"/>
      <c r="S19" s="1558"/>
      <c r="T19" s="1557"/>
      <c r="U19" s="1558"/>
      <c r="V19" s="1557"/>
      <c r="W19" s="1558"/>
      <c r="X19" s="2541"/>
      <c r="Y19" s="3790"/>
      <c r="Z19" s="2540"/>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790"/>
      <c r="Q20" s="1556" t="str">
        <f>B20</f>
        <v>自然及人文环境</v>
      </c>
      <c r="R20" s="1557" t="s">
        <v>8</v>
      </c>
      <c r="S20" s="1558">
        <f>F20</f>
        <v>100</v>
      </c>
      <c r="T20" s="1557" t="s">
        <v>8</v>
      </c>
      <c r="U20" s="1558">
        <f>H20</f>
        <v>100</v>
      </c>
      <c r="V20" s="1557" t="s">
        <v>8</v>
      </c>
      <c r="W20" s="1558">
        <f>J20</f>
        <v>100</v>
      </c>
      <c r="X20" s="1551"/>
      <c r="Y20" s="3790"/>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7"/>
      <c r="L21" s="2125"/>
      <c r="M21" s="2117"/>
      <c r="N21" s="2117"/>
      <c r="O21" s="2124"/>
      <c r="P21" s="3790"/>
      <c r="Q21" s="1556"/>
      <c r="R21" s="1557"/>
      <c r="S21" s="1558"/>
      <c r="T21" s="1557"/>
      <c r="U21" s="1558"/>
      <c r="V21" s="1557"/>
      <c r="W21" s="1558"/>
      <c r="X21" s="1551"/>
      <c r="Y21" s="3790"/>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790"/>
      <c r="Q22" s="1556" t="str">
        <f>B22</f>
        <v>楼层</v>
      </c>
      <c r="R22" s="1557" t="s">
        <v>8</v>
      </c>
      <c r="S22" s="1558">
        <f>F22</f>
        <v>100</v>
      </c>
      <c r="T22" s="1557" t="s">
        <v>8</v>
      </c>
      <c r="U22" s="1558">
        <f>H22</f>
        <v>100</v>
      </c>
      <c r="V22" s="1557" t="s">
        <v>8</v>
      </c>
      <c r="W22" s="1558">
        <f>J22</f>
        <v>100</v>
      </c>
      <c r="X22" s="1551"/>
      <c r="Y22" s="3790"/>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790"/>
      <c r="Q23" s="1556">
        <f>B23</f>
        <v>111</v>
      </c>
      <c r="R23" s="1557" t="s">
        <v>8</v>
      </c>
      <c r="S23" s="1558">
        <f>F23</f>
        <v>100</v>
      </c>
      <c r="T23" s="1557" t="s">
        <v>8</v>
      </c>
      <c r="U23" s="1558">
        <f>H23</f>
        <v>100</v>
      </c>
      <c r="V23" s="1557" t="s">
        <v>8</v>
      </c>
      <c r="W23" s="1558">
        <f>J23</f>
        <v>100</v>
      </c>
      <c r="X23" s="1551"/>
      <c r="Y23" s="3790"/>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790"/>
      <c r="Q24" s="1556">
        <f t="shared" ref="Q24:Q34" si="8">B24</f>
        <v>111</v>
      </c>
      <c r="R24" s="1557" t="s">
        <v>8</v>
      </c>
      <c r="S24" s="1558">
        <f>F24</f>
        <v>100</v>
      </c>
      <c r="T24" s="1557" t="s">
        <v>8</v>
      </c>
      <c r="U24" s="1558">
        <f>H24</f>
        <v>100</v>
      </c>
      <c r="V24" s="1557" t="s">
        <v>8</v>
      </c>
      <c r="W24" s="1558">
        <f>J24</f>
        <v>100</v>
      </c>
      <c r="X24" s="1551"/>
      <c r="Y24" s="3790"/>
      <c r="Z24" s="1559">
        <f>Q24</f>
        <v>111</v>
      </c>
      <c r="AA24" s="1560">
        <f t="shared" si="3"/>
        <v>1</v>
      </c>
      <c r="AB24" s="1560">
        <f t="shared" si="4"/>
        <v>1</v>
      </c>
      <c r="AC24" s="1560">
        <f t="shared" si="5"/>
        <v>1</v>
      </c>
    </row>
    <row r="25" spans="1:29" s="1213"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790"/>
      <c r="Q25" s="1144">
        <f t="shared" si="8"/>
        <v>111</v>
      </c>
      <c r="R25" s="1552" t="s">
        <v>8</v>
      </c>
      <c r="S25" s="1553">
        <f>F25</f>
        <v>100</v>
      </c>
      <c r="T25" s="1552" t="s">
        <v>8</v>
      </c>
      <c r="U25" s="1553">
        <f>H25</f>
        <v>100</v>
      </c>
      <c r="V25" s="1552" t="s">
        <v>8</v>
      </c>
      <c r="W25" s="1553">
        <f>J25</f>
        <v>100</v>
      </c>
      <c r="X25" s="1554"/>
      <c r="Y25" s="3790"/>
      <c r="Z25" s="1143">
        <f>Q25</f>
        <v>111</v>
      </c>
      <c r="AA25" s="1560">
        <f>D25/F25</f>
        <v>1</v>
      </c>
      <c r="AB25" s="1560">
        <f>D25/H25</f>
        <v>1</v>
      </c>
      <c r="AC25" s="1560">
        <f>D25/J25</f>
        <v>1</v>
      </c>
    </row>
    <row r="26" spans="1:29" ht="15">
      <c r="A26" s="2858" t="s">
        <v>2751</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791" t="s">
        <v>821</v>
      </c>
      <c r="Q26" s="1556" t="str">
        <f t="shared" si="8"/>
        <v>公共部分装修</v>
      </c>
      <c r="R26" s="1557" t="s">
        <v>8</v>
      </c>
      <c r="S26" s="1558">
        <f t="shared" ref="S26:S34" si="9">F26</f>
        <v>100</v>
      </c>
      <c r="T26" s="1557" t="s">
        <v>8</v>
      </c>
      <c r="U26" s="1558">
        <f t="shared" ref="U26:U34" si="10">H26</f>
        <v>100</v>
      </c>
      <c r="V26" s="1557" t="s">
        <v>8</v>
      </c>
      <c r="W26" s="1558">
        <f t="shared" ref="W26:W34" si="11">J26</f>
        <v>100</v>
      </c>
      <c r="X26" s="1551"/>
      <c r="Y26" s="3792" t="s">
        <v>821</v>
      </c>
      <c r="Z26" s="1559" t="str">
        <f t="shared" ref="Z26:Z34" si="12">Q26</f>
        <v>公共部分装修</v>
      </c>
      <c r="AA26" s="1560">
        <f t="shared" si="3"/>
        <v>1</v>
      </c>
      <c r="AB26" s="1560">
        <f t="shared" si="4"/>
        <v>1</v>
      </c>
      <c r="AC26" s="1560">
        <f t="shared" si="5"/>
        <v>1</v>
      </c>
    </row>
    <row r="27" spans="1:29" s="1332"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792"/>
      <c r="Q27" s="1588" t="str">
        <f t="shared" si="8"/>
        <v>成新率</v>
      </c>
      <c r="R27" s="1561" t="s">
        <v>8</v>
      </c>
      <c r="S27" s="1562" t="e">
        <f t="shared" si="9"/>
        <v>#N/A</v>
      </c>
      <c r="T27" s="1561" t="s">
        <v>8</v>
      </c>
      <c r="U27" s="1562" t="e">
        <f t="shared" si="10"/>
        <v>#N/A</v>
      </c>
      <c r="V27" s="1561" t="s">
        <v>8</v>
      </c>
      <c r="W27" s="1562" t="e">
        <f t="shared" si="11"/>
        <v>#N/A</v>
      </c>
      <c r="X27" s="1563"/>
      <c r="Y27" s="3792"/>
      <c r="Z27" s="1564" t="str">
        <f t="shared" si="12"/>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792"/>
      <c r="Q28" s="1556" t="str">
        <f t="shared" si="8"/>
        <v>物业等级</v>
      </c>
      <c r="R28" s="1557" t="s">
        <v>8</v>
      </c>
      <c r="S28" s="1558">
        <f t="shared" si="9"/>
        <v>100</v>
      </c>
      <c r="T28" s="1557" t="s">
        <v>8</v>
      </c>
      <c r="U28" s="1558">
        <f t="shared" si="10"/>
        <v>100</v>
      </c>
      <c r="V28" s="1557" t="s">
        <v>8</v>
      </c>
      <c r="W28" s="1558">
        <f t="shared" si="11"/>
        <v>100</v>
      </c>
      <c r="X28" s="1551"/>
      <c r="Y28" s="3792"/>
      <c r="Z28" s="1559" t="str">
        <f t="shared" si="12"/>
        <v>物业等级</v>
      </c>
      <c r="AA28" s="1560">
        <f t="shared" si="3"/>
        <v>1</v>
      </c>
      <c r="AB28" s="1560">
        <f t="shared" si="4"/>
        <v>1</v>
      </c>
      <c r="AC28" s="1560">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792"/>
      <c r="Q29" s="1556" t="str">
        <f t="shared" si="8"/>
        <v>有无电梯</v>
      </c>
      <c r="R29" s="1557" t="s">
        <v>8</v>
      </c>
      <c r="S29" s="1558">
        <f t="shared" si="9"/>
        <v>100</v>
      </c>
      <c r="T29" s="1557" t="s">
        <v>8</v>
      </c>
      <c r="U29" s="1558">
        <f t="shared" si="10"/>
        <v>100</v>
      </c>
      <c r="V29" s="1557" t="s">
        <v>8</v>
      </c>
      <c r="W29" s="1558">
        <f t="shared" si="11"/>
        <v>100</v>
      </c>
      <c r="X29" s="1551"/>
      <c r="Y29" s="3792"/>
      <c r="Z29" s="1559" t="str">
        <f t="shared" si="12"/>
        <v>有无电梯</v>
      </c>
      <c r="AA29" s="1560">
        <f t="shared" si="3"/>
        <v>1</v>
      </c>
      <c r="AB29" s="1560">
        <f t="shared" si="4"/>
        <v>1</v>
      </c>
      <c r="AC29" s="1560">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792"/>
      <c r="Q30" s="1556" t="str">
        <f t="shared" si="8"/>
        <v>建筑面积</v>
      </c>
      <c r="R30" s="1557" t="s">
        <v>8</v>
      </c>
      <c r="S30" s="1558" t="e">
        <f t="shared" si="9"/>
        <v>#N/A</v>
      </c>
      <c r="T30" s="1557" t="s">
        <v>8</v>
      </c>
      <c r="U30" s="1558" t="e">
        <f t="shared" si="10"/>
        <v>#N/A</v>
      </c>
      <c r="V30" s="1557" t="s">
        <v>8</v>
      </c>
      <c r="W30" s="1558" t="e">
        <f t="shared" si="11"/>
        <v>#N/A</v>
      </c>
      <c r="X30" s="1551"/>
      <c r="Y30" s="3792"/>
      <c r="Z30" s="1559" t="str">
        <f t="shared" si="12"/>
        <v>建筑面积</v>
      </c>
      <c r="AA30" s="1560" t="e">
        <f t="shared" si="3"/>
        <v>#N/A</v>
      </c>
      <c r="AB30" s="1560" t="e">
        <f t="shared" si="4"/>
        <v>#N/A</v>
      </c>
      <c r="AC30" s="1560" t="e">
        <f t="shared" si="5"/>
        <v>#N/A</v>
      </c>
    </row>
    <row r="31" spans="1:29" s="1213"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792"/>
      <c r="Q31" s="1144" t="str">
        <f t="shared" si="8"/>
        <v>是否封闭</v>
      </c>
      <c r="R31" s="1552" t="s">
        <v>8</v>
      </c>
      <c r="S31" s="1553">
        <f t="shared" si="9"/>
        <v>100</v>
      </c>
      <c r="T31" s="1552" t="s">
        <v>8</v>
      </c>
      <c r="U31" s="1553">
        <f t="shared" si="10"/>
        <v>100</v>
      </c>
      <c r="V31" s="1552" t="s">
        <v>8</v>
      </c>
      <c r="W31" s="1553">
        <f t="shared" si="11"/>
        <v>100</v>
      </c>
      <c r="X31" s="1554"/>
      <c r="Y31" s="3792"/>
      <c r="Z31" s="1143" t="str">
        <f t="shared" si="12"/>
        <v>是否封闭</v>
      </c>
      <c r="AA31" s="1555">
        <f t="shared" si="3"/>
        <v>1</v>
      </c>
      <c r="AB31" s="1555">
        <f t="shared" si="4"/>
        <v>1</v>
      </c>
      <c r="AC31" s="1555">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792" t="s">
        <v>550</v>
      </c>
      <c r="Q32" s="1556">
        <f t="shared" si="8"/>
        <v>111</v>
      </c>
      <c r="R32" s="1557" t="s">
        <v>8</v>
      </c>
      <c r="S32" s="1558">
        <f t="shared" si="9"/>
        <v>100</v>
      </c>
      <c r="T32" s="1557" t="s">
        <v>8</v>
      </c>
      <c r="U32" s="1558">
        <f t="shared" si="10"/>
        <v>100</v>
      </c>
      <c r="V32" s="1557" t="s">
        <v>8</v>
      </c>
      <c r="W32" s="1558">
        <f t="shared" si="11"/>
        <v>100</v>
      </c>
      <c r="X32" s="1551"/>
      <c r="Y32" s="3792" t="s">
        <v>550</v>
      </c>
      <c r="Z32" s="1559">
        <f t="shared" si="12"/>
        <v>111</v>
      </c>
      <c r="AA32" s="1560">
        <f t="shared" si="3"/>
        <v>1</v>
      </c>
      <c r="AB32" s="1560">
        <f t="shared" si="4"/>
        <v>1</v>
      </c>
      <c r="AC32" s="1560">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792"/>
      <c r="Q33" s="1556">
        <f t="shared" si="8"/>
        <v>111</v>
      </c>
      <c r="R33" s="1557" t="s">
        <v>8</v>
      </c>
      <c r="S33" s="1558">
        <f t="shared" si="9"/>
        <v>100</v>
      </c>
      <c r="T33" s="1557" t="s">
        <v>8</v>
      </c>
      <c r="U33" s="1558">
        <f t="shared" si="10"/>
        <v>100</v>
      </c>
      <c r="V33" s="1557" t="s">
        <v>8</v>
      </c>
      <c r="W33" s="1558">
        <f t="shared" si="11"/>
        <v>100</v>
      </c>
      <c r="X33" s="1551"/>
      <c r="Y33" s="3792"/>
      <c r="Z33" s="1559">
        <f t="shared" si="12"/>
        <v>111</v>
      </c>
      <c r="AA33" s="1560">
        <f t="shared" si="3"/>
        <v>1</v>
      </c>
      <c r="AB33" s="1560">
        <f t="shared" si="4"/>
        <v>1</v>
      </c>
      <c r="AC33" s="1560">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792"/>
      <c r="Q34" s="1556">
        <f t="shared" si="8"/>
        <v>111</v>
      </c>
      <c r="R34" s="1557" t="s">
        <v>8</v>
      </c>
      <c r="S34" s="1558">
        <f t="shared" si="9"/>
        <v>100</v>
      </c>
      <c r="T34" s="1557" t="s">
        <v>8</v>
      </c>
      <c r="U34" s="1558">
        <f t="shared" si="10"/>
        <v>100</v>
      </c>
      <c r="V34" s="1557" t="s">
        <v>8</v>
      </c>
      <c r="W34" s="1558">
        <f t="shared" si="11"/>
        <v>100</v>
      </c>
      <c r="X34" s="1551"/>
      <c r="Y34" s="3792"/>
      <c r="Z34" s="1559">
        <f t="shared" si="12"/>
        <v>111</v>
      </c>
      <c r="AA34" s="1560">
        <f t="shared" si="3"/>
        <v>1</v>
      </c>
      <c r="AB34" s="1560">
        <f t="shared" si="4"/>
        <v>1</v>
      </c>
      <c r="AC34" s="1560">
        <f t="shared" si="5"/>
        <v>1</v>
      </c>
    </row>
    <row r="35" spans="1:29" ht="15">
      <c r="A35" s="606" t="s">
        <v>736</v>
      </c>
      <c r="B35" s="885"/>
      <c r="C35" s="2587" t="s">
        <v>1</v>
      </c>
      <c r="D35" s="2588"/>
      <c r="E35" s="2589"/>
      <c r="F35" s="2590"/>
      <c r="G35" s="2591"/>
      <c r="H35" s="2592"/>
      <c r="I35" s="2589"/>
      <c r="J35" s="2592"/>
      <c r="K35" s="1594"/>
      <c r="L35" s="2127"/>
      <c r="M35" s="2128"/>
      <c r="N35" s="2117"/>
      <c r="O35" s="2128"/>
      <c r="P35" s="3787" t="str">
        <f>A35</f>
        <v>成交单价（元/平方米）</v>
      </c>
      <c r="Q35" s="3787"/>
      <c r="R35" s="3870">
        <f>E35</f>
        <v>0</v>
      </c>
      <c r="S35" s="3870"/>
      <c r="T35" s="3870">
        <f>G35</f>
        <v>0</v>
      </c>
      <c r="U35" s="3870"/>
      <c r="V35" s="3870">
        <f>I35</f>
        <v>0</v>
      </c>
      <c r="W35" s="3870"/>
      <c r="X35" s="1543"/>
      <c r="Y35" s="1565"/>
      <c r="Z35" s="1543"/>
      <c r="AA35" s="1543"/>
      <c r="AB35" s="1543"/>
      <c r="AC35" s="1543"/>
    </row>
    <row r="36" spans="1:29" ht="15.75" thickBot="1">
      <c r="A36" s="614" t="s">
        <v>2756</v>
      </c>
      <c r="B36" s="886"/>
      <c r="C36" s="2593" t="e">
        <f>R37</f>
        <v>#DIV/0!</v>
      </c>
      <c r="D36" s="2594"/>
      <c r="E36" s="2595" t="e">
        <f>R36</f>
        <v>#DIV/0!</v>
      </c>
      <c r="F36" s="2595"/>
      <c r="G36" s="2593" t="e">
        <f>T36</f>
        <v>#DIV/0!</v>
      </c>
      <c r="H36" s="2594"/>
      <c r="I36" s="2595" t="e">
        <f>V36</f>
        <v>#DIV/0!</v>
      </c>
      <c r="J36" s="2594"/>
      <c r="K36" s="1595"/>
      <c r="L36" s="2127"/>
      <c r="M36" s="2128"/>
      <c r="N36" s="2117"/>
      <c r="O36" s="2128"/>
      <c r="P36" s="3787" t="str">
        <f>A36</f>
        <v>比较价格（元/平方米）</v>
      </c>
      <c r="Q36" s="3787"/>
      <c r="R36" s="3870" t="e">
        <f>IF(F1="售价",ROUND(PRODUCT(R35,AA7:AA34),0),ROUND(PRODUCT(R35,AA7:AA34),1))</f>
        <v>#DIV/0!</v>
      </c>
      <c r="S36" s="3870"/>
      <c r="T36" s="3870" t="e">
        <f>IF(F1="售价",ROUND(PRODUCT(T35,AB7:AB34),0),ROUND(PRODUCT(T35,AB7:AB34),1))</f>
        <v>#DIV/0!</v>
      </c>
      <c r="U36" s="3870"/>
      <c r="V36" s="3870" t="e">
        <f>IF(F1="售价",ROUND(PRODUCT(V35,AC7:AC34),0),ROUND(PRODUCT(V35,AC7:AC34),1))</f>
        <v>#DIV/0!</v>
      </c>
      <c r="W36" s="3870"/>
      <c r="X36" s="1543"/>
      <c r="Y36" s="1543"/>
      <c r="Z36" s="1543"/>
      <c r="AA36" s="1543"/>
      <c r="AB36" s="1543"/>
      <c r="AC36" s="1543"/>
    </row>
    <row r="37" spans="1:29" ht="15.75" thickBot="1">
      <c r="A37" s="620" t="s">
        <v>2930</v>
      </c>
      <c r="B37" s="621"/>
      <c r="C37" s="2596" t="e">
        <f>R37</f>
        <v>#DIV/0!</v>
      </c>
      <c r="D37" s="2596"/>
      <c r="E37" s="2596"/>
      <c r="F37" s="2596"/>
      <c r="G37" s="2596"/>
      <c r="H37" s="2596"/>
      <c r="I37" s="2596"/>
      <c r="J37" s="2596"/>
      <c r="K37" s="1596"/>
      <c r="L37" s="2127"/>
      <c r="M37" s="2128"/>
      <c r="N37" s="2128"/>
      <c r="O37" s="2128"/>
      <c r="P37" s="3808" t="str">
        <f>A37</f>
        <v>估价对象XX用房的比较价格（楼面单价，元/平方米）</v>
      </c>
      <c r="Q37" s="3809"/>
      <c r="R37" s="3869" t="e">
        <f>IF(F1="售价",ROUND(AVERAGE(R36:V36),0),ROUND(AVERAGE(R36:V36),1))</f>
        <v>#DIV/0!</v>
      </c>
      <c r="S37" s="3869"/>
      <c r="T37" s="3869"/>
      <c r="U37" s="3869"/>
      <c r="V37" s="3869"/>
      <c r="W37" s="3869"/>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4" t="s">
        <v>529</v>
      </c>
      <c r="B46" s="645"/>
      <c r="C46" s="2753" t="str">
        <f>YEAR(C7)&amp;"-"&amp;MONTH(C7)</f>
        <v>2020-5</v>
      </c>
      <c r="D46" s="2755">
        <f>EDATE(C46,-1)</f>
        <v>43922</v>
      </c>
      <c r="E46" s="2755">
        <f t="shared" ref="E46:O46" si="13">EDATE(D46,-1)</f>
        <v>43891</v>
      </c>
      <c r="F46" s="2755">
        <f t="shared" si="13"/>
        <v>43862</v>
      </c>
      <c r="G46" s="2755">
        <f t="shared" si="13"/>
        <v>43831</v>
      </c>
      <c r="H46" s="2755">
        <f t="shared" si="13"/>
        <v>43800</v>
      </c>
      <c r="I46" s="2755">
        <f t="shared" si="13"/>
        <v>43770</v>
      </c>
      <c r="J46" s="2755">
        <f t="shared" si="13"/>
        <v>43739</v>
      </c>
      <c r="K46" s="2755">
        <f t="shared" si="13"/>
        <v>43709</v>
      </c>
      <c r="L46" s="2755">
        <f t="shared" si="13"/>
        <v>43678</v>
      </c>
      <c r="M46" s="2755">
        <f t="shared" si="13"/>
        <v>43647</v>
      </c>
      <c r="N46" s="2755">
        <f t="shared" si="13"/>
        <v>43617</v>
      </c>
      <c r="O46" s="2755">
        <f t="shared" si="13"/>
        <v>43586</v>
      </c>
      <c r="P46" s="2143"/>
      <c r="Q46" s="2144"/>
      <c r="R46" s="2144"/>
      <c r="S46" s="2144"/>
      <c r="T46" s="2144"/>
      <c r="U46" s="2144"/>
      <c r="V46" s="2144"/>
      <c r="W46" s="2144"/>
      <c r="X46" s="2144"/>
      <c r="Y46" s="2144"/>
      <c r="Z46" s="2144"/>
      <c r="AA46" s="2144"/>
      <c r="AB46" s="2144"/>
      <c r="AC46" s="2144"/>
    </row>
    <row r="47" spans="1:29" s="1213"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3"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3"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2554</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7" t="s">
        <v>2555</v>
      </c>
      <c r="C65" s="2558" t="s">
        <v>2556</v>
      </c>
      <c r="D65" s="2558" t="s">
        <v>2557</v>
      </c>
      <c r="E65" s="2558" t="s">
        <v>2558</v>
      </c>
      <c r="F65" s="2558" t="s">
        <v>2559</v>
      </c>
      <c r="G65" s="2558" t="s">
        <v>2560</v>
      </c>
      <c r="H65" s="673"/>
      <c r="I65" s="673"/>
      <c r="J65" s="673"/>
      <c r="K65" s="673"/>
      <c r="L65" s="673"/>
      <c r="M65" s="2561"/>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2"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6" t="s">
        <v>2300</v>
      </c>
      <c r="C1" s="3902" t="s">
        <v>2301</v>
      </c>
      <c r="D1" s="3903"/>
      <c r="E1" s="3903"/>
      <c r="F1" s="3903"/>
      <c r="G1" s="3903"/>
      <c r="H1" s="3903"/>
      <c r="I1" s="3903"/>
      <c r="J1" s="3903"/>
      <c r="K1" s="3903"/>
      <c r="L1" s="3903"/>
      <c r="M1" s="3903"/>
      <c r="N1" s="3903"/>
      <c r="O1" s="3903"/>
      <c r="P1" s="3903"/>
      <c r="Q1" s="3903"/>
      <c r="R1" s="3903"/>
      <c r="S1" s="3904"/>
      <c r="T1" s="2216"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7"/>
      <c r="B2" s="947" t="s">
        <v>2303</v>
      </c>
      <c r="C2" s="948" t="str">
        <f t="shared" ref="C2:L2" si="0">C3&amp;"(含)"&amp;"-"&amp;D3</f>
        <v>0(含)-30000</v>
      </c>
      <c r="D2" s="949" t="str">
        <f t="shared" si="0"/>
        <v>30000(含)-50000</v>
      </c>
      <c r="E2" s="949" t="str">
        <f t="shared" si="0"/>
        <v>50000(含)-70000</v>
      </c>
      <c r="F2" s="949" t="str">
        <f t="shared" si="0"/>
        <v>70000(含)-</v>
      </c>
      <c r="G2" s="949" t="str">
        <f t="shared" si="0"/>
        <v>(含)-</v>
      </c>
      <c r="H2" s="949" t="str">
        <f t="shared" si="0"/>
        <v>(含)-</v>
      </c>
      <c r="I2" s="949" t="str">
        <f t="shared" si="0"/>
        <v>(含)-</v>
      </c>
      <c r="J2" s="949" t="str">
        <f t="shared" si="0"/>
        <v>(含)-</v>
      </c>
      <c r="K2" s="949" t="str">
        <f t="shared" si="0"/>
        <v>(含)-</v>
      </c>
      <c r="L2" s="949" t="str">
        <f t="shared" si="0"/>
        <v>(含)-</v>
      </c>
      <c r="M2" s="949" t="str">
        <f t="shared" ref="M2:R2" si="1">M3&amp;"(含)"&amp;"-"&amp;N3</f>
        <v>(含)-</v>
      </c>
      <c r="N2" s="949" t="str">
        <f t="shared" si="1"/>
        <v>(含)-</v>
      </c>
      <c r="O2" s="949" t="str">
        <f t="shared" si="1"/>
        <v>(含)-</v>
      </c>
      <c r="P2" s="949" t="str">
        <f t="shared" si="1"/>
        <v>(含)-</v>
      </c>
      <c r="Q2" s="949" t="str">
        <f t="shared" si="1"/>
        <v>(含)-</v>
      </c>
      <c r="R2" s="949" t="str">
        <f t="shared" si="1"/>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4" customFormat="1" ht="14.25">
      <c r="A3" s="2220"/>
      <c r="B3" s="951"/>
      <c r="C3" s="729">
        <v>0</v>
      </c>
      <c r="D3" s="729">
        <v>30000</v>
      </c>
      <c r="E3" s="729">
        <v>50000</v>
      </c>
      <c r="F3" s="729">
        <v>70000</v>
      </c>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4" customFormat="1" ht="15" thickBot="1">
      <c r="A4" s="2225"/>
      <c r="B4" s="2226"/>
      <c r="C4" s="699">
        <v>94</v>
      </c>
      <c r="D4" s="725">
        <v>96</v>
      </c>
      <c r="E4" s="725">
        <v>98</v>
      </c>
      <c r="F4" s="725">
        <v>100</v>
      </c>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5" customFormat="1">
      <c r="A5" s="2233"/>
      <c r="B5" s="3037" t="s">
        <v>2923</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5" customFormat="1" ht="13.5" thickBot="1">
      <c r="A6" s="2233"/>
      <c r="B6" s="1947"/>
      <c r="C6" s="1951">
        <v>100</v>
      </c>
      <c r="D6" s="1952">
        <f>C6-$T5</f>
        <v>100</v>
      </c>
      <c r="E6" s="1952">
        <f t="shared" ref="E6:S6" si="2">D6-$T5</f>
        <v>100</v>
      </c>
      <c r="F6" s="1952">
        <f t="shared" si="2"/>
        <v>100</v>
      </c>
      <c r="G6" s="1952">
        <f t="shared" si="2"/>
        <v>100</v>
      </c>
      <c r="H6" s="1952">
        <f t="shared" si="2"/>
        <v>100</v>
      </c>
      <c r="I6" s="1952">
        <f t="shared" si="2"/>
        <v>100</v>
      </c>
      <c r="J6" s="1952">
        <f t="shared" si="2"/>
        <v>100</v>
      </c>
      <c r="K6" s="1952">
        <f t="shared" si="2"/>
        <v>100</v>
      </c>
      <c r="L6" s="1952">
        <f t="shared" si="2"/>
        <v>100</v>
      </c>
      <c r="M6" s="1952">
        <f t="shared" si="2"/>
        <v>100</v>
      </c>
      <c r="N6" s="1952">
        <f t="shared" si="2"/>
        <v>100</v>
      </c>
      <c r="O6" s="1952">
        <f t="shared" si="2"/>
        <v>100</v>
      </c>
      <c r="P6" s="1952">
        <f t="shared" si="2"/>
        <v>100</v>
      </c>
      <c r="Q6" s="1952">
        <f t="shared" si="2"/>
        <v>100</v>
      </c>
      <c r="R6" s="1952">
        <f t="shared" si="2"/>
        <v>100</v>
      </c>
      <c r="S6" s="1952">
        <f t="shared" si="2"/>
        <v>100</v>
      </c>
      <c r="T6" s="1950"/>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5" customFormat="1">
      <c r="A7" s="2233"/>
      <c r="B7" s="3039" t="s">
        <v>2922</v>
      </c>
      <c r="C7" s="1944"/>
      <c r="D7" s="1945"/>
      <c r="E7" s="1945"/>
      <c r="F7" s="1945"/>
      <c r="G7" s="1945"/>
      <c r="H7" s="1945"/>
      <c r="I7" s="1945"/>
      <c r="J7" s="1945"/>
      <c r="K7" s="1945"/>
      <c r="L7" s="1945"/>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5" customFormat="1" ht="13.5" thickBot="1">
      <c r="A8" s="2233"/>
      <c r="B8" s="1947"/>
      <c r="C8" s="1951">
        <v>100</v>
      </c>
      <c r="D8" s="1952">
        <f>C8-$T7</f>
        <v>100</v>
      </c>
      <c r="E8" s="1952">
        <f t="shared" ref="E8:S8" si="3">D8-$T7</f>
        <v>100</v>
      </c>
      <c r="F8" s="1952">
        <f t="shared" si="3"/>
        <v>100</v>
      </c>
      <c r="G8" s="1952">
        <f t="shared" si="3"/>
        <v>100</v>
      </c>
      <c r="H8" s="1952">
        <f t="shared" si="3"/>
        <v>100</v>
      </c>
      <c r="I8" s="1952">
        <f t="shared" si="3"/>
        <v>100</v>
      </c>
      <c r="J8" s="1952">
        <f t="shared" si="3"/>
        <v>100</v>
      </c>
      <c r="K8" s="1952">
        <f t="shared" si="3"/>
        <v>100</v>
      </c>
      <c r="L8" s="1952">
        <f t="shared" si="3"/>
        <v>100</v>
      </c>
      <c r="M8" s="1952">
        <f t="shared" si="3"/>
        <v>100</v>
      </c>
      <c r="N8" s="1952">
        <f t="shared" si="3"/>
        <v>100</v>
      </c>
      <c r="O8" s="1952">
        <f t="shared" si="3"/>
        <v>100</v>
      </c>
      <c r="P8" s="1952">
        <f t="shared" si="3"/>
        <v>100</v>
      </c>
      <c r="Q8" s="1952">
        <f t="shared" si="3"/>
        <v>100</v>
      </c>
      <c r="R8" s="1952">
        <f t="shared" si="3"/>
        <v>100</v>
      </c>
      <c r="S8" s="1952">
        <f t="shared" si="3"/>
        <v>100</v>
      </c>
      <c r="T8" s="1950"/>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5" customFormat="1">
      <c r="A9" s="2233"/>
      <c r="B9" s="3039" t="s">
        <v>2921</v>
      </c>
      <c r="C9" s="1944"/>
      <c r="D9" s="1945"/>
      <c r="E9" s="1945"/>
      <c r="F9" s="1945"/>
      <c r="G9" s="1945"/>
      <c r="H9" s="1945"/>
      <c r="I9" s="1945"/>
      <c r="J9" s="1945"/>
      <c r="K9" s="1945"/>
      <c r="L9" s="1946"/>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5" customFormat="1" ht="13.5" thickBot="1">
      <c r="A10" s="2233"/>
      <c r="B10" s="3038"/>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5" customFormat="1">
      <c r="A11" s="2233"/>
      <c r="B11" s="3037" t="s">
        <v>2934</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5" customFormat="1" ht="13.5" thickBot="1">
      <c r="A12" s="2233"/>
      <c r="B12" s="1947"/>
      <c r="C12" s="1951">
        <v>100</v>
      </c>
      <c r="D12" s="1952">
        <f>C12-$T11</f>
        <v>100</v>
      </c>
      <c r="E12" s="1952">
        <f t="shared" ref="E12:S12" si="5">D12-$T11</f>
        <v>100</v>
      </c>
      <c r="F12" s="1952">
        <f t="shared" si="5"/>
        <v>100</v>
      </c>
      <c r="G12" s="1952">
        <f t="shared" si="5"/>
        <v>100</v>
      </c>
      <c r="H12" s="1952">
        <f t="shared" si="5"/>
        <v>100</v>
      </c>
      <c r="I12" s="1952">
        <f t="shared" si="5"/>
        <v>100</v>
      </c>
      <c r="J12" s="1952">
        <f t="shared" si="5"/>
        <v>100</v>
      </c>
      <c r="K12" s="1952">
        <f t="shared" si="5"/>
        <v>100</v>
      </c>
      <c r="L12" s="1952">
        <f t="shared" si="5"/>
        <v>100</v>
      </c>
      <c r="M12" s="1952">
        <f t="shared" si="5"/>
        <v>100</v>
      </c>
      <c r="N12" s="1952">
        <f t="shared" si="5"/>
        <v>100</v>
      </c>
      <c r="O12" s="1952">
        <f t="shared" si="5"/>
        <v>100</v>
      </c>
      <c r="P12" s="1952">
        <f t="shared" si="5"/>
        <v>100</v>
      </c>
      <c r="Q12" s="1952">
        <f t="shared" si="5"/>
        <v>100</v>
      </c>
      <c r="R12" s="1952">
        <f t="shared" si="5"/>
        <v>100</v>
      </c>
      <c r="S12" s="1952">
        <f t="shared" si="5"/>
        <v>100</v>
      </c>
      <c r="T12" s="1950"/>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5" customFormat="1">
      <c r="A13" s="2233"/>
      <c r="B13" s="3037" t="s">
        <v>2920</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5" customFormat="1" ht="13.5" thickBot="1">
      <c r="A14" s="2233"/>
      <c r="B14" s="1947"/>
      <c r="C14" s="1948"/>
      <c r="D14" s="1949"/>
      <c r="E14" s="1949"/>
      <c r="F14" s="1949"/>
      <c r="G14" s="1949"/>
      <c r="H14" s="1949"/>
      <c r="I14" s="1949"/>
      <c r="J14" s="1949"/>
      <c r="K14" s="1949"/>
      <c r="L14" s="1949"/>
      <c r="M14" s="2257"/>
      <c r="N14" s="2257"/>
      <c r="O14" s="1949"/>
      <c r="P14" s="1949"/>
      <c r="Q14" s="1949"/>
      <c r="R14" s="1949"/>
      <c r="S14" s="2258"/>
      <c r="T14" s="1950"/>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5" customFormat="1">
      <c r="A15" s="2233"/>
      <c r="B15" s="3037" t="s">
        <v>2919</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5"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3" customFormat="1">
      <c r="A17" s="2259" t="s">
        <v>2304</v>
      </c>
      <c r="B17" s="2260" t="s">
        <v>2305</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3"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7" t="s">
        <v>828</v>
      </c>
      <c r="B20" s="774">
        <f ca="1">S22</f>
        <v>135091</v>
      </c>
      <c r="C20" s="1973"/>
      <c r="D20" s="1973"/>
      <c r="E20" s="1973"/>
      <c r="F20" s="1973"/>
      <c r="G20" s="1973"/>
      <c r="H20" s="1973"/>
      <c r="I20" s="1973"/>
      <c r="J20" s="1973"/>
      <c r="K20" s="1973"/>
      <c r="L20" s="1973"/>
      <c r="M20" s="1973"/>
      <c r="N20" s="1973"/>
      <c r="O20" s="1973"/>
      <c r="P20" s="1973"/>
      <c r="Q20" s="1973"/>
      <c r="R20" s="2208"/>
      <c r="S20" s="2011"/>
    </row>
    <row r="21" spans="1:45" ht="15.75">
      <c r="A21" s="957" t="s">
        <v>829</v>
      </c>
      <c r="B21" s="774">
        <f ca="1">R22</f>
        <v>12787</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105649.64</v>
      </c>
      <c r="C22" s="3899" t="s">
        <v>20</v>
      </c>
      <c r="D22" s="3900"/>
      <c r="E22" s="3900"/>
      <c r="F22" s="3900"/>
      <c r="G22" s="3900"/>
      <c r="H22" s="3900"/>
      <c r="I22" s="3900"/>
      <c r="J22" s="3900"/>
      <c r="K22" s="3900"/>
      <c r="L22" s="3900"/>
      <c r="M22" s="3900"/>
      <c r="N22" s="3900"/>
      <c r="O22" s="3900"/>
      <c r="P22" s="3900"/>
      <c r="Q22" s="3901"/>
      <c r="R22" s="489">
        <f ca="1">ROUND(S22*10000/B22,0)</f>
        <v>12787</v>
      </c>
      <c r="S22" s="53">
        <f ca="1">SUM(S24:S10000)</f>
        <v>135091</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8" t="s">
        <v>836</v>
      </c>
      <c r="B24" s="958">
        <f>'数据-基础表'!B16</f>
        <v>61677.15</v>
      </c>
      <c r="C24" s="959">
        <v>1</v>
      </c>
      <c r="D24" s="960"/>
      <c r="E24" s="959">
        <v>1</v>
      </c>
      <c r="F24" s="960"/>
      <c r="G24" s="959">
        <v>1</v>
      </c>
      <c r="H24" s="960"/>
      <c r="I24" s="959">
        <v>1</v>
      </c>
      <c r="J24" s="960"/>
      <c r="K24" s="959">
        <v>1</v>
      </c>
      <c r="L24" s="960"/>
      <c r="M24" s="959">
        <v>1</v>
      </c>
      <c r="N24" s="960"/>
      <c r="O24" s="959">
        <v>1</v>
      </c>
      <c r="P24" s="960"/>
      <c r="Q24" s="959">
        <v>1</v>
      </c>
      <c r="R24" s="961">
        <f ca="1">结果表!G21</f>
        <v>12894</v>
      </c>
      <c r="S24" s="959">
        <f t="shared" ref="S24:S54" ca="1" si="6">ROUND(R24*B24/10000,0)</f>
        <v>79527</v>
      </c>
      <c r="T24" s="1956"/>
      <c r="U24" s="1956">
        <f ca="1">R24*666.67/10000</f>
        <v>859.60429799999986</v>
      </c>
      <c r="V24" s="1956"/>
      <c r="W24" s="1956"/>
      <c r="X24" s="1956"/>
      <c r="Y24" s="1956"/>
      <c r="Z24" s="1956"/>
      <c r="AA24" s="1956"/>
      <c r="AB24" s="1956"/>
      <c r="AC24" s="1956"/>
      <c r="AD24" s="1956"/>
      <c r="AE24" s="1956"/>
      <c r="AF24" s="1956"/>
      <c r="AG24" s="1956"/>
      <c r="AH24" s="1956"/>
      <c r="AI24" s="1956"/>
    </row>
    <row r="25" spans="1:45">
      <c r="A25" s="962"/>
      <c r="B25" s="137">
        <f>'数据-基础表'!B17</f>
        <v>43972.49</v>
      </c>
      <c r="C25" s="53">
        <f>IF(B25="",1,(LOOKUP(B25,$3:$3,$4:$4)-LOOKUP($B$24,$3:$3,$4:$4)+100)/100)</f>
        <v>0.98</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 ca="1">IF(B25="",0,ROUND($R$24*C25*E25*G25*I25*K25*M25*O25*Q25,0))</f>
        <v>12636</v>
      </c>
      <c r="S25" s="798">
        <f t="shared" ca="1" si="6"/>
        <v>55564</v>
      </c>
      <c r="U25" s="1956">
        <f ca="1">R25*666.67/10000</f>
        <v>842.40421199999992</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9">
        <f t="shared" ref="R26:R89" si="15">IF(B26="",0,ROUND($R$24*C26*E26*G26*I26*K26*M26*O26*Q26,0))</f>
        <v>0</v>
      </c>
      <c r="S26" s="798">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9">
        <f t="shared" si="15"/>
        <v>0</v>
      </c>
      <c r="S27" s="798">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9">
        <f t="shared" si="15"/>
        <v>0</v>
      </c>
      <c r="S28" s="798">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9">
        <f t="shared" si="15"/>
        <v>0</v>
      </c>
      <c r="S29" s="798">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9">
        <f t="shared" si="15"/>
        <v>0</v>
      </c>
      <c r="S30" s="798">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9">
        <f t="shared" si="15"/>
        <v>0</v>
      </c>
      <c r="S31" s="798">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9">
        <f t="shared" si="15"/>
        <v>0</v>
      </c>
      <c r="S32" s="798">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9">
        <f t="shared" si="15"/>
        <v>0</v>
      </c>
      <c r="S33" s="798">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9">
        <f t="shared" si="15"/>
        <v>0</v>
      </c>
      <c r="S34" s="798">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9">
        <f t="shared" si="15"/>
        <v>0</v>
      </c>
      <c r="S35" s="798">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9">
        <f t="shared" si="15"/>
        <v>0</v>
      </c>
      <c r="S36" s="798">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9">
        <f t="shared" si="15"/>
        <v>0</v>
      </c>
      <c r="S37" s="798">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9">
        <f t="shared" si="15"/>
        <v>0</v>
      </c>
      <c r="S38" s="798">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9">
        <f t="shared" si="15"/>
        <v>0</v>
      </c>
      <c r="S39" s="798">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9">
        <f t="shared" si="15"/>
        <v>0</v>
      </c>
      <c r="S40" s="798">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9">
        <f t="shared" si="15"/>
        <v>0</v>
      </c>
      <c r="S41" s="798">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9">
        <f t="shared" si="15"/>
        <v>0</v>
      </c>
      <c r="S42" s="798">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9">
        <f t="shared" si="15"/>
        <v>0</v>
      </c>
      <c r="S43" s="798">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9">
        <f t="shared" si="15"/>
        <v>0</v>
      </c>
      <c r="S44" s="798">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9">
        <f t="shared" si="15"/>
        <v>0</v>
      </c>
      <c r="S45" s="798">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9">
        <f t="shared" si="15"/>
        <v>0</v>
      </c>
      <c r="S46" s="798">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9">
        <f t="shared" si="15"/>
        <v>0</v>
      </c>
      <c r="S47" s="798">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9">
        <f t="shared" si="15"/>
        <v>0</v>
      </c>
      <c r="S48" s="798">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9">
        <f t="shared" si="15"/>
        <v>0</v>
      </c>
      <c r="S49" s="798">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9">
        <f t="shared" si="15"/>
        <v>0</v>
      </c>
      <c r="S50" s="798">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9">
        <f t="shared" si="15"/>
        <v>0</v>
      </c>
      <c r="S51" s="798">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9">
        <f t="shared" si="15"/>
        <v>0</v>
      </c>
      <c r="S52" s="798">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9">
        <f t="shared" si="15"/>
        <v>0</v>
      </c>
      <c r="S53" s="798">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9">
        <f t="shared" si="15"/>
        <v>0</v>
      </c>
      <c r="S54" s="798">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9">
        <f t="shared" si="15"/>
        <v>0</v>
      </c>
      <c r="S55" s="798">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9">
        <f t="shared" si="15"/>
        <v>0</v>
      </c>
      <c r="S56" s="798">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9">
        <f t="shared" si="15"/>
        <v>0</v>
      </c>
      <c r="S57" s="798">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9">
        <f t="shared" si="15"/>
        <v>0</v>
      </c>
      <c r="S58" s="798">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9">
        <f t="shared" si="15"/>
        <v>0</v>
      </c>
      <c r="S59" s="798">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9">
        <f t="shared" si="15"/>
        <v>0</v>
      </c>
      <c r="S60" s="798">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9">
        <f t="shared" si="15"/>
        <v>0</v>
      </c>
      <c r="S61" s="798">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9">
        <f t="shared" si="15"/>
        <v>0</v>
      </c>
      <c r="S62" s="798">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9">
        <f t="shared" si="15"/>
        <v>0</v>
      </c>
      <c r="S63" s="798">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9">
        <f t="shared" si="15"/>
        <v>0</v>
      </c>
      <c r="S64" s="798">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9">
        <f t="shared" si="15"/>
        <v>0</v>
      </c>
      <c r="S65" s="798">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9">
        <f t="shared" si="15"/>
        <v>0</v>
      </c>
      <c r="S66" s="798">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9">
        <f t="shared" si="15"/>
        <v>0</v>
      </c>
      <c r="S67" s="798">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9">
        <f t="shared" si="15"/>
        <v>0</v>
      </c>
      <c r="S68" s="798">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9">
        <f t="shared" si="15"/>
        <v>0</v>
      </c>
      <c r="S69" s="798">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9">
        <f t="shared" si="15"/>
        <v>0</v>
      </c>
      <c r="S70" s="798">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9">
        <f t="shared" si="15"/>
        <v>0</v>
      </c>
      <c r="S71" s="798">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9">
        <f t="shared" si="15"/>
        <v>0</v>
      </c>
      <c r="S72" s="798">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9">
        <f t="shared" si="15"/>
        <v>0</v>
      </c>
      <c r="S73" s="798">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9">
        <f t="shared" si="15"/>
        <v>0</v>
      </c>
      <c r="S74" s="798">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9">
        <f t="shared" si="15"/>
        <v>0</v>
      </c>
      <c r="S75" s="798">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9">
        <f t="shared" si="15"/>
        <v>0</v>
      </c>
      <c r="S76" s="798">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9">
        <f t="shared" si="15"/>
        <v>0</v>
      </c>
      <c r="S77" s="798">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9">
        <f t="shared" si="15"/>
        <v>0</v>
      </c>
      <c r="S78" s="798">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9">
        <f t="shared" si="15"/>
        <v>0</v>
      </c>
      <c r="S79" s="798">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9">
        <f t="shared" si="15"/>
        <v>0</v>
      </c>
      <c r="S80" s="798">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9">
        <f t="shared" si="15"/>
        <v>0</v>
      </c>
      <c r="S81" s="798">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9">
        <f t="shared" si="15"/>
        <v>0</v>
      </c>
      <c r="S82" s="798">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9">
        <f t="shared" si="15"/>
        <v>0</v>
      </c>
      <c r="S83" s="798">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9">
        <f t="shared" si="15"/>
        <v>0</v>
      </c>
      <c r="S84" s="798">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9">
        <f t="shared" si="15"/>
        <v>0</v>
      </c>
      <c r="S85" s="798">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9">
        <f t="shared" si="15"/>
        <v>0</v>
      </c>
      <c r="S86" s="798">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9">
        <f t="shared" si="15"/>
        <v>0</v>
      </c>
      <c r="S87" s="798">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9">
        <f t="shared" si="15"/>
        <v>0</v>
      </c>
      <c r="S88" s="798">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9">
        <f t="shared" si="15"/>
        <v>0</v>
      </c>
      <c r="S89" s="798">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9">
        <f t="shared" ref="R90:R153" si="26">IF(B90="",0,ROUND($R$24*C90*E90*G90*I90*K90*M90*O90*Q90,0))</f>
        <v>0</v>
      </c>
      <c r="S90" s="798">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9">
        <f t="shared" si="26"/>
        <v>0</v>
      </c>
      <c r="S91" s="798">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9">
        <f t="shared" si="26"/>
        <v>0</v>
      </c>
      <c r="S92" s="798">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9">
        <f t="shared" si="26"/>
        <v>0</v>
      </c>
      <c r="S93" s="798">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9">
        <f t="shared" si="26"/>
        <v>0</v>
      </c>
      <c r="S94" s="798">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9">
        <f t="shared" si="26"/>
        <v>0</v>
      </c>
      <c r="S95" s="798">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9">
        <f t="shared" si="26"/>
        <v>0</v>
      </c>
      <c r="S96" s="798">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9">
        <f t="shared" si="26"/>
        <v>0</v>
      </c>
      <c r="S97" s="798">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9">
        <f t="shared" si="26"/>
        <v>0</v>
      </c>
      <c r="S98" s="798">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9">
        <f t="shared" si="26"/>
        <v>0</v>
      </c>
      <c r="S99" s="798">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9">
        <f t="shared" si="26"/>
        <v>0</v>
      </c>
      <c r="S100" s="798">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9">
        <f t="shared" si="26"/>
        <v>0</v>
      </c>
      <c r="S101" s="798">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9">
        <f t="shared" si="26"/>
        <v>0</v>
      </c>
      <c r="S102" s="798">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9">
        <f t="shared" si="26"/>
        <v>0</v>
      </c>
      <c r="S103" s="798">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9">
        <f t="shared" si="26"/>
        <v>0</v>
      </c>
      <c r="S104" s="798">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9">
        <f t="shared" si="26"/>
        <v>0</v>
      </c>
      <c r="S105" s="798">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9">
        <f t="shared" si="26"/>
        <v>0</v>
      </c>
      <c r="S106" s="798">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9">
        <f t="shared" si="26"/>
        <v>0</v>
      </c>
      <c r="S107" s="798">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9">
        <f t="shared" si="26"/>
        <v>0</v>
      </c>
      <c r="S108" s="798">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9">
        <f t="shared" si="26"/>
        <v>0</v>
      </c>
      <c r="S109" s="798">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9">
        <f t="shared" si="26"/>
        <v>0</v>
      </c>
      <c r="S110" s="798">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9">
        <f t="shared" si="26"/>
        <v>0</v>
      </c>
      <c r="S111" s="798">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9">
        <f t="shared" si="26"/>
        <v>0</v>
      </c>
      <c r="S112" s="798">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9">
        <f t="shared" si="26"/>
        <v>0</v>
      </c>
      <c r="S113" s="798">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9">
        <f t="shared" si="26"/>
        <v>0</v>
      </c>
      <c r="S114" s="798">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9">
        <f t="shared" si="26"/>
        <v>0</v>
      </c>
      <c r="S115" s="798">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9">
        <f t="shared" si="26"/>
        <v>0</v>
      </c>
      <c r="S116" s="798">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9">
        <f t="shared" si="26"/>
        <v>0</v>
      </c>
      <c r="S117" s="798">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9">
        <f t="shared" si="26"/>
        <v>0</v>
      </c>
      <c r="S118" s="798">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9">
        <f t="shared" si="26"/>
        <v>0</v>
      </c>
      <c r="S119" s="798">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9">
        <f t="shared" si="26"/>
        <v>0</v>
      </c>
      <c r="S120" s="798">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9">
        <f t="shared" si="26"/>
        <v>0</v>
      </c>
      <c r="S121" s="798">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9">
        <f t="shared" si="26"/>
        <v>0</v>
      </c>
      <c r="S122" s="798">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9">
        <f t="shared" si="26"/>
        <v>0</v>
      </c>
      <c r="S123" s="798">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9">
        <f t="shared" si="26"/>
        <v>0</v>
      </c>
      <c r="S124" s="798">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9">
        <f t="shared" si="26"/>
        <v>0</v>
      </c>
      <c r="S125" s="798">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9">
        <f t="shared" si="26"/>
        <v>0</v>
      </c>
      <c r="S126" s="798">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9">
        <f t="shared" si="26"/>
        <v>0</v>
      </c>
      <c r="S127" s="798">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9">
        <f t="shared" si="26"/>
        <v>0</v>
      </c>
      <c r="S128" s="798">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9">
        <f t="shared" si="26"/>
        <v>0</v>
      </c>
      <c r="S129" s="798">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9">
        <f t="shared" si="26"/>
        <v>0</v>
      </c>
      <c r="S130" s="798">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9">
        <f t="shared" si="26"/>
        <v>0</v>
      </c>
      <c r="S131" s="798">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9">
        <f t="shared" si="26"/>
        <v>0</v>
      </c>
      <c r="S132" s="798">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9">
        <f t="shared" si="26"/>
        <v>0</v>
      </c>
      <c r="S133" s="798">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9">
        <f t="shared" si="26"/>
        <v>0</v>
      </c>
      <c r="S134" s="798">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9">
        <f t="shared" si="26"/>
        <v>0</v>
      </c>
      <c r="S135" s="798">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9">
        <f t="shared" si="26"/>
        <v>0</v>
      </c>
      <c r="S136" s="798">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9">
        <f t="shared" si="26"/>
        <v>0</v>
      </c>
      <c r="S137" s="798">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9">
        <f t="shared" si="26"/>
        <v>0</v>
      </c>
      <c r="S138" s="798">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9">
        <f t="shared" si="26"/>
        <v>0</v>
      </c>
      <c r="S139" s="798">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9">
        <f t="shared" si="26"/>
        <v>0</v>
      </c>
      <c r="S140" s="798">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9">
        <f t="shared" si="26"/>
        <v>0</v>
      </c>
      <c r="S141" s="798">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9">
        <f t="shared" si="26"/>
        <v>0</v>
      </c>
      <c r="S142" s="798">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9">
        <f t="shared" si="26"/>
        <v>0</v>
      </c>
      <c r="S143" s="798">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9">
        <f t="shared" si="26"/>
        <v>0</v>
      </c>
      <c r="S144" s="798">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9">
        <f t="shared" si="26"/>
        <v>0</v>
      </c>
      <c r="S145" s="798">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9">
        <f t="shared" si="26"/>
        <v>0</v>
      </c>
      <c r="S146" s="798">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9">
        <f t="shared" si="26"/>
        <v>0</v>
      </c>
      <c r="S147" s="798">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9">
        <f t="shared" si="26"/>
        <v>0</v>
      </c>
      <c r="S148" s="798">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9">
        <f t="shared" si="26"/>
        <v>0</v>
      </c>
      <c r="S149" s="798">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9">
        <f t="shared" si="26"/>
        <v>0</v>
      </c>
      <c r="S150" s="798">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9">
        <f t="shared" si="26"/>
        <v>0</v>
      </c>
      <c r="S151" s="798">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9">
        <f t="shared" si="26"/>
        <v>0</v>
      </c>
      <c r="S152" s="798">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9">
        <f t="shared" si="26"/>
        <v>0</v>
      </c>
      <c r="S153" s="798">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9">
        <f t="shared" ref="R154:R217" si="36">IF(B154="",0,ROUND($R$24*C154*E154*G154*I154*K154*M154*O154*Q154,0))</f>
        <v>0</v>
      </c>
      <c r="S154" s="798">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9">
        <f t="shared" si="36"/>
        <v>0</v>
      </c>
      <c r="S155" s="798">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9">
        <f t="shared" si="36"/>
        <v>0</v>
      </c>
      <c r="S156" s="798">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9">
        <f t="shared" si="36"/>
        <v>0</v>
      </c>
      <c r="S157" s="798">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9">
        <f t="shared" si="36"/>
        <v>0</v>
      </c>
      <c r="S158" s="798">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9">
        <f t="shared" si="36"/>
        <v>0</v>
      </c>
      <c r="S159" s="798">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9">
        <f t="shared" si="36"/>
        <v>0</v>
      </c>
      <c r="S160" s="798">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9">
        <f t="shared" si="36"/>
        <v>0</v>
      </c>
      <c r="S161" s="798">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9">
        <f t="shared" si="36"/>
        <v>0</v>
      </c>
      <c r="S162" s="798">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9">
        <f t="shared" si="36"/>
        <v>0</v>
      </c>
      <c r="S163" s="798">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9">
        <f t="shared" si="36"/>
        <v>0</v>
      </c>
      <c r="S164" s="798">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9">
        <f t="shared" si="36"/>
        <v>0</v>
      </c>
      <c r="S165" s="798">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9">
        <f t="shared" si="36"/>
        <v>0</v>
      </c>
      <c r="S166" s="798">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9">
        <f t="shared" si="36"/>
        <v>0</v>
      </c>
      <c r="S167" s="798">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9">
        <f t="shared" si="36"/>
        <v>0</v>
      </c>
      <c r="S168" s="798">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9">
        <f t="shared" si="36"/>
        <v>0</v>
      </c>
      <c r="S169" s="798">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9">
        <f t="shared" si="36"/>
        <v>0</v>
      </c>
      <c r="S170" s="798">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9">
        <f t="shared" si="36"/>
        <v>0</v>
      </c>
      <c r="S171" s="798">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9">
        <f t="shared" si="36"/>
        <v>0</v>
      </c>
      <c r="S172" s="798">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9">
        <f t="shared" si="36"/>
        <v>0</v>
      </c>
      <c r="S173" s="798">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9">
        <f t="shared" si="36"/>
        <v>0</v>
      </c>
      <c r="S174" s="798">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9">
        <f t="shared" si="36"/>
        <v>0</v>
      </c>
      <c r="S175" s="798">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9">
        <f t="shared" si="36"/>
        <v>0</v>
      </c>
      <c r="S176" s="798">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9">
        <f t="shared" si="36"/>
        <v>0</v>
      </c>
      <c r="S177" s="798">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9">
        <f t="shared" si="36"/>
        <v>0</v>
      </c>
      <c r="S178" s="798">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9">
        <f t="shared" si="36"/>
        <v>0</v>
      </c>
      <c r="S179" s="798">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9">
        <f t="shared" si="36"/>
        <v>0</v>
      </c>
      <c r="S180" s="798">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9">
        <f t="shared" si="36"/>
        <v>0</v>
      </c>
      <c r="S181" s="798">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9">
        <f t="shared" si="36"/>
        <v>0</v>
      </c>
      <c r="S182" s="798">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9">
        <f t="shared" si="36"/>
        <v>0</v>
      </c>
      <c r="S183" s="798">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9">
        <f t="shared" si="36"/>
        <v>0</v>
      </c>
      <c r="S184" s="798">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9">
        <f t="shared" si="36"/>
        <v>0</v>
      </c>
      <c r="S185" s="798">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9">
        <f t="shared" si="36"/>
        <v>0</v>
      </c>
      <c r="S186" s="798">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9">
        <f t="shared" si="36"/>
        <v>0</v>
      </c>
      <c r="S187" s="798">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9">
        <f t="shared" si="36"/>
        <v>0</v>
      </c>
      <c r="S188" s="798">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9">
        <f t="shared" si="36"/>
        <v>0</v>
      </c>
      <c r="S189" s="798">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9">
        <f t="shared" si="36"/>
        <v>0</v>
      </c>
      <c r="S190" s="798">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9">
        <f t="shared" si="36"/>
        <v>0</v>
      </c>
      <c r="S191" s="798">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9">
        <f t="shared" si="36"/>
        <v>0</v>
      </c>
      <c r="S192" s="798">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9">
        <f t="shared" si="36"/>
        <v>0</v>
      </c>
      <c r="S193" s="798">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9">
        <f t="shared" si="36"/>
        <v>0</v>
      </c>
      <c r="S194" s="798">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9">
        <f t="shared" si="36"/>
        <v>0</v>
      </c>
      <c r="S195" s="798">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9">
        <f t="shared" si="36"/>
        <v>0</v>
      </c>
      <c r="S196" s="798">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9">
        <f t="shared" si="36"/>
        <v>0</v>
      </c>
      <c r="S197" s="798">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9">
        <f t="shared" si="36"/>
        <v>0</v>
      </c>
      <c r="S198" s="798">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9">
        <f t="shared" si="36"/>
        <v>0</v>
      </c>
      <c r="S199" s="798">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9">
        <f t="shared" si="36"/>
        <v>0</v>
      </c>
      <c r="S200" s="798">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9">
        <f t="shared" si="36"/>
        <v>0</v>
      </c>
      <c r="S201" s="798">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9">
        <f t="shared" si="36"/>
        <v>0</v>
      </c>
      <c r="S202" s="798">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9">
        <f t="shared" si="36"/>
        <v>0</v>
      </c>
      <c r="S203" s="798">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9">
        <f t="shared" si="36"/>
        <v>0</v>
      </c>
      <c r="S204" s="798">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9">
        <f t="shared" si="36"/>
        <v>0</v>
      </c>
      <c r="S205" s="798">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9">
        <f t="shared" si="36"/>
        <v>0</v>
      </c>
      <c r="S206" s="798">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9">
        <f t="shared" si="36"/>
        <v>0</v>
      </c>
      <c r="S207" s="798">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9">
        <f t="shared" si="36"/>
        <v>0</v>
      </c>
      <c r="S208" s="798">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9">
        <f t="shared" si="36"/>
        <v>0</v>
      </c>
      <c r="S209" s="798">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9">
        <f t="shared" si="36"/>
        <v>0</v>
      </c>
      <c r="S210" s="798">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9">
        <f t="shared" si="36"/>
        <v>0</v>
      </c>
      <c r="S211" s="798">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9">
        <f t="shared" si="36"/>
        <v>0</v>
      </c>
      <c r="S212" s="798">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9">
        <f t="shared" si="36"/>
        <v>0</v>
      </c>
      <c r="S213" s="798">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9">
        <f t="shared" si="36"/>
        <v>0</v>
      </c>
      <c r="S214" s="798">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9">
        <f t="shared" si="36"/>
        <v>0</v>
      </c>
      <c r="S215" s="798">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9">
        <f t="shared" si="36"/>
        <v>0</v>
      </c>
      <c r="S216" s="798">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9">
        <f t="shared" si="36"/>
        <v>0</v>
      </c>
      <c r="S217" s="798">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9">
        <f t="shared" ref="R218:R281" si="46">IF(B218="",0,ROUND($R$24*C218*E218*G218*I218*K218*M218*O218*Q218,0))</f>
        <v>0</v>
      </c>
      <c r="S218" s="798">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9">
        <f t="shared" si="46"/>
        <v>0</v>
      </c>
      <c r="S219" s="798">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9">
        <f t="shared" si="46"/>
        <v>0</v>
      </c>
      <c r="S220" s="798">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9">
        <f t="shared" si="46"/>
        <v>0</v>
      </c>
      <c r="S221" s="798">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9">
        <f t="shared" si="46"/>
        <v>0</v>
      </c>
      <c r="S222" s="798">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9">
        <f t="shared" si="46"/>
        <v>0</v>
      </c>
      <c r="S223" s="798">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9">
        <f t="shared" si="46"/>
        <v>0</v>
      </c>
      <c r="S224" s="798">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9">
        <f t="shared" si="46"/>
        <v>0</v>
      </c>
      <c r="S225" s="798">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9">
        <f t="shared" si="46"/>
        <v>0</v>
      </c>
      <c r="S226" s="798">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9">
        <f t="shared" si="46"/>
        <v>0</v>
      </c>
      <c r="S227" s="798">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9">
        <f t="shared" si="46"/>
        <v>0</v>
      </c>
      <c r="S228" s="798">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9">
        <f t="shared" si="46"/>
        <v>0</v>
      </c>
      <c r="S229" s="798">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9">
        <f t="shared" si="46"/>
        <v>0</v>
      </c>
      <c r="S230" s="798">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9">
        <f t="shared" si="46"/>
        <v>0</v>
      </c>
      <c r="S231" s="798">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9">
        <f t="shared" si="46"/>
        <v>0</v>
      </c>
      <c r="S232" s="798">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9">
        <f t="shared" si="46"/>
        <v>0</v>
      </c>
      <c r="S233" s="798">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9">
        <f t="shared" si="46"/>
        <v>0</v>
      </c>
      <c r="S234" s="798">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9">
        <f t="shared" si="46"/>
        <v>0</v>
      </c>
      <c r="S235" s="798">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9">
        <f t="shared" si="46"/>
        <v>0</v>
      </c>
      <c r="S236" s="798">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9">
        <f t="shared" si="46"/>
        <v>0</v>
      </c>
      <c r="S237" s="798">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9">
        <f t="shared" si="46"/>
        <v>0</v>
      </c>
      <c r="S238" s="798">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9">
        <f t="shared" si="46"/>
        <v>0</v>
      </c>
      <c r="S239" s="798">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9">
        <f t="shared" si="46"/>
        <v>0</v>
      </c>
      <c r="S240" s="798">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9">
        <f t="shared" si="46"/>
        <v>0</v>
      </c>
      <c r="S241" s="798">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9">
        <f t="shared" si="46"/>
        <v>0</v>
      </c>
      <c r="S242" s="798">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9">
        <f t="shared" si="46"/>
        <v>0</v>
      </c>
      <c r="S243" s="798">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9">
        <f t="shared" si="46"/>
        <v>0</v>
      </c>
      <c r="S244" s="798">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9">
        <f t="shared" si="46"/>
        <v>0</v>
      </c>
      <c r="S245" s="798">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9">
        <f t="shared" si="46"/>
        <v>0</v>
      </c>
      <c r="S246" s="798">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9">
        <f t="shared" si="46"/>
        <v>0</v>
      </c>
      <c r="S247" s="798">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9">
        <f t="shared" si="46"/>
        <v>0</v>
      </c>
      <c r="S248" s="798">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9">
        <f t="shared" si="46"/>
        <v>0</v>
      </c>
      <c r="S249" s="798">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9">
        <f t="shared" si="46"/>
        <v>0</v>
      </c>
      <c r="S250" s="798">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9">
        <f t="shared" si="46"/>
        <v>0</v>
      </c>
      <c r="S251" s="798">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9">
        <f t="shared" si="46"/>
        <v>0</v>
      </c>
      <c r="S252" s="798">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9">
        <f t="shared" si="46"/>
        <v>0</v>
      </c>
      <c r="S253" s="798">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9">
        <f t="shared" si="46"/>
        <v>0</v>
      </c>
      <c r="S254" s="798">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9">
        <f t="shared" si="46"/>
        <v>0</v>
      </c>
      <c r="S255" s="798">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9">
        <f t="shared" si="46"/>
        <v>0</v>
      </c>
      <c r="S256" s="798">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9">
        <f t="shared" si="46"/>
        <v>0</v>
      </c>
      <c r="S257" s="798">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9">
        <f t="shared" si="46"/>
        <v>0</v>
      </c>
      <c r="S258" s="798">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9">
        <f t="shared" si="46"/>
        <v>0</v>
      </c>
      <c r="S259" s="798">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9">
        <f t="shared" si="46"/>
        <v>0</v>
      </c>
      <c r="S260" s="798">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9">
        <f t="shared" si="46"/>
        <v>0</v>
      </c>
      <c r="S261" s="798">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9">
        <f t="shared" si="46"/>
        <v>0</v>
      </c>
      <c r="S262" s="798">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9">
        <f t="shared" si="46"/>
        <v>0</v>
      </c>
      <c r="S263" s="798">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9">
        <f t="shared" si="46"/>
        <v>0</v>
      </c>
      <c r="S264" s="798">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9">
        <f t="shared" si="46"/>
        <v>0</v>
      </c>
      <c r="S265" s="798">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9">
        <f t="shared" si="46"/>
        <v>0</v>
      </c>
      <c r="S266" s="798">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9">
        <f t="shared" si="46"/>
        <v>0</v>
      </c>
      <c r="S267" s="798">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9">
        <f t="shared" si="46"/>
        <v>0</v>
      </c>
      <c r="S268" s="798">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9">
        <f t="shared" si="46"/>
        <v>0</v>
      </c>
      <c r="S269" s="798">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9">
        <f t="shared" si="46"/>
        <v>0</v>
      </c>
      <c r="S270" s="798">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9">
        <f t="shared" si="46"/>
        <v>0</v>
      </c>
      <c r="S271" s="798">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9">
        <f t="shared" si="46"/>
        <v>0</v>
      </c>
      <c r="S272" s="798">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9">
        <f t="shared" si="46"/>
        <v>0</v>
      </c>
      <c r="S273" s="798">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9">
        <f t="shared" si="46"/>
        <v>0</v>
      </c>
      <c r="S274" s="798">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9">
        <f t="shared" si="46"/>
        <v>0</v>
      </c>
      <c r="S275" s="798">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9">
        <f t="shared" si="46"/>
        <v>0</v>
      </c>
      <c r="S276" s="798">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9">
        <f t="shared" si="46"/>
        <v>0</v>
      </c>
      <c r="S277" s="798">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9">
        <f t="shared" si="46"/>
        <v>0</v>
      </c>
      <c r="S278" s="798">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9">
        <f t="shared" si="46"/>
        <v>0</v>
      </c>
      <c r="S279" s="798">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9">
        <f t="shared" si="46"/>
        <v>0</v>
      </c>
      <c r="S280" s="798">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9">
        <f t="shared" si="46"/>
        <v>0</v>
      </c>
      <c r="S281" s="798">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9">
        <f t="shared" ref="R282:R345" si="56">IF(B282="",0,ROUND($R$24*C282*E282*G282*I282*K282*M282*O282*Q282,0))</f>
        <v>0</v>
      </c>
      <c r="S282" s="798">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9">
        <f t="shared" si="56"/>
        <v>0</v>
      </c>
      <c r="S283" s="798">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9">
        <f t="shared" si="56"/>
        <v>0</v>
      </c>
      <c r="S284" s="798">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9">
        <f t="shared" si="56"/>
        <v>0</v>
      </c>
      <c r="S285" s="798">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9">
        <f t="shared" si="56"/>
        <v>0</v>
      </c>
      <c r="S286" s="798">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9">
        <f t="shared" si="56"/>
        <v>0</v>
      </c>
      <c r="S287" s="798">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9">
        <f t="shared" si="56"/>
        <v>0</v>
      </c>
      <c r="S288" s="798">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9">
        <f t="shared" si="56"/>
        <v>0</v>
      </c>
      <c r="S289" s="798">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9">
        <f t="shared" si="56"/>
        <v>0</v>
      </c>
      <c r="S290" s="798">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9">
        <f t="shared" si="56"/>
        <v>0</v>
      </c>
      <c r="S291" s="798">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9">
        <f t="shared" si="56"/>
        <v>0</v>
      </c>
      <c r="S292" s="798">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9">
        <f t="shared" si="56"/>
        <v>0</v>
      </c>
      <c r="S293" s="798">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9">
        <f t="shared" si="56"/>
        <v>0</v>
      </c>
      <c r="S294" s="798">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9">
        <f t="shared" si="56"/>
        <v>0</v>
      </c>
      <c r="S295" s="798">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9">
        <f t="shared" si="56"/>
        <v>0</v>
      </c>
      <c r="S296" s="798">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9">
        <f t="shared" si="56"/>
        <v>0</v>
      </c>
      <c r="S297" s="798">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9">
        <f t="shared" si="56"/>
        <v>0</v>
      </c>
      <c r="S298" s="798">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9">
        <f t="shared" si="56"/>
        <v>0</v>
      </c>
      <c r="S299" s="798">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9">
        <f t="shared" si="56"/>
        <v>0</v>
      </c>
      <c r="S300" s="798">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9">
        <f t="shared" si="56"/>
        <v>0</v>
      </c>
      <c r="S301" s="798">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9">
        <f t="shared" si="56"/>
        <v>0</v>
      </c>
      <c r="S302" s="798">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9">
        <f t="shared" si="56"/>
        <v>0</v>
      </c>
      <c r="S303" s="798">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9">
        <f t="shared" si="56"/>
        <v>0</v>
      </c>
      <c r="S304" s="798">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9">
        <f t="shared" si="56"/>
        <v>0</v>
      </c>
      <c r="S305" s="798">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9">
        <f t="shared" si="56"/>
        <v>0</v>
      </c>
      <c r="S306" s="798">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9">
        <f t="shared" si="56"/>
        <v>0</v>
      </c>
      <c r="S307" s="798">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9">
        <f t="shared" si="56"/>
        <v>0</v>
      </c>
      <c r="S308" s="798">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9">
        <f t="shared" si="56"/>
        <v>0</v>
      </c>
      <c r="S309" s="798">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9">
        <f t="shared" si="56"/>
        <v>0</v>
      </c>
      <c r="S310" s="798">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9">
        <f t="shared" si="56"/>
        <v>0</v>
      </c>
      <c r="S311" s="798">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9">
        <f t="shared" si="56"/>
        <v>0</v>
      </c>
      <c r="S312" s="798">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9">
        <f t="shared" si="56"/>
        <v>0</v>
      </c>
      <c r="S313" s="798">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9">
        <f t="shared" si="56"/>
        <v>0</v>
      </c>
      <c r="S314" s="798">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9">
        <f t="shared" si="56"/>
        <v>0</v>
      </c>
      <c r="S315" s="798">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9">
        <f t="shared" si="56"/>
        <v>0</v>
      </c>
      <c r="S316" s="798">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9">
        <f t="shared" si="56"/>
        <v>0</v>
      </c>
      <c r="S317" s="798">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9">
        <f t="shared" si="56"/>
        <v>0</v>
      </c>
      <c r="S318" s="798">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9">
        <f t="shared" si="56"/>
        <v>0</v>
      </c>
      <c r="S319" s="798">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9">
        <f t="shared" si="56"/>
        <v>0</v>
      </c>
      <c r="S320" s="798">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9">
        <f t="shared" si="56"/>
        <v>0</v>
      </c>
      <c r="S321" s="798">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9">
        <f t="shared" si="56"/>
        <v>0</v>
      </c>
      <c r="S322" s="798">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9">
        <f t="shared" si="56"/>
        <v>0</v>
      </c>
      <c r="S323" s="798">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9">
        <f t="shared" si="56"/>
        <v>0</v>
      </c>
      <c r="S324" s="798">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9">
        <f t="shared" si="56"/>
        <v>0</v>
      </c>
      <c r="S325" s="798">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9">
        <f t="shared" si="56"/>
        <v>0</v>
      </c>
      <c r="S326" s="798">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9">
        <f t="shared" si="56"/>
        <v>0</v>
      </c>
      <c r="S327" s="798">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9">
        <f t="shared" si="56"/>
        <v>0</v>
      </c>
      <c r="S328" s="798">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9">
        <f t="shared" si="56"/>
        <v>0</v>
      </c>
      <c r="S329" s="798">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9">
        <f t="shared" si="56"/>
        <v>0</v>
      </c>
      <c r="S330" s="798">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9">
        <f t="shared" si="56"/>
        <v>0</v>
      </c>
      <c r="S331" s="798">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9">
        <f t="shared" si="56"/>
        <v>0</v>
      </c>
      <c r="S332" s="798">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9">
        <f t="shared" si="56"/>
        <v>0</v>
      </c>
      <c r="S333" s="798">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9">
        <f t="shared" si="56"/>
        <v>0</v>
      </c>
      <c r="S334" s="798">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9">
        <f t="shared" si="56"/>
        <v>0</v>
      </c>
      <c r="S335" s="798">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9">
        <f t="shared" si="56"/>
        <v>0</v>
      </c>
      <c r="S336" s="798">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9">
        <f t="shared" si="56"/>
        <v>0</v>
      </c>
      <c r="S337" s="798">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9">
        <f t="shared" si="56"/>
        <v>0</v>
      </c>
      <c r="S338" s="798">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9">
        <f t="shared" si="56"/>
        <v>0</v>
      </c>
      <c r="S339" s="798">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9">
        <f t="shared" si="56"/>
        <v>0</v>
      </c>
      <c r="S340" s="798">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9">
        <f t="shared" si="56"/>
        <v>0</v>
      </c>
      <c r="S341" s="798">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9">
        <f t="shared" si="56"/>
        <v>0</v>
      </c>
      <c r="S342" s="798">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9">
        <f t="shared" si="56"/>
        <v>0</v>
      </c>
      <c r="S343" s="798">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9">
        <f t="shared" si="56"/>
        <v>0</v>
      </c>
      <c r="S344" s="798">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9">
        <f t="shared" si="56"/>
        <v>0</v>
      </c>
      <c r="S345" s="798">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9">
        <f t="shared" ref="R346:R409" si="67">IF(B346="",0,ROUND($R$24*C346*E346*G346*I346*K346*M346*O346*Q346,0))</f>
        <v>0</v>
      </c>
      <c r="S346" s="798">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9">
        <f t="shared" si="67"/>
        <v>0</v>
      </c>
      <c r="S347" s="798">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9">
        <f t="shared" si="67"/>
        <v>0</v>
      </c>
      <c r="S348" s="798">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9">
        <f t="shared" si="67"/>
        <v>0</v>
      </c>
      <c r="S349" s="798">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9">
        <f t="shared" si="67"/>
        <v>0</v>
      </c>
      <c r="S350" s="798">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9">
        <f t="shared" si="67"/>
        <v>0</v>
      </c>
      <c r="S351" s="798">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9">
        <f t="shared" si="67"/>
        <v>0</v>
      </c>
      <c r="S352" s="798">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9">
        <f t="shared" si="67"/>
        <v>0</v>
      </c>
      <c r="S353" s="798">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9">
        <f t="shared" si="67"/>
        <v>0</v>
      </c>
      <c r="S354" s="798">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9">
        <f t="shared" si="67"/>
        <v>0</v>
      </c>
      <c r="S355" s="798">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9">
        <f t="shared" si="67"/>
        <v>0</v>
      </c>
      <c r="S356" s="798">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9">
        <f t="shared" si="67"/>
        <v>0</v>
      </c>
      <c r="S357" s="798">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9">
        <f t="shared" si="67"/>
        <v>0</v>
      </c>
      <c r="S358" s="798">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9">
        <f t="shared" si="67"/>
        <v>0</v>
      </c>
      <c r="S359" s="798">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9">
        <f t="shared" si="67"/>
        <v>0</v>
      </c>
      <c r="S360" s="798">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9">
        <f t="shared" si="67"/>
        <v>0</v>
      </c>
      <c r="S361" s="798">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9">
        <f t="shared" si="67"/>
        <v>0</v>
      </c>
      <c r="S362" s="798">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9">
        <f t="shared" si="67"/>
        <v>0</v>
      </c>
      <c r="S363" s="798">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9">
        <f t="shared" si="67"/>
        <v>0</v>
      </c>
      <c r="S364" s="798">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9">
        <f t="shared" si="67"/>
        <v>0</v>
      </c>
      <c r="S365" s="798">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9">
        <f t="shared" si="67"/>
        <v>0</v>
      </c>
      <c r="S366" s="798">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9">
        <f t="shared" si="67"/>
        <v>0</v>
      </c>
      <c r="S367" s="798">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9">
        <f t="shared" si="67"/>
        <v>0</v>
      </c>
      <c r="S368" s="798">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9">
        <f t="shared" si="67"/>
        <v>0</v>
      </c>
      <c r="S369" s="798">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9">
        <f t="shared" si="67"/>
        <v>0</v>
      </c>
      <c r="S370" s="798">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9">
        <f t="shared" si="67"/>
        <v>0</v>
      </c>
      <c r="S371" s="798">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9">
        <f t="shared" si="67"/>
        <v>0</v>
      </c>
      <c r="S372" s="798">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9">
        <f t="shared" si="67"/>
        <v>0</v>
      </c>
      <c r="S373" s="798">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9">
        <f t="shared" si="67"/>
        <v>0</v>
      </c>
      <c r="S374" s="798">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9">
        <f t="shared" si="67"/>
        <v>0</v>
      </c>
      <c r="S375" s="798">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9">
        <f t="shared" si="67"/>
        <v>0</v>
      </c>
      <c r="S376" s="798">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9">
        <f t="shared" si="67"/>
        <v>0</v>
      </c>
      <c r="S377" s="798">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9">
        <f t="shared" si="67"/>
        <v>0</v>
      </c>
      <c r="S378" s="798">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9">
        <f t="shared" si="67"/>
        <v>0</v>
      </c>
      <c r="S379" s="798">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9">
        <f t="shared" si="67"/>
        <v>0</v>
      </c>
      <c r="S380" s="798">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9">
        <f t="shared" si="67"/>
        <v>0</v>
      </c>
      <c r="S381" s="798">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9">
        <f t="shared" si="67"/>
        <v>0</v>
      </c>
      <c r="S382" s="798">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9">
        <f t="shared" si="67"/>
        <v>0</v>
      </c>
      <c r="S383" s="798">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9">
        <f t="shared" si="67"/>
        <v>0</v>
      </c>
      <c r="S384" s="798">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9">
        <f t="shared" si="67"/>
        <v>0</v>
      </c>
      <c r="S385" s="798">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9">
        <f t="shared" si="67"/>
        <v>0</v>
      </c>
      <c r="S386" s="798">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9">
        <f t="shared" si="67"/>
        <v>0</v>
      </c>
      <c r="S387" s="798">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9">
        <f t="shared" si="67"/>
        <v>0</v>
      </c>
      <c r="S388" s="798">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9">
        <f t="shared" si="67"/>
        <v>0</v>
      </c>
      <c r="S389" s="798">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9">
        <f t="shared" si="67"/>
        <v>0</v>
      </c>
      <c r="S390" s="798">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9">
        <f t="shared" si="67"/>
        <v>0</v>
      </c>
      <c r="S391" s="798">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9">
        <f t="shared" si="67"/>
        <v>0</v>
      </c>
      <c r="S392" s="798">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9">
        <f t="shared" si="67"/>
        <v>0</v>
      </c>
      <c r="S393" s="798">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9">
        <f t="shared" si="67"/>
        <v>0</v>
      </c>
      <c r="S394" s="798">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9">
        <f t="shared" si="67"/>
        <v>0</v>
      </c>
      <c r="S395" s="798">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9">
        <f t="shared" si="67"/>
        <v>0</v>
      </c>
      <c r="S396" s="798">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9">
        <f t="shared" si="67"/>
        <v>0</v>
      </c>
      <c r="S397" s="798">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9">
        <f t="shared" si="67"/>
        <v>0</v>
      </c>
      <c r="S398" s="798">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9">
        <f t="shared" si="67"/>
        <v>0</v>
      </c>
      <c r="S399" s="798">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9">
        <f t="shared" si="67"/>
        <v>0</v>
      </c>
      <c r="S400" s="798">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9">
        <f t="shared" si="67"/>
        <v>0</v>
      </c>
      <c r="S401" s="798">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9">
        <f t="shared" si="67"/>
        <v>0</v>
      </c>
      <c r="S402" s="798">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9">
        <f t="shared" si="67"/>
        <v>0</v>
      </c>
      <c r="S403" s="798">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9">
        <f t="shared" si="67"/>
        <v>0</v>
      </c>
      <c r="S404" s="798">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9">
        <f t="shared" si="67"/>
        <v>0</v>
      </c>
      <c r="S405" s="798">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9">
        <f t="shared" si="67"/>
        <v>0</v>
      </c>
      <c r="S406" s="798">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9">
        <f t="shared" si="67"/>
        <v>0</v>
      </c>
      <c r="S407" s="798">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9">
        <f t="shared" si="67"/>
        <v>0</v>
      </c>
      <c r="S408" s="798">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9">
        <f t="shared" si="67"/>
        <v>0</v>
      </c>
      <c r="S409" s="798">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9">
        <f t="shared" ref="R410:R473" si="77">IF(B410="",0,ROUND($R$24*C410*E410*G410*I410*K410*M410*O410*Q410,0))</f>
        <v>0</v>
      </c>
      <c r="S410" s="798">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9">
        <f t="shared" si="77"/>
        <v>0</v>
      </c>
      <c r="S411" s="798">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9">
        <f t="shared" si="77"/>
        <v>0</v>
      </c>
      <c r="S412" s="798">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9">
        <f t="shared" si="77"/>
        <v>0</v>
      </c>
      <c r="S413" s="798">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9">
        <f t="shared" si="77"/>
        <v>0</v>
      </c>
      <c r="S414" s="798">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9">
        <f t="shared" si="77"/>
        <v>0</v>
      </c>
      <c r="S415" s="798">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9">
        <f t="shared" si="77"/>
        <v>0</v>
      </c>
      <c r="S416" s="798">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9">
        <f t="shared" si="77"/>
        <v>0</v>
      </c>
      <c r="S417" s="798">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9">
        <f t="shared" si="77"/>
        <v>0</v>
      </c>
      <c r="S418" s="798">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9">
        <f t="shared" si="77"/>
        <v>0</v>
      </c>
      <c r="S419" s="798">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9">
        <f t="shared" si="77"/>
        <v>0</v>
      </c>
      <c r="S420" s="798">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9">
        <f t="shared" si="77"/>
        <v>0</v>
      </c>
      <c r="S421" s="798">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9">
        <f t="shared" si="77"/>
        <v>0</v>
      </c>
      <c r="S422" s="798">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9">
        <f t="shared" si="77"/>
        <v>0</v>
      </c>
      <c r="S423" s="798">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9">
        <f t="shared" si="77"/>
        <v>0</v>
      </c>
      <c r="S424" s="798">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9">
        <f t="shared" si="77"/>
        <v>0</v>
      </c>
      <c r="S425" s="798">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9">
        <f t="shared" si="77"/>
        <v>0</v>
      </c>
      <c r="S426" s="798">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9">
        <f t="shared" si="77"/>
        <v>0</v>
      </c>
      <c r="S427" s="798">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9">
        <f t="shared" si="77"/>
        <v>0</v>
      </c>
      <c r="S428" s="798">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9">
        <f t="shared" si="77"/>
        <v>0</v>
      </c>
      <c r="S429" s="798">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9">
        <f t="shared" si="77"/>
        <v>0</v>
      </c>
      <c r="S430" s="798">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9">
        <f t="shared" si="77"/>
        <v>0</v>
      </c>
      <c r="S431" s="798">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9">
        <f t="shared" si="77"/>
        <v>0</v>
      </c>
      <c r="S432" s="798">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9">
        <f t="shared" si="77"/>
        <v>0</v>
      </c>
      <c r="S433" s="798">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9">
        <f t="shared" si="77"/>
        <v>0</v>
      </c>
      <c r="S434" s="798">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9">
        <f t="shared" si="77"/>
        <v>0</v>
      </c>
      <c r="S435" s="798">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9">
        <f t="shared" si="77"/>
        <v>0</v>
      </c>
      <c r="S436" s="798">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9">
        <f t="shared" si="77"/>
        <v>0</v>
      </c>
      <c r="S437" s="798">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9">
        <f t="shared" si="77"/>
        <v>0</v>
      </c>
      <c r="S438" s="798">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9">
        <f t="shared" si="77"/>
        <v>0</v>
      </c>
      <c r="S439" s="798">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9">
        <f t="shared" si="77"/>
        <v>0</v>
      </c>
      <c r="S440" s="798">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9">
        <f t="shared" si="77"/>
        <v>0</v>
      </c>
      <c r="S441" s="798">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9">
        <f t="shared" si="77"/>
        <v>0</v>
      </c>
      <c r="S442" s="798">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9">
        <f t="shared" si="77"/>
        <v>0</v>
      </c>
      <c r="S443" s="798">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9">
        <f t="shared" si="77"/>
        <v>0</v>
      </c>
      <c r="S444" s="798">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9">
        <f t="shared" si="77"/>
        <v>0</v>
      </c>
      <c r="S445" s="798">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9">
        <f t="shared" si="77"/>
        <v>0</v>
      </c>
      <c r="S446" s="798">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9">
        <f t="shared" si="77"/>
        <v>0</v>
      </c>
      <c r="S447" s="798">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9">
        <f t="shared" si="77"/>
        <v>0</v>
      </c>
      <c r="S448" s="798">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9">
        <f t="shared" si="77"/>
        <v>0</v>
      </c>
      <c r="S449" s="798">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9">
        <f t="shared" si="77"/>
        <v>0</v>
      </c>
      <c r="S450" s="798">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9">
        <f t="shared" si="77"/>
        <v>0</v>
      </c>
      <c r="S451" s="798">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9">
        <f t="shared" si="77"/>
        <v>0</v>
      </c>
      <c r="S452" s="798">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9">
        <f t="shared" si="77"/>
        <v>0</v>
      </c>
      <c r="S453" s="798">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9">
        <f t="shared" si="77"/>
        <v>0</v>
      </c>
      <c r="S454" s="798">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9">
        <f t="shared" si="77"/>
        <v>0</v>
      </c>
      <c r="S455" s="798">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9">
        <f t="shared" si="77"/>
        <v>0</v>
      </c>
      <c r="S456" s="798">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9">
        <f t="shared" si="77"/>
        <v>0</v>
      </c>
      <c r="S457" s="798">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9">
        <f t="shared" si="77"/>
        <v>0</v>
      </c>
      <c r="S458" s="798">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9">
        <f t="shared" si="77"/>
        <v>0</v>
      </c>
      <c r="S459" s="798">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9">
        <f t="shared" si="77"/>
        <v>0</v>
      </c>
      <c r="S460" s="798">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9">
        <f t="shared" si="77"/>
        <v>0</v>
      </c>
      <c r="S461" s="798">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9">
        <f t="shared" si="77"/>
        <v>0</v>
      </c>
      <c r="S462" s="798">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9">
        <f t="shared" si="77"/>
        <v>0</v>
      </c>
      <c r="S463" s="798">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9">
        <f t="shared" si="77"/>
        <v>0</v>
      </c>
      <c r="S464" s="798">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9">
        <f t="shared" si="77"/>
        <v>0</v>
      </c>
      <c r="S465" s="798">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9">
        <f t="shared" si="77"/>
        <v>0</v>
      </c>
      <c r="S466" s="798">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9">
        <f t="shared" si="77"/>
        <v>0</v>
      </c>
      <c r="S467" s="798">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9">
        <f t="shared" si="77"/>
        <v>0</v>
      </c>
      <c r="S468" s="798">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9">
        <f t="shared" si="77"/>
        <v>0</v>
      </c>
      <c r="S469" s="798">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9">
        <f t="shared" si="77"/>
        <v>0</v>
      </c>
      <c r="S470" s="798">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9">
        <f t="shared" si="77"/>
        <v>0</v>
      </c>
      <c r="S471" s="798">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9">
        <f t="shared" si="77"/>
        <v>0</v>
      </c>
      <c r="S472" s="798">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9">
        <f t="shared" si="77"/>
        <v>0</v>
      </c>
      <c r="S473" s="798">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9">
        <f t="shared" ref="R474:R524" si="88">IF(B474="",0,ROUND($R$24*C474*E474*G474*I474*K474*M474*O474*Q474,0))</f>
        <v>0</v>
      </c>
      <c r="S474" s="798">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9">
        <f t="shared" si="88"/>
        <v>0</v>
      </c>
      <c r="S475" s="798">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9">
        <f t="shared" si="88"/>
        <v>0</v>
      </c>
      <c r="S476" s="798">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9">
        <f t="shared" si="88"/>
        <v>0</v>
      </c>
      <c r="S477" s="798">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9">
        <f t="shared" si="88"/>
        <v>0</v>
      </c>
      <c r="S478" s="798">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9">
        <f t="shared" si="88"/>
        <v>0</v>
      </c>
      <c r="S479" s="798">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9">
        <f t="shared" si="88"/>
        <v>0</v>
      </c>
      <c r="S480" s="798">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9">
        <f t="shared" si="88"/>
        <v>0</v>
      </c>
      <c r="S481" s="798">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9">
        <f t="shared" si="88"/>
        <v>0</v>
      </c>
      <c r="S482" s="798">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9">
        <f t="shared" si="88"/>
        <v>0</v>
      </c>
      <c r="S483" s="798">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9">
        <f t="shared" si="88"/>
        <v>0</v>
      </c>
      <c r="S484" s="798">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9">
        <f t="shared" si="88"/>
        <v>0</v>
      </c>
      <c r="S485" s="798">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9">
        <f t="shared" si="88"/>
        <v>0</v>
      </c>
      <c r="S486" s="798">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9">
        <f t="shared" si="88"/>
        <v>0</v>
      </c>
      <c r="S487" s="798">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9">
        <f t="shared" si="88"/>
        <v>0</v>
      </c>
      <c r="S488" s="798">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9">
        <f t="shared" si="88"/>
        <v>0</v>
      </c>
      <c r="S489" s="798">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9">
        <f t="shared" si="88"/>
        <v>0</v>
      </c>
      <c r="S490" s="798">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9">
        <f t="shared" si="88"/>
        <v>0</v>
      </c>
      <c r="S491" s="798">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9">
        <f t="shared" si="88"/>
        <v>0</v>
      </c>
      <c r="S492" s="798">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9">
        <f t="shared" si="88"/>
        <v>0</v>
      </c>
      <c r="S493" s="798">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9">
        <f t="shared" si="88"/>
        <v>0</v>
      </c>
      <c r="S494" s="798">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9">
        <f t="shared" si="88"/>
        <v>0</v>
      </c>
      <c r="S495" s="798">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9">
        <f t="shared" si="88"/>
        <v>0</v>
      </c>
      <c r="S496" s="798">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9">
        <f t="shared" si="88"/>
        <v>0</v>
      </c>
      <c r="S497" s="798">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9">
        <f t="shared" si="88"/>
        <v>0</v>
      </c>
      <c r="S498" s="798">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9">
        <f t="shared" si="88"/>
        <v>0</v>
      </c>
      <c r="S499" s="798">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9">
        <f t="shared" si="88"/>
        <v>0</v>
      </c>
      <c r="S500" s="798">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9">
        <f t="shared" si="88"/>
        <v>0</v>
      </c>
      <c r="S501" s="798">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9">
        <f t="shared" si="88"/>
        <v>0</v>
      </c>
      <c r="S502" s="798">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9">
        <f t="shared" si="88"/>
        <v>0</v>
      </c>
      <c r="S503" s="798">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9">
        <f t="shared" si="88"/>
        <v>0</v>
      </c>
      <c r="S504" s="798">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9">
        <f t="shared" si="88"/>
        <v>0</v>
      </c>
      <c r="S505" s="798">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9">
        <f t="shared" si="88"/>
        <v>0</v>
      </c>
      <c r="S506" s="798">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9">
        <f t="shared" si="88"/>
        <v>0</v>
      </c>
      <c r="S507" s="798">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9">
        <f t="shared" si="88"/>
        <v>0</v>
      </c>
      <c r="S508" s="798">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9">
        <f t="shared" si="88"/>
        <v>0</v>
      </c>
      <c r="S509" s="798">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9">
        <f t="shared" si="88"/>
        <v>0</v>
      </c>
      <c r="S510" s="798">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9">
        <f t="shared" si="88"/>
        <v>0</v>
      </c>
      <c r="S511" s="798">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9">
        <f t="shared" si="88"/>
        <v>0</v>
      </c>
      <c r="S512" s="798">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9">
        <f t="shared" si="88"/>
        <v>0</v>
      </c>
      <c r="S513" s="798">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9">
        <f t="shared" si="88"/>
        <v>0</v>
      </c>
      <c r="S514" s="798">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9">
        <f t="shared" si="88"/>
        <v>0</v>
      </c>
      <c r="S515" s="798">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9">
        <f t="shared" si="88"/>
        <v>0</v>
      </c>
      <c r="S516" s="798">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9">
        <f t="shared" si="88"/>
        <v>0</v>
      </c>
      <c r="S517" s="798">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9">
        <f t="shared" si="88"/>
        <v>0</v>
      </c>
      <c r="S518" s="798">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9">
        <f t="shared" si="88"/>
        <v>0</v>
      </c>
      <c r="S519" s="798">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9">
        <f t="shared" si="88"/>
        <v>0</v>
      </c>
      <c r="S520" s="798">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9">
        <f t="shared" si="88"/>
        <v>0</v>
      </c>
      <c r="S521" s="798">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9">
        <f t="shared" si="88"/>
        <v>0</v>
      </c>
      <c r="S522" s="798">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9">
        <f t="shared" si="88"/>
        <v>0</v>
      </c>
      <c r="S523" s="798">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2784</v>
      </c>
      <c r="C1" s="2955">
        <f>项目基本情况!D3</f>
        <v>43965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2815</v>
      </c>
      <c r="C2" s="2956">
        <f>'数据-取费表'!B22</f>
        <v>2</v>
      </c>
      <c r="D2" s="2951" t="s">
        <v>2785</v>
      </c>
      <c r="E2" s="2954">
        <f ca="1">INDIRECT("I"&amp;$I$1)/100</f>
        <v>4.7500000000000001E-2</v>
      </c>
      <c r="G2" s="2891"/>
      <c r="H2" s="2891"/>
      <c r="I2" s="2891" t="s">
        <v>2786</v>
      </c>
      <c r="K2" s="2891"/>
      <c r="L2" s="2891"/>
      <c r="M2" s="2891"/>
      <c r="N2" s="2891" t="s">
        <v>2787</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2817</v>
      </c>
      <c r="C3" s="2953">
        <f>'数据-取费表'!B19</f>
        <v>0</v>
      </c>
      <c r="D3" s="2951" t="s">
        <v>2785</v>
      </c>
      <c r="E3" s="2954">
        <f ca="1">INDIRECT("J"&amp;$J$1)/100</f>
        <v>0</v>
      </c>
      <c r="G3" s="2893" t="s">
        <v>2788</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2816</v>
      </c>
      <c r="C4" s="2954">
        <f ca="1">N4/100</f>
        <v>1.4999999999999999E-2</v>
      </c>
      <c r="G4" s="2899" t="s">
        <v>2789</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2790</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2791</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2792</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2793</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2794</v>
      </c>
      <c r="C10" s="2918"/>
      <c r="D10" s="2918"/>
      <c r="E10" s="2918"/>
      <c r="F10" s="2918"/>
      <c r="G10" s="2918"/>
      <c r="H10" s="2918"/>
      <c r="I10" s="2892"/>
      <c r="J10" s="2892"/>
      <c r="K10" s="2918"/>
      <c r="L10" s="2919" t="s">
        <v>2795</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2796</v>
      </c>
      <c r="C11" s="2923" t="s">
        <v>2797</v>
      </c>
      <c r="D11" s="2924" t="s">
        <v>2798</v>
      </c>
      <c r="E11" s="2925"/>
      <c r="F11" s="2924" t="s">
        <v>2799</v>
      </c>
      <c r="G11" s="2926"/>
      <c r="H11" s="2925"/>
      <c r="I11" s="2924" t="s">
        <v>2800</v>
      </c>
      <c r="J11" s="2925"/>
      <c r="K11" s="2921"/>
      <c r="L11" s="2922" t="s">
        <v>2796</v>
      </c>
      <c r="M11" s="2923" t="s">
        <v>2797</v>
      </c>
      <c r="N11" s="2922" t="s">
        <v>2801</v>
      </c>
      <c r="O11" s="2924" t="s">
        <v>2802</v>
      </c>
      <c r="P11" s="2926"/>
      <c r="Q11" s="2926"/>
      <c r="R11" s="2926"/>
      <c r="S11" s="2926"/>
      <c r="T11" s="2925"/>
      <c r="U11" s="2924" t="s">
        <v>2803</v>
      </c>
      <c r="V11" s="2926"/>
      <c r="W11" s="2925"/>
      <c r="X11" s="2922" t="s">
        <v>2804</v>
      </c>
      <c r="Y11" s="2922" t="s">
        <v>2805</v>
      </c>
      <c r="Z11" s="2922" t="s">
        <v>2806</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2807</v>
      </c>
      <c r="E12" s="2931" t="s">
        <v>2808</v>
      </c>
      <c r="F12" s="2931" t="s">
        <v>2809</v>
      </c>
      <c r="G12" s="2931" t="s">
        <v>2810</v>
      </c>
      <c r="H12" s="2931" t="s">
        <v>2792</v>
      </c>
      <c r="I12" s="2932" t="s">
        <v>2811</v>
      </c>
      <c r="J12" s="2932" t="s">
        <v>2811</v>
      </c>
      <c r="K12" s="2928"/>
      <c r="L12" s="2929"/>
      <c r="M12" s="2930"/>
      <c r="N12" s="2929"/>
      <c r="O12" s="2932" t="s">
        <v>2812</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2813</v>
      </c>
      <c r="C13" s="2936">
        <v>42301</v>
      </c>
      <c r="D13" s="2937">
        <v>4.3499999999999996</v>
      </c>
      <c r="E13" s="2937">
        <v>4.3499999999999996</v>
      </c>
      <c r="F13" s="2937">
        <v>4.75</v>
      </c>
      <c r="G13" s="2937">
        <v>4.75</v>
      </c>
      <c r="H13" s="2937">
        <v>4.9000000000000004</v>
      </c>
      <c r="I13" s="2937">
        <v>2.75</v>
      </c>
      <c r="J13" s="2937">
        <v>3.25</v>
      </c>
      <c r="K13" s="2934"/>
      <c r="L13" s="2935" t="s">
        <v>2813</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2814</v>
      </c>
      <c r="Y42" s="2941" t="s">
        <v>2814</v>
      </c>
      <c r="Z42" s="2941" t="s">
        <v>2814</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2814</v>
      </c>
      <c r="Y43" s="2941" t="s">
        <v>2814</v>
      </c>
      <c r="Z43" s="2941" t="s">
        <v>2814</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2814</v>
      </c>
      <c r="Y44" s="2941" t="s">
        <v>2814</v>
      </c>
      <c r="Z44" s="2941" t="s">
        <v>2814</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2814</v>
      </c>
      <c r="Y45" s="2941" t="s">
        <v>2814</v>
      </c>
      <c r="Z45" s="2941" t="s">
        <v>2814</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2814</v>
      </c>
      <c r="Y46" s="2941" t="s">
        <v>2814</v>
      </c>
      <c r="Z46" s="2941" t="s">
        <v>2814</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2814</v>
      </c>
      <c r="Y47" s="2941" t="s">
        <v>2814</v>
      </c>
      <c r="Z47" s="2941" t="s">
        <v>2814</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2814</v>
      </c>
      <c r="Y48" s="2941" t="s">
        <v>2814</v>
      </c>
      <c r="Z48" s="2941" t="s">
        <v>2814</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2814</v>
      </c>
      <c r="Y49" s="2941" t="s">
        <v>2814</v>
      </c>
      <c r="Z49" s="2941" t="s">
        <v>2814</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2814</v>
      </c>
      <c r="Y50" s="2941" t="s">
        <v>2814</v>
      </c>
      <c r="Z50" s="2941" t="s">
        <v>2814</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2814</v>
      </c>
      <c r="V51" s="2941" t="s">
        <v>2814</v>
      </c>
      <c r="W51" s="2941" t="s">
        <v>2814</v>
      </c>
      <c r="X51" s="2941" t="s">
        <v>2814</v>
      </c>
      <c r="Y51" s="2941" t="s">
        <v>2814</v>
      </c>
      <c r="Z51" s="2941" t="s">
        <v>2814</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2814</v>
      </c>
      <c r="J55" s="2941" t="s">
        <v>2814</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101"/>
  <sheetViews>
    <sheetView topLeftCell="A69" workbookViewId="0">
      <selection activeCell="AI64" sqref="AI64"/>
    </sheetView>
  </sheetViews>
  <sheetFormatPr defaultRowHeight="14.25"/>
  <cols>
    <col min="1" max="1" width="31.625" style="3413" customWidth="1"/>
    <col min="2" max="7" width="0" style="3413" hidden="1" customWidth="1"/>
    <col min="8" max="8" width="3" style="3413" hidden="1" customWidth="1"/>
    <col min="9" max="9" width="12.5" style="3413" customWidth="1"/>
    <col min="10" max="10" width="11.5" style="3413" customWidth="1"/>
    <col min="11" max="11" width="9" style="3413"/>
    <col min="12" max="12" width="14.625" style="3413" customWidth="1"/>
    <col min="13" max="13" width="20.375" style="3413" customWidth="1"/>
    <col min="14" max="14" width="9" style="3413"/>
    <col min="15" max="15" width="11.875" style="3429" customWidth="1"/>
    <col min="16" max="16" width="11.125" style="3413" customWidth="1"/>
    <col min="17" max="16384" width="9" style="3413"/>
  </cols>
  <sheetData>
    <row r="1" spans="1:17" s="3425" customFormat="1" ht="54.75" thickBot="1">
      <c r="A1" s="3423" t="s">
        <v>3193</v>
      </c>
      <c r="B1" s="3423"/>
      <c r="C1" s="3423"/>
      <c r="D1" s="3423"/>
      <c r="E1" s="3424"/>
      <c r="F1" s="3423" t="s">
        <v>3194</v>
      </c>
      <c r="G1" s="3423" t="s">
        <v>3195</v>
      </c>
      <c r="H1" s="3423" t="s">
        <v>3196</v>
      </c>
      <c r="I1" s="3423" t="s">
        <v>3197</v>
      </c>
      <c r="J1" s="3423" t="s">
        <v>3198</v>
      </c>
      <c r="K1" s="3423" t="s">
        <v>3199</v>
      </c>
      <c r="L1" s="3423" t="s">
        <v>3200</v>
      </c>
      <c r="M1" s="3423" t="s">
        <v>3201</v>
      </c>
      <c r="N1" s="3423" t="s">
        <v>3202</v>
      </c>
      <c r="O1" s="3426" t="s">
        <v>3203</v>
      </c>
      <c r="P1" s="3423" t="s">
        <v>3204</v>
      </c>
      <c r="Q1" s="3423" t="s">
        <v>3205</v>
      </c>
    </row>
    <row r="2" spans="1:17" ht="15" thickBot="1">
      <c r="A2" s="3413" t="s">
        <v>3206</v>
      </c>
      <c r="B2" s="3413">
        <v>1</v>
      </c>
      <c r="C2" s="3414"/>
      <c r="D2" s="3414"/>
      <c r="E2" s="3413" t="s">
        <v>3207</v>
      </c>
      <c r="F2" s="3415" t="s">
        <v>3208</v>
      </c>
      <c r="G2" s="3415" t="s">
        <v>3209</v>
      </c>
      <c r="H2" s="3415" t="s">
        <v>3210</v>
      </c>
      <c r="I2" s="3416">
        <v>49238.48</v>
      </c>
      <c r="J2" s="3416">
        <v>152639.29</v>
      </c>
      <c r="K2" s="3416" t="s">
        <v>3211</v>
      </c>
      <c r="L2" s="3417">
        <v>43747</v>
      </c>
      <c r="M2" s="3415" t="s">
        <v>3212</v>
      </c>
      <c r="N2" s="3416">
        <v>11817.6</v>
      </c>
      <c r="O2" s="3427">
        <v>160</v>
      </c>
      <c r="P2" s="3416">
        <v>774.22</v>
      </c>
      <c r="Q2" s="3416">
        <v>0</v>
      </c>
    </row>
    <row r="3" spans="1:17" ht="15" thickBot="1">
      <c r="A3" s="3413" t="s">
        <v>3206</v>
      </c>
      <c r="B3" s="3413">
        <v>1</v>
      </c>
      <c r="C3" s="3414"/>
      <c r="D3" s="3414"/>
      <c r="E3" s="3413" t="s">
        <v>3207</v>
      </c>
      <c r="F3" s="3415" t="s">
        <v>3208</v>
      </c>
      <c r="G3" s="3415" t="s">
        <v>3209</v>
      </c>
      <c r="H3" s="3415" t="s">
        <v>3210</v>
      </c>
      <c r="I3" s="3416">
        <v>56409.23</v>
      </c>
      <c r="J3" s="3416">
        <v>101536.61</v>
      </c>
      <c r="K3" s="3416" t="s">
        <v>3213</v>
      </c>
      <c r="L3" s="3417">
        <v>43747</v>
      </c>
      <c r="M3" s="3415" t="s">
        <v>3212</v>
      </c>
      <c r="N3" s="3416">
        <v>13537.6</v>
      </c>
      <c r="O3" s="3427">
        <v>159.99</v>
      </c>
      <c r="P3" s="3416">
        <v>1333.26</v>
      </c>
      <c r="Q3" s="3416">
        <v>0</v>
      </c>
    </row>
    <row r="4" spans="1:17" ht="15" thickBot="1">
      <c r="A4" s="3413" t="s">
        <v>3206</v>
      </c>
      <c r="B4" s="3413">
        <v>1</v>
      </c>
      <c r="C4" s="3414"/>
      <c r="D4" s="3414"/>
      <c r="E4" s="3413" t="s">
        <v>3207</v>
      </c>
      <c r="F4" s="3415" t="s">
        <v>3208</v>
      </c>
      <c r="G4" s="3415" t="s">
        <v>3209</v>
      </c>
      <c r="H4" s="3415" t="s">
        <v>3210</v>
      </c>
      <c r="I4" s="3416">
        <v>47528.41</v>
      </c>
      <c r="J4" s="3416">
        <v>147338.07</v>
      </c>
      <c r="K4" s="3416" t="s">
        <v>3211</v>
      </c>
      <c r="L4" s="3417">
        <v>43747</v>
      </c>
      <c r="M4" s="3415" t="s">
        <v>3212</v>
      </c>
      <c r="N4" s="3416">
        <v>11406.39</v>
      </c>
      <c r="O4" s="3427">
        <v>159.99</v>
      </c>
      <c r="P4" s="3416">
        <v>774.16</v>
      </c>
      <c r="Q4" s="3416">
        <v>0</v>
      </c>
    </row>
    <row r="5" spans="1:17" ht="15" thickBot="1">
      <c r="A5" s="3413" t="s">
        <v>3206</v>
      </c>
      <c r="B5" s="3413">
        <v>1</v>
      </c>
      <c r="C5" s="3414"/>
      <c r="D5" s="3414"/>
      <c r="E5" s="3413" t="s">
        <v>3207</v>
      </c>
      <c r="F5" s="3415" t="s">
        <v>3208</v>
      </c>
      <c r="G5" s="3415" t="s">
        <v>3214</v>
      </c>
      <c r="H5" s="3415" t="s">
        <v>3210</v>
      </c>
      <c r="I5" s="3416">
        <v>20521.79</v>
      </c>
      <c r="J5" s="3416">
        <v>61565.37</v>
      </c>
      <c r="K5" s="3416" t="s">
        <v>3211</v>
      </c>
      <c r="L5" s="3417">
        <v>43747</v>
      </c>
      <c r="M5" s="3415" t="s">
        <v>3212</v>
      </c>
      <c r="N5" s="3416">
        <v>4924.8</v>
      </c>
      <c r="O5" s="3427">
        <v>159.99</v>
      </c>
      <c r="P5" s="3416">
        <v>799.92</v>
      </c>
      <c r="Q5" s="3416">
        <v>0</v>
      </c>
    </row>
    <row r="6" spans="1:17" ht="15" thickBot="1">
      <c r="A6" s="3413" t="s">
        <v>3206</v>
      </c>
      <c r="B6" s="3413">
        <v>1</v>
      </c>
      <c r="C6" s="3414"/>
      <c r="D6" s="3414"/>
      <c r="E6" s="3413" t="s">
        <v>3207</v>
      </c>
      <c r="F6" s="3415" t="s">
        <v>3208</v>
      </c>
      <c r="G6" s="3415" t="s">
        <v>3214</v>
      </c>
      <c r="H6" s="3415" t="s">
        <v>3210</v>
      </c>
      <c r="I6" s="3416">
        <v>9807.2099999999991</v>
      </c>
      <c r="J6" s="3416">
        <v>11768.65</v>
      </c>
      <c r="K6" s="3416" t="s">
        <v>3215</v>
      </c>
      <c r="L6" s="3417">
        <v>43747</v>
      </c>
      <c r="M6" s="3415" t="s">
        <v>3212</v>
      </c>
      <c r="N6" s="3416">
        <v>2353.59</v>
      </c>
      <c r="O6" s="3427">
        <v>159.99</v>
      </c>
      <c r="P6" s="3416">
        <v>1999.89</v>
      </c>
      <c r="Q6" s="3416">
        <v>0</v>
      </c>
    </row>
    <row r="7" spans="1:17" ht="15" thickBot="1">
      <c r="A7" s="3413" t="s">
        <v>3206</v>
      </c>
      <c r="B7" s="3413">
        <v>1</v>
      </c>
      <c r="C7" s="3414"/>
      <c r="D7" s="3414"/>
      <c r="E7" s="3413" t="s">
        <v>3207</v>
      </c>
      <c r="F7" s="3415" t="s">
        <v>3208</v>
      </c>
      <c r="G7" s="3415" t="s">
        <v>3209</v>
      </c>
      <c r="H7" s="3415" t="s">
        <v>3210</v>
      </c>
      <c r="I7" s="3416">
        <v>78788.460000000006</v>
      </c>
      <c r="J7" s="3416">
        <v>94546.15</v>
      </c>
      <c r="K7" s="3416" t="s">
        <v>3213</v>
      </c>
      <c r="L7" s="3417">
        <v>43747</v>
      </c>
      <c r="M7" s="3415" t="s">
        <v>3212</v>
      </c>
      <c r="N7" s="3416">
        <v>18908.79</v>
      </c>
      <c r="O7" s="3427">
        <v>160</v>
      </c>
      <c r="P7" s="3416">
        <v>1999.95</v>
      </c>
      <c r="Q7" s="3416">
        <v>0</v>
      </c>
    </row>
    <row r="8" spans="1:17" ht="15" thickBot="1">
      <c r="A8" s="3413" t="s">
        <v>3206</v>
      </c>
      <c r="B8" s="3413">
        <v>1</v>
      </c>
      <c r="C8" s="3414"/>
      <c r="D8" s="3414"/>
      <c r="E8" s="3413" t="s">
        <v>3207</v>
      </c>
      <c r="F8" s="3415" t="s">
        <v>3208</v>
      </c>
      <c r="G8" s="3415" t="s">
        <v>3214</v>
      </c>
      <c r="H8" s="3415" t="s">
        <v>3210</v>
      </c>
      <c r="I8" s="3416">
        <v>6485.55</v>
      </c>
      <c r="J8" s="3416">
        <v>7782.66</v>
      </c>
      <c r="K8" s="3416" t="s">
        <v>3215</v>
      </c>
      <c r="L8" s="3417">
        <v>43747</v>
      </c>
      <c r="M8" s="3415" t="s">
        <v>3212</v>
      </c>
      <c r="N8" s="3416">
        <v>1556.79</v>
      </c>
      <c r="O8" s="3427">
        <v>160.03</v>
      </c>
      <c r="P8" s="3416">
        <v>2000.33</v>
      </c>
      <c r="Q8" s="3416">
        <v>0</v>
      </c>
    </row>
    <row r="9" spans="1:17" ht="15" thickBot="1">
      <c r="A9" s="3413" t="s">
        <v>3206</v>
      </c>
      <c r="B9" s="3413">
        <v>1</v>
      </c>
      <c r="C9" s="3414"/>
      <c r="D9" s="3414"/>
      <c r="E9" s="3413" t="s">
        <v>3207</v>
      </c>
      <c r="F9" s="3415" t="s">
        <v>3208</v>
      </c>
      <c r="G9" s="3415" t="s">
        <v>3214</v>
      </c>
      <c r="H9" s="3415" t="s">
        <v>3210</v>
      </c>
      <c r="I9" s="3416">
        <v>40259.14</v>
      </c>
      <c r="J9" s="3416">
        <v>112725.59</v>
      </c>
      <c r="K9" s="3416" t="s">
        <v>3216</v>
      </c>
      <c r="L9" s="3417">
        <v>43747</v>
      </c>
      <c r="M9" s="3415" t="s">
        <v>3212</v>
      </c>
      <c r="N9" s="3416">
        <v>9662.39</v>
      </c>
      <c r="O9" s="3427">
        <v>160</v>
      </c>
      <c r="P9" s="3416">
        <v>857.15</v>
      </c>
      <c r="Q9" s="3416">
        <v>0</v>
      </c>
    </row>
    <row r="10" spans="1:17" ht="15" thickBot="1">
      <c r="A10" s="3413" t="s">
        <v>3206</v>
      </c>
      <c r="B10" s="3413">
        <v>1</v>
      </c>
      <c r="C10" s="3414"/>
      <c r="D10" s="3414"/>
      <c r="E10" s="3413" t="s">
        <v>3207</v>
      </c>
      <c r="F10" s="3415" t="s">
        <v>3208</v>
      </c>
      <c r="G10" s="3415" t="s">
        <v>3209</v>
      </c>
      <c r="H10" s="3415" t="s">
        <v>3210</v>
      </c>
      <c r="I10" s="3416">
        <v>33593.69</v>
      </c>
      <c r="J10" s="3416">
        <v>104140.44</v>
      </c>
      <c r="K10" s="3416" t="s">
        <v>3211</v>
      </c>
      <c r="L10" s="3417">
        <v>43747</v>
      </c>
      <c r="M10" s="3415" t="s">
        <v>3212</v>
      </c>
      <c r="N10" s="3416">
        <v>8062.39</v>
      </c>
      <c r="O10" s="3427">
        <v>160</v>
      </c>
      <c r="P10" s="3416">
        <v>774.19</v>
      </c>
      <c r="Q10" s="3416">
        <v>0</v>
      </c>
    </row>
    <row r="11" spans="1:17" ht="15" thickBot="1">
      <c r="A11" s="3413" t="s">
        <v>3206</v>
      </c>
      <c r="B11" s="3413">
        <v>1</v>
      </c>
      <c r="C11" s="3414"/>
      <c r="D11" s="3414"/>
      <c r="E11" s="3413" t="s">
        <v>3207</v>
      </c>
      <c r="F11" s="3415" t="s">
        <v>3208</v>
      </c>
      <c r="G11" s="3415" t="s">
        <v>3214</v>
      </c>
      <c r="H11" s="3415" t="s">
        <v>3210</v>
      </c>
      <c r="I11" s="3416">
        <v>31056.880000000001</v>
      </c>
      <c r="J11" s="3416">
        <v>80747.89</v>
      </c>
      <c r="K11" s="3416" t="s">
        <v>3216</v>
      </c>
      <c r="L11" s="3417">
        <v>43747</v>
      </c>
      <c r="M11" s="3415" t="s">
        <v>3212</v>
      </c>
      <c r="N11" s="3416">
        <v>7454.39</v>
      </c>
      <c r="O11" s="3427">
        <v>160.02000000000001</v>
      </c>
      <c r="P11" s="3416">
        <v>923.16</v>
      </c>
      <c r="Q11" s="3416">
        <v>0</v>
      </c>
    </row>
    <row r="12" spans="1:17" ht="15" thickBot="1">
      <c r="A12" s="3413" t="s">
        <v>3206</v>
      </c>
      <c r="B12" s="3413">
        <v>1</v>
      </c>
      <c r="C12" s="3414"/>
      <c r="D12" s="3414"/>
      <c r="E12" s="3413" t="s">
        <v>3207</v>
      </c>
      <c r="F12" s="3415" t="s">
        <v>3208</v>
      </c>
      <c r="G12" s="3415" t="s">
        <v>3209</v>
      </c>
      <c r="H12" s="3415" t="s">
        <v>3210</v>
      </c>
      <c r="I12" s="3416">
        <v>76554.67</v>
      </c>
      <c r="J12" s="3416">
        <v>214353.08</v>
      </c>
      <c r="K12" s="3416" t="s">
        <v>3216</v>
      </c>
      <c r="L12" s="3417">
        <v>43747</v>
      </c>
      <c r="M12" s="3415" t="s">
        <v>3212</v>
      </c>
      <c r="N12" s="3416">
        <v>18372.79</v>
      </c>
      <c r="O12" s="3427">
        <v>160</v>
      </c>
      <c r="P12" s="3416">
        <v>857.12</v>
      </c>
      <c r="Q12" s="3416">
        <v>0</v>
      </c>
    </row>
    <row r="13" spans="1:17" ht="15" thickBot="1">
      <c r="A13" s="3413" t="s">
        <v>3206</v>
      </c>
      <c r="B13" s="3413">
        <v>1</v>
      </c>
      <c r="C13" s="3414"/>
      <c r="D13" s="3414"/>
      <c r="E13" s="3413" t="s">
        <v>3207</v>
      </c>
      <c r="F13" s="3415" t="s">
        <v>3208</v>
      </c>
      <c r="G13" s="3415" t="s">
        <v>3214</v>
      </c>
      <c r="H13" s="3415" t="s">
        <v>3210</v>
      </c>
      <c r="I13" s="3416">
        <v>48940.19</v>
      </c>
      <c r="J13" s="3416">
        <v>117456.46</v>
      </c>
      <c r="K13" s="3416" t="s">
        <v>3216</v>
      </c>
      <c r="L13" s="3417">
        <v>43747</v>
      </c>
      <c r="M13" s="3415" t="s">
        <v>3212</v>
      </c>
      <c r="N13" s="3416">
        <v>11745.6</v>
      </c>
      <c r="O13" s="3427">
        <v>160</v>
      </c>
      <c r="P13" s="3416">
        <v>1000</v>
      </c>
      <c r="Q13" s="3416">
        <v>0</v>
      </c>
    </row>
    <row r="14" spans="1:17" ht="15" thickBot="1">
      <c r="A14" s="3413" t="s">
        <v>3206</v>
      </c>
      <c r="B14" s="3413">
        <v>1</v>
      </c>
      <c r="C14" s="3414"/>
      <c r="D14" s="3414"/>
      <c r="E14" s="3413" t="s">
        <v>3207</v>
      </c>
      <c r="F14" s="3415" t="s">
        <v>3208</v>
      </c>
      <c r="G14" s="3415" t="s">
        <v>3209</v>
      </c>
      <c r="H14" s="3415" t="s">
        <v>3210</v>
      </c>
      <c r="I14" s="3416">
        <v>47426.89</v>
      </c>
      <c r="J14" s="3416">
        <v>56912.27</v>
      </c>
      <c r="K14" s="3416" t="s">
        <v>3213</v>
      </c>
      <c r="L14" s="3417">
        <v>43747</v>
      </c>
      <c r="M14" s="3415" t="s">
        <v>3212</v>
      </c>
      <c r="N14" s="3416">
        <v>11382.39</v>
      </c>
      <c r="O14" s="3427">
        <v>160</v>
      </c>
      <c r="P14" s="3416">
        <v>1999.99</v>
      </c>
      <c r="Q14" s="3416">
        <v>0</v>
      </c>
    </row>
    <row r="15" spans="1:17" ht="15" thickBot="1">
      <c r="A15" s="3413" t="s">
        <v>3206</v>
      </c>
      <c r="B15" s="3413">
        <v>1</v>
      </c>
      <c r="C15" s="3414"/>
      <c r="D15" s="3414"/>
      <c r="E15" s="3413" t="s">
        <v>3207</v>
      </c>
      <c r="F15" s="3415" t="s">
        <v>3208</v>
      </c>
      <c r="G15" s="3415" t="s">
        <v>3214</v>
      </c>
      <c r="H15" s="3415" t="s">
        <v>3210</v>
      </c>
      <c r="I15" s="3416">
        <v>52614.13</v>
      </c>
      <c r="J15" s="3416">
        <v>147319.56</v>
      </c>
      <c r="K15" s="3416" t="s">
        <v>3216</v>
      </c>
      <c r="L15" s="3417">
        <v>43747</v>
      </c>
      <c r="M15" s="3415" t="s">
        <v>3212</v>
      </c>
      <c r="N15" s="3416">
        <v>12627.2</v>
      </c>
      <c r="O15" s="3427">
        <v>160</v>
      </c>
      <c r="P15" s="3416">
        <v>857.12</v>
      </c>
      <c r="Q15" s="3416">
        <v>0</v>
      </c>
    </row>
    <row r="16" spans="1:17" ht="15" thickBot="1">
      <c r="A16" s="3413" t="s">
        <v>3206</v>
      </c>
      <c r="B16" s="3413">
        <v>1</v>
      </c>
      <c r="C16" s="3414"/>
      <c r="D16" s="3414"/>
      <c r="E16" s="3413" t="s">
        <v>3207</v>
      </c>
      <c r="F16" s="3415" t="s">
        <v>3208</v>
      </c>
      <c r="G16" s="3415" t="s">
        <v>3214</v>
      </c>
      <c r="H16" s="3415" t="s">
        <v>3210</v>
      </c>
      <c r="I16" s="3416">
        <v>7629.47</v>
      </c>
      <c r="J16" s="3416">
        <v>9155.36</v>
      </c>
      <c r="K16" s="3416" t="s">
        <v>3215</v>
      </c>
      <c r="L16" s="3417">
        <v>43747</v>
      </c>
      <c r="M16" s="3415" t="s">
        <v>3212</v>
      </c>
      <c r="N16" s="3416">
        <v>1830.4</v>
      </c>
      <c r="O16" s="3427">
        <v>159.94</v>
      </c>
      <c r="P16" s="3416">
        <v>1999.26</v>
      </c>
      <c r="Q16" s="3416">
        <v>0</v>
      </c>
    </row>
    <row r="17" spans="1:17" ht="15" thickBot="1">
      <c r="A17" s="3413" t="s">
        <v>3206</v>
      </c>
      <c r="B17" s="3413">
        <v>1</v>
      </c>
      <c r="C17" s="3414"/>
      <c r="D17" s="3414"/>
      <c r="E17" s="3413" t="s">
        <v>3207</v>
      </c>
      <c r="F17" s="3415" t="s">
        <v>3208</v>
      </c>
      <c r="G17" s="3415" t="s">
        <v>3214</v>
      </c>
      <c r="H17" s="3415" t="s">
        <v>3210</v>
      </c>
      <c r="I17" s="3416">
        <v>70065.2</v>
      </c>
      <c r="J17" s="3416">
        <v>133123.88</v>
      </c>
      <c r="K17" s="3416" t="s">
        <v>3213</v>
      </c>
      <c r="L17" s="3417">
        <v>43747</v>
      </c>
      <c r="M17" s="3415" t="s">
        <v>3212</v>
      </c>
      <c r="N17" s="3416">
        <v>16816</v>
      </c>
      <c r="O17" s="3427">
        <v>160</v>
      </c>
      <c r="P17" s="3416">
        <v>1263.18</v>
      </c>
      <c r="Q17" s="3416">
        <v>0</v>
      </c>
    </row>
    <row r="18" spans="1:17" ht="15" thickBot="1">
      <c r="A18" s="3413" t="s">
        <v>3206</v>
      </c>
      <c r="B18" s="3413">
        <v>1</v>
      </c>
      <c r="C18" s="3414"/>
      <c r="D18" s="3414"/>
      <c r="E18" s="3413" t="s">
        <v>3207</v>
      </c>
      <c r="F18" s="3415" t="s">
        <v>3208</v>
      </c>
      <c r="G18" s="3415" t="s">
        <v>3209</v>
      </c>
      <c r="H18" s="3415" t="s">
        <v>3210</v>
      </c>
      <c r="I18" s="3416">
        <v>123771.4</v>
      </c>
      <c r="J18" s="3416">
        <v>284674.21999999997</v>
      </c>
      <c r="K18" s="3416" t="s">
        <v>3216</v>
      </c>
      <c r="L18" s="3417">
        <v>43747</v>
      </c>
      <c r="M18" s="3415" t="s">
        <v>3212</v>
      </c>
      <c r="N18" s="3416">
        <v>29705.59</v>
      </c>
      <c r="O18" s="3427">
        <v>160</v>
      </c>
      <c r="P18" s="3416">
        <v>1043.49</v>
      </c>
      <c r="Q18" s="3416">
        <v>0</v>
      </c>
    </row>
    <row r="19" spans="1:17" ht="15" thickBot="1">
      <c r="A19" s="3413" t="s">
        <v>3206</v>
      </c>
      <c r="B19" s="3413">
        <v>1</v>
      </c>
      <c r="C19" s="3414"/>
      <c r="D19" s="3414"/>
      <c r="E19" s="3413" t="s">
        <v>3207</v>
      </c>
      <c r="F19" s="3415" t="s">
        <v>3208</v>
      </c>
      <c r="G19" s="3415" t="s">
        <v>3214</v>
      </c>
      <c r="H19" s="3415" t="s">
        <v>3210</v>
      </c>
      <c r="I19" s="3416">
        <v>39847.370000000003</v>
      </c>
      <c r="J19" s="3416">
        <v>107587.9</v>
      </c>
      <c r="K19" s="3416" t="s">
        <v>3216</v>
      </c>
      <c r="L19" s="3417">
        <v>43747</v>
      </c>
      <c r="M19" s="3415" t="s">
        <v>3212</v>
      </c>
      <c r="N19" s="3416">
        <v>9563.2000000000007</v>
      </c>
      <c r="O19" s="3427">
        <v>160</v>
      </c>
      <c r="P19" s="3416">
        <v>888.87</v>
      </c>
      <c r="Q19" s="3416">
        <v>0</v>
      </c>
    </row>
    <row r="20" spans="1:17" ht="15" thickBot="1">
      <c r="A20" s="3413" t="s">
        <v>3206</v>
      </c>
      <c r="B20" s="3413">
        <v>1</v>
      </c>
      <c r="C20" s="3414"/>
      <c r="D20" s="3414"/>
      <c r="E20" s="3413" t="s">
        <v>3207</v>
      </c>
      <c r="F20" s="3415" t="s">
        <v>3208</v>
      </c>
      <c r="G20" s="3415" t="s">
        <v>3209</v>
      </c>
      <c r="H20" s="3415" t="s">
        <v>3210</v>
      </c>
      <c r="I20" s="3416">
        <v>32269.96</v>
      </c>
      <c r="J20" s="3416">
        <v>90355.89</v>
      </c>
      <c r="K20" s="3416" t="s">
        <v>3216</v>
      </c>
      <c r="L20" s="3417">
        <v>43747</v>
      </c>
      <c r="M20" s="3415" t="s">
        <v>3212</v>
      </c>
      <c r="N20" s="3416">
        <v>7744</v>
      </c>
      <c r="O20" s="3427">
        <v>159.97999999999999</v>
      </c>
      <c r="P20" s="3416">
        <v>857.05</v>
      </c>
      <c r="Q20" s="3416">
        <v>0</v>
      </c>
    </row>
    <row r="21" spans="1:17" s="3436" customFormat="1" ht="15" thickBot="1">
      <c r="A21" s="3436" t="s">
        <v>3290</v>
      </c>
      <c r="B21" s="3436">
        <v>5</v>
      </c>
      <c r="C21" s="3437"/>
      <c r="E21" s="3436" t="s">
        <v>3242</v>
      </c>
      <c r="F21" s="3438" t="s">
        <v>3243</v>
      </c>
      <c r="G21" s="3438" t="s">
        <v>3244</v>
      </c>
      <c r="H21" s="3438" t="s">
        <v>3283</v>
      </c>
      <c r="I21" s="3439">
        <v>20627.91</v>
      </c>
      <c r="J21" s="3439">
        <v>66009.31</v>
      </c>
      <c r="K21" s="3439" t="s">
        <v>3246</v>
      </c>
      <c r="L21" s="3440">
        <v>43678</v>
      </c>
      <c r="M21" s="3436" t="s">
        <v>3291</v>
      </c>
      <c r="N21" s="3439">
        <v>31682.560000000001</v>
      </c>
      <c r="O21" s="3441">
        <v>1023.94</v>
      </c>
      <c r="P21" s="3439">
        <v>4799.71</v>
      </c>
      <c r="Q21" s="3439">
        <v>0</v>
      </c>
    </row>
    <row r="22" spans="1:17" s="3436" customFormat="1" ht="15" thickBot="1">
      <c r="A22" s="3436" t="s">
        <v>3290</v>
      </c>
      <c r="B22" s="3436">
        <v>5</v>
      </c>
      <c r="C22" s="3437"/>
      <c r="E22" s="3436" t="s">
        <v>3242</v>
      </c>
      <c r="F22" s="3438" t="s">
        <v>3243</v>
      </c>
      <c r="G22" s="3438" t="s">
        <v>3244</v>
      </c>
      <c r="H22" s="3438" t="s">
        <v>3283</v>
      </c>
      <c r="I22" s="3439">
        <v>29242.1</v>
      </c>
      <c r="J22" s="3439">
        <v>93574.720000000001</v>
      </c>
      <c r="K22" s="3439" t="s">
        <v>3246</v>
      </c>
      <c r="L22" s="3440">
        <v>43678</v>
      </c>
      <c r="M22" s="3436" t="s">
        <v>3291</v>
      </c>
      <c r="N22" s="3439">
        <v>44912.63</v>
      </c>
      <c r="O22" s="3441">
        <v>1023.93</v>
      </c>
      <c r="P22" s="3439">
        <v>4799.6499999999996</v>
      </c>
      <c r="Q22" s="3439">
        <v>0</v>
      </c>
    </row>
    <row r="23" spans="1:17" s="3418" customFormat="1" ht="15" thickBot="1">
      <c r="A23" s="3418" t="s">
        <v>3292</v>
      </c>
      <c r="B23" s="3418">
        <v>5</v>
      </c>
      <c r="C23" s="3419"/>
      <c r="E23" s="3418" t="s">
        <v>3242</v>
      </c>
      <c r="F23" s="3420" t="s">
        <v>3243</v>
      </c>
      <c r="G23" s="3420" t="s">
        <v>3244</v>
      </c>
      <c r="H23" s="3420" t="s">
        <v>3283</v>
      </c>
      <c r="I23" s="3421">
        <v>32323.31</v>
      </c>
      <c r="J23" s="3421">
        <v>103434.6</v>
      </c>
      <c r="K23" s="3421" t="s">
        <v>3246</v>
      </c>
      <c r="L23" s="3422">
        <v>43678</v>
      </c>
      <c r="M23" s="3418" t="s">
        <v>3291</v>
      </c>
      <c r="N23" s="3421">
        <v>54782.400000000001</v>
      </c>
      <c r="O23" s="3428">
        <v>1129.8800000000001</v>
      </c>
      <c r="P23" s="3421">
        <v>5296.32</v>
      </c>
      <c r="Q23" s="3421">
        <v>0</v>
      </c>
    </row>
    <row r="24" spans="1:17" s="3442" customFormat="1" ht="15" thickBot="1">
      <c r="A24" s="3442" t="s">
        <v>3290</v>
      </c>
      <c r="B24" s="3442">
        <v>4</v>
      </c>
      <c r="C24" s="3444"/>
      <c r="E24" s="3442" t="s">
        <v>3242</v>
      </c>
      <c r="F24" s="3445" t="s">
        <v>3243</v>
      </c>
      <c r="G24" s="3445" t="s">
        <v>3244</v>
      </c>
      <c r="H24" s="3445" t="s">
        <v>3283</v>
      </c>
      <c r="I24" s="3446">
        <v>42300.95</v>
      </c>
      <c r="J24" s="3446">
        <v>135363</v>
      </c>
      <c r="K24" s="3446" t="s">
        <v>3246</v>
      </c>
      <c r="L24" s="3447">
        <v>43678</v>
      </c>
      <c r="M24" s="3442" t="s">
        <v>3291</v>
      </c>
      <c r="N24" s="3446">
        <v>64972.800000000003</v>
      </c>
      <c r="O24" s="3448">
        <v>1023.98</v>
      </c>
      <c r="P24" s="3446">
        <v>4799.8900000000003</v>
      </c>
      <c r="Q24" s="3446">
        <v>0</v>
      </c>
    </row>
    <row r="25" spans="1:17" ht="15" thickBot="1">
      <c r="A25" s="3413" t="s">
        <v>3220</v>
      </c>
      <c r="B25" s="3413">
        <v>5</v>
      </c>
      <c r="C25" s="3414"/>
      <c r="D25" s="3414"/>
      <c r="E25" s="3413" t="s">
        <v>3207</v>
      </c>
      <c r="F25" s="3415" t="s">
        <v>3208</v>
      </c>
      <c r="G25" s="3415" t="s">
        <v>3209</v>
      </c>
      <c r="H25" s="3415" t="s">
        <v>3218</v>
      </c>
      <c r="I25" s="3416">
        <v>20208.91</v>
      </c>
      <c r="J25" s="3416">
        <v>90940.1</v>
      </c>
      <c r="K25" s="3416" t="s">
        <v>3221</v>
      </c>
      <c r="L25" s="3417">
        <v>43675</v>
      </c>
      <c r="M25" s="3413" t="s">
        <v>3222</v>
      </c>
      <c r="N25" s="3416">
        <v>46040.88</v>
      </c>
      <c r="O25" s="3427">
        <v>1518.83</v>
      </c>
      <c r="P25" s="3416">
        <v>5062.7700000000004</v>
      </c>
      <c r="Q25" s="3416">
        <v>0</v>
      </c>
    </row>
    <row r="26" spans="1:17" ht="15" thickBot="1">
      <c r="A26" s="3413" t="s">
        <v>3223</v>
      </c>
      <c r="B26" s="3413">
        <v>5</v>
      </c>
      <c r="C26" s="3414"/>
      <c r="D26" s="3414"/>
      <c r="E26" s="3413" t="s">
        <v>3207</v>
      </c>
      <c r="F26" s="3415" t="s">
        <v>3208</v>
      </c>
      <c r="G26" s="3415" t="s">
        <v>3209</v>
      </c>
      <c r="H26" s="3415" t="s">
        <v>3210</v>
      </c>
      <c r="I26" s="3416">
        <v>49972.11</v>
      </c>
      <c r="J26" s="3416">
        <v>265351.90000000002</v>
      </c>
      <c r="K26" s="3416" t="s">
        <v>3224</v>
      </c>
      <c r="L26" s="3417">
        <v>43672</v>
      </c>
      <c r="M26" s="3413" t="s">
        <v>3225</v>
      </c>
      <c r="N26" s="3416">
        <v>88152.960000000006</v>
      </c>
      <c r="O26" s="3427">
        <v>1176.03</v>
      </c>
      <c r="P26" s="3416">
        <v>3322.11</v>
      </c>
      <c r="Q26" s="3416">
        <v>0</v>
      </c>
    </row>
    <row r="27" spans="1:17" ht="15" thickBot="1">
      <c r="A27" s="3413" t="s">
        <v>3223</v>
      </c>
      <c r="B27" s="3413">
        <v>5</v>
      </c>
      <c r="C27" s="3414"/>
      <c r="E27" s="3413" t="s">
        <v>3207</v>
      </c>
      <c r="F27" s="3415" t="s">
        <v>3208</v>
      </c>
      <c r="G27" s="3415" t="s">
        <v>3209</v>
      </c>
      <c r="H27" s="3415" t="s">
        <v>3210</v>
      </c>
      <c r="I27" s="3416">
        <v>40895.199999999997</v>
      </c>
      <c r="J27" s="3416">
        <v>226559.4</v>
      </c>
      <c r="K27" s="3416" t="s">
        <v>3224</v>
      </c>
      <c r="L27" s="3417">
        <v>43672</v>
      </c>
      <c r="M27" s="3413" t="s">
        <v>3225</v>
      </c>
      <c r="N27" s="3416">
        <v>75264.17</v>
      </c>
      <c r="O27" s="3427">
        <v>1226.94</v>
      </c>
      <c r="P27" s="3416">
        <v>3322.05</v>
      </c>
      <c r="Q27" s="3416">
        <v>0</v>
      </c>
    </row>
    <row r="28" spans="1:17" ht="15" thickBot="1">
      <c r="A28" s="3413" t="s">
        <v>3223</v>
      </c>
      <c r="B28" s="3413">
        <v>5</v>
      </c>
      <c r="C28" s="3414"/>
      <c r="E28" s="3413" t="s">
        <v>3207</v>
      </c>
      <c r="F28" s="3415" t="s">
        <v>3208</v>
      </c>
      <c r="G28" s="3415" t="s">
        <v>3209</v>
      </c>
      <c r="H28" s="3415" t="s">
        <v>3210</v>
      </c>
      <c r="I28" s="3416">
        <v>91467.11</v>
      </c>
      <c r="J28" s="3416">
        <v>457335.6</v>
      </c>
      <c r="K28" s="3416" t="s">
        <v>3226</v>
      </c>
      <c r="L28" s="3417">
        <v>43672</v>
      </c>
      <c r="M28" s="3413" t="s">
        <v>3225</v>
      </c>
      <c r="N28" s="3416">
        <v>155722</v>
      </c>
      <c r="O28" s="3427">
        <v>1134.99</v>
      </c>
      <c r="P28" s="3416">
        <v>3404.98</v>
      </c>
      <c r="Q28" s="3416">
        <v>0</v>
      </c>
    </row>
    <row r="29" spans="1:17" ht="15" thickBot="1">
      <c r="A29" s="3413" t="s">
        <v>3223</v>
      </c>
      <c r="B29" s="3413">
        <v>5</v>
      </c>
      <c r="C29" s="3414"/>
      <c r="E29" s="3413" t="s">
        <v>3207</v>
      </c>
      <c r="F29" s="3415" t="s">
        <v>3208</v>
      </c>
      <c r="G29" s="3415" t="s">
        <v>3209</v>
      </c>
      <c r="H29" s="3415" t="s">
        <v>3210</v>
      </c>
      <c r="I29" s="3416">
        <v>22540.61</v>
      </c>
      <c r="J29" s="3416">
        <v>118789</v>
      </c>
      <c r="K29" s="3416" t="s">
        <v>3224</v>
      </c>
      <c r="L29" s="3417">
        <v>43672</v>
      </c>
      <c r="M29" s="3413" t="s">
        <v>3225</v>
      </c>
      <c r="N29" s="3416">
        <v>43885.37</v>
      </c>
      <c r="O29" s="3427">
        <v>1297.96</v>
      </c>
      <c r="P29" s="3416">
        <v>3694.4</v>
      </c>
      <c r="Q29" s="3416">
        <v>0</v>
      </c>
    </row>
    <row r="30" spans="1:17" ht="15" thickBot="1">
      <c r="A30" s="3413" t="s">
        <v>3223</v>
      </c>
      <c r="B30" s="3413">
        <v>5</v>
      </c>
      <c r="C30" s="3414"/>
      <c r="E30" s="3413" t="s">
        <v>3207</v>
      </c>
      <c r="F30" s="3415" t="s">
        <v>3208</v>
      </c>
      <c r="G30" s="3415" t="s">
        <v>3209</v>
      </c>
      <c r="H30" s="3415" t="s">
        <v>3210</v>
      </c>
      <c r="I30" s="3416">
        <v>84949.11</v>
      </c>
      <c r="J30" s="3416">
        <v>445982.8</v>
      </c>
      <c r="K30" s="3416" t="s">
        <v>3224</v>
      </c>
      <c r="L30" s="3417">
        <v>43672</v>
      </c>
      <c r="M30" s="3413" t="s">
        <v>3225</v>
      </c>
      <c r="N30" s="3416">
        <v>148189.45000000001</v>
      </c>
      <c r="O30" s="3427">
        <v>1162.97</v>
      </c>
      <c r="P30" s="3416">
        <v>3322.76</v>
      </c>
      <c r="Q30" s="3416">
        <v>0</v>
      </c>
    </row>
    <row r="31" spans="1:17" ht="15" thickBot="1">
      <c r="A31" s="3413" t="s">
        <v>3223</v>
      </c>
      <c r="B31" s="3413">
        <v>5</v>
      </c>
      <c r="C31" s="3414"/>
      <c r="E31" s="3413" t="s">
        <v>3207</v>
      </c>
      <c r="F31" s="3415" t="s">
        <v>3208</v>
      </c>
      <c r="G31" s="3415" t="s">
        <v>3209</v>
      </c>
      <c r="H31" s="3415" t="s">
        <v>3210</v>
      </c>
      <c r="I31" s="3416">
        <v>85538.240000000005</v>
      </c>
      <c r="J31" s="3416">
        <v>444798.8</v>
      </c>
      <c r="K31" s="3416" t="s">
        <v>3224</v>
      </c>
      <c r="L31" s="3417">
        <v>43672</v>
      </c>
      <c r="M31" s="3413" t="s">
        <v>3225</v>
      </c>
      <c r="N31" s="3416">
        <v>147813.10999999999</v>
      </c>
      <c r="O31" s="3427">
        <v>1152.02</v>
      </c>
      <c r="P31" s="3416">
        <v>3323.15</v>
      </c>
      <c r="Q31" s="3416">
        <v>0</v>
      </c>
    </row>
    <row r="32" spans="1:17" ht="15" thickBot="1">
      <c r="A32" s="3413" t="s">
        <v>3223</v>
      </c>
      <c r="B32" s="3413">
        <v>5</v>
      </c>
      <c r="C32" s="3414"/>
      <c r="E32" s="3413" t="s">
        <v>3207</v>
      </c>
      <c r="F32" s="3415" t="s">
        <v>3208</v>
      </c>
      <c r="G32" s="3415" t="s">
        <v>3209</v>
      </c>
      <c r="H32" s="3415" t="s">
        <v>3210</v>
      </c>
      <c r="I32" s="3416">
        <v>35410.31</v>
      </c>
      <c r="J32" s="3416">
        <v>194756.7</v>
      </c>
      <c r="K32" s="3416" t="s">
        <v>3224</v>
      </c>
      <c r="L32" s="3417">
        <v>43672</v>
      </c>
      <c r="M32" s="3413" t="s">
        <v>3225</v>
      </c>
      <c r="N32" s="3416">
        <v>64700.160000000003</v>
      </c>
      <c r="O32" s="3427">
        <v>1218.0999999999999</v>
      </c>
      <c r="P32" s="3416">
        <v>3322.09</v>
      </c>
      <c r="Q32" s="3416">
        <v>0</v>
      </c>
    </row>
    <row r="33" spans="1:108" s="3442" customFormat="1" ht="15" thickBot="1">
      <c r="A33" s="3442" t="s">
        <v>3280</v>
      </c>
      <c r="B33" s="3442">
        <v>4</v>
      </c>
      <c r="C33" s="3444"/>
      <c r="D33" s="3444"/>
      <c r="E33" s="3442" t="s">
        <v>3242</v>
      </c>
      <c r="F33" s="3445" t="s">
        <v>3243</v>
      </c>
      <c r="G33" s="3445" t="s">
        <v>3244</v>
      </c>
      <c r="H33" s="3445" t="s">
        <v>3245</v>
      </c>
      <c r="I33" s="3446">
        <v>39717.47</v>
      </c>
      <c r="J33" s="3446">
        <v>135039.4</v>
      </c>
      <c r="K33" s="3446" t="s">
        <v>3246</v>
      </c>
      <c r="L33" s="3447">
        <v>43670</v>
      </c>
      <c r="M33" s="3442" t="s">
        <v>3289</v>
      </c>
      <c r="N33" s="3446">
        <v>86450.58</v>
      </c>
      <c r="O33" s="3448">
        <v>1451.09</v>
      </c>
      <c r="P33" s="3446">
        <v>6401.88</v>
      </c>
      <c r="Q33" s="3446">
        <v>0</v>
      </c>
      <c r="R33" s="3442">
        <v>3.4</v>
      </c>
    </row>
    <row r="34" spans="1:108" s="3442" customFormat="1" ht="15" thickBot="1">
      <c r="A34" s="3442" t="s">
        <v>3280</v>
      </c>
      <c r="B34" s="3442">
        <v>4</v>
      </c>
      <c r="C34" s="3444"/>
      <c r="D34" s="3444"/>
      <c r="E34" s="3442" t="s">
        <v>3242</v>
      </c>
      <c r="F34" s="3445" t="s">
        <v>3243</v>
      </c>
      <c r="G34" s="3445" t="s">
        <v>3244</v>
      </c>
      <c r="H34" s="3445" t="s">
        <v>3245</v>
      </c>
      <c r="I34" s="3446">
        <v>40850.69</v>
      </c>
      <c r="J34" s="3446">
        <v>159317.70000000001</v>
      </c>
      <c r="K34" s="3446" t="s">
        <v>3246</v>
      </c>
      <c r="L34" s="3447">
        <v>43670</v>
      </c>
      <c r="M34" s="3442" t="s">
        <v>3289</v>
      </c>
      <c r="N34" s="3446">
        <v>96516</v>
      </c>
      <c r="O34" s="3448">
        <v>1575.1</v>
      </c>
      <c r="P34" s="3446">
        <v>6058.07</v>
      </c>
      <c r="Q34" s="3446">
        <v>0</v>
      </c>
      <c r="R34" s="3442">
        <v>3.9</v>
      </c>
    </row>
    <row r="35" spans="1:108" s="3443" customFormat="1" ht="15" thickBot="1">
      <c r="A35" s="3443" t="s">
        <v>3229</v>
      </c>
      <c r="B35" s="3443">
        <v>5</v>
      </c>
      <c r="C35" s="3454"/>
      <c r="D35" s="3454"/>
      <c r="E35" s="3443" t="s">
        <v>3207</v>
      </c>
      <c r="F35" s="3455" t="s">
        <v>3208</v>
      </c>
      <c r="G35" s="3455" t="s">
        <v>3209</v>
      </c>
      <c r="H35" s="3455" t="s">
        <v>3210</v>
      </c>
      <c r="I35" s="3456">
        <v>9478.32</v>
      </c>
      <c r="J35" s="3456">
        <v>90044.04</v>
      </c>
      <c r="K35" s="3456" t="s">
        <v>3221</v>
      </c>
      <c r="L35" s="3457">
        <v>43670</v>
      </c>
      <c r="M35" s="3443" t="s">
        <v>3230</v>
      </c>
      <c r="N35" s="3456">
        <v>121243.8</v>
      </c>
      <c r="O35" s="3458">
        <v>8527.7999999999993</v>
      </c>
      <c r="P35" s="3456">
        <v>13464.94</v>
      </c>
      <c r="Q35" s="3456">
        <v>0</v>
      </c>
    </row>
    <row r="36" spans="1:108" s="3442" customFormat="1" ht="15" thickBot="1">
      <c r="A36" s="3442" t="s">
        <v>3280</v>
      </c>
      <c r="B36" s="3442">
        <v>5</v>
      </c>
      <c r="C36" s="3444"/>
      <c r="D36" s="3444"/>
      <c r="E36" s="3442" t="s">
        <v>3242</v>
      </c>
      <c r="F36" s="3445" t="s">
        <v>3243</v>
      </c>
      <c r="G36" s="3445" t="s">
        <v>3244</v>
      </c>
      <c r="H36" s="3445" t="s">
        <v>3245</v>
      </c>
      <c r="I36" s="3446">
        <v>33994.99</v>
      </c>
      <c r="J36" s="3446">
        <v>129181</v>
      </c>
      <c r="K36" s="3446" t="s">
        <v>3246</v>
      </c>
      <c r="L36" s="3447">
        <v>43670</v>
      </c>
      <c r="M36" s="3442" t="s">
        <v>3289</v>
      </c>
      <c r="N36" s="3446">
        <v>80258.25</v>
      </c>
      <c r="O36" s="3448">
        <v>1573.92</v>
      </c>
      <c r="P36" s="3446">
        <v>6212.85</v>
      </c>
      <c r="Q36" s="3446">
        <v>0</v>
      </c>
      <c r="R36" s="3442">
        <v>3.8</v>
      </c>
    </row>
    <row r="37" spans="1:108" ht="15" thickBot="1">
      <c r="A37" s="3413" t="s">
        <v>3227</v>
      </c>
      <c r="B37" s="3413">
        <v>4</v>
      </c>
      <c r="C37" s="3414"/>
      <c r="D37" s="3414"/>
      <c r="E37" s="3413" t="s">
        <v>3207</v>
      </c>
      <c r="F37" s="3415" t="s">
        <v>3208</v>
      </c>
      <c r="G37" s="3415" t="s">
        <v>3209</v>
      </c>
      <c r="H37" s="3415" t="s">
        <v>3210</v>
      </c>
      <c r="I37" s="3416">
        <v>14378.25</v>
      </c>
      <c r="J37" s="3416">
        <v>61826.47</v>
      </c>
      <c r="K37" s="3416" t="s">
        <v>3231</v>
      </c>
      <c r="L37" s="3417">
        <v>43670</v>
      </c>
      <c r="M37" s="3413" t="s">
        <v>3228</v>
      </c>
      <c r="N37" s="3416">
        <v>37725.93</v>
      </c>
      <c r="O37" s="3427">
        <v>1749.21</v>
      </c>
      <c r="P37" s="3416">
        <v>6101.9</v>
      </c>
      <c r="Q37" s="3416">
        <v>0</v>
      </c>
      <c r="R37" s="3443"/>
      <c r="S37" s="3443"/>
      <c r="T37" s="3443"/>
      <c r="U37" s="3443"/>
      <c r="V37" s="3443"/>
      <c r="W37" s="3443"/>
      <c r="X37" s="3443"/>
      <c r="Y37" s="3443"/>
      <c r="Z37" s="3443"/>
      <c r="AA37" s="3443"/>
      <c r="AB37" s="3443"/>
      <c r="AC37" s="3443"/>
      <c r="AD37" s="3443"/>
      <c r="AE37" s="3443"/>
      <c r="AF37" s="3443"/>
      <c r="AG37" s="3443"/>
      <c r="AH37" s="3443"/>
      <c r="AI37" s="3443"/>
      <c r="AJ37" s="3443"/>
      <c r="AK37" s="3443"/>
      <c r="AL37" s="3443"/>
      <c r="AM37" s="3443"/>
      <c r="AN37" s="3443"/>
      <c r="AO37" s="3443"/>
      <c r="AP37" s="3443"/>
      <c r="AQ37" s="3443"/>
      <c r="AR37" s="3443"/>
      <c r="AS37" s="3443"/>
      <c r="AT37" s="3443"/>
      <c r="AU37" s="3443"/>
      <c r="AV37" s="3443"/>
      <c r="AW37" s="3443"/>
      <c r="AX37" s="3443"/>
      <c r="AY37" s="3443"/>
      <c r="AZ37" s="3443"/>
      <c r="BA37" s="3443"/>
      <c r="BB37" s="3443"/>
      <c r="BC37" s="3443"/>
      <c r="BD37" s="3443"/>
      <c r="BE37" s="3443"/>
      <c r="BF37" s="3443"/>
      <c r="BG37" s="3443"/>
      <c r="BH37" s="3443"/>
      <c r="BI37" s="3443"/>
      <c r="BJ37" s="3443"/>
      <c r="BK37" s="3443"/>
      <c r="BL37" s="3443"/>
      <c r="BM37" s="3443"/>
      <c r="BN37" s="3443"/>
      <c r="BO37" s="3443"/>
      <c r="BP37" s="3443"/>
      <c r="BQ37" s="3443"/>
      <c r="BR37" s="3443"/>
      <c r="BS37" s="3443"/>
      <c r="BT37" s="3443"/>
      <c r="BU37" s="3443"/>
      <c r="BV37" s="3443"/>
      <c r="BW37" s="3443"/>
      <c r="BX37" s="3443"/>
      <c r="BY37" s="3443"/>
      <c r="BZ37" s="3443"/>
      <c r="CA37" s="3443"/>
      <c r="CB37" s="3443"/>
      <c r="CC37" s="3443"/>
      <c r="CD37" s="3443"/>
      <c r="CE37" s="3443"/>
      <c r="CF37" s="3443"/>
      <c r="CG37" s="3443"/>
      <c r="CH37" s="3443"/>
      <c r="CI37" s="3443"/>
      <c r="CJ37" s="3443"/>
      <c r="CK37" s="3443"/>
      <c r="CL37" s="3443"/>
      <c r="CM37" s="3443"/>
      <c r="CN37" s="3443"/>
      <c r="CO37" s="3443"/>
      <c r="CP37" s="3443"/>
      <c r="CQ37" s="3443"/>
      <c r="CR37" s="3443"/>
      <c r="CS37" s="3443"/>
      <c r="CT37" s="3443"/>
      <c r="CU37" s="3443"/>
      <c r="CV37" s="3443"/>
      <c r="CW37" s="3443"/>
      <c r="CX37" s="3443"/>
      <c r="CY37" s="3443"/>
      <c r="CZ37" s="3443"/>
      <c r="DA37" s="3443"/>
      <c r="DB37" s="3443"/>
      <c r="DC37" s="3443"/>
      <c r="DD37" s="3443"/>
    </row>
    <row r="38" spans="1:108" ht="15" thickBot="1">
      <c r="A38" s="3413" t="s">
        <v>3220</v>
      </c>
      <c r="B38" s="3413">
        <v>5</v>
      </c>
      <c r="C38" s="3414"/>
      <c r="D38" s="3414"/>
      <c r="E38" s="3413" t="s">
        <v>3207</v>
      </c>
      <c r="F38" s="3415" t="s">
        <v>3208</v>
      </c>
      <c r="G38" s="3415" t="s">
        <v>3209</v>
      </c>
      <c r="H38" s="3415" t="s">
        <v>3218</v>
      </c>
      <c r="I38" s="3416">
        <v>20273.07</v>
      </c>
      <c r="J38" s="3416">
        <v>103392.66</v>
      </c>
      <c r="K38" s="3416" t="s">
        <v>3224</v>
      </c>
      <c r="L38" s="3417">
        <v>43658</v>
      </c>
      <c r="M38" s="3413" t="s">
        <v>3232</v>
      </c>
      <c r="N38" s="3416">
        <v>85998.05</v>
      </c>
      <c r="O38" s="3427">
        <v>2827.99</v>
      </c>
      <c r="P38" s="3416">
        <v>8317.6200000000008</v>
      </c>
      <c r="Q38" s="3416">
        <v>0</v>
      </c>
      <c r="R38" s="3443"/>
      <c r="S38" s="3443"/>
      <c r="T38" s="3443"/>
      <c r="U38" s="3443"/>
      <c r="V38" s="3443"/>
      <c r="W38" s="3443"/>
      <c r="X38" s="3443"/>
      <c r="Y38" s="3443"/>
      <c r="Z38" s="3443"/>
      <c r="AA38" s="3443"/>
      <c r="AB38" s="3443"/>
      <c r="AC38" s="3443"/>
      <c r="AD38" s="3443"/>
      <c r="AE38" s="3443"/>
      <c r="AF38" s="3443"/>
      <c r="AG38" s="3443"/>
      <c r="AH38" s="3443"/>
      <c r="AI38" s="3443"/>
      <c r="AJ38" s="3443"/>
      <c r="AK38" s="3443"/>
      <c r="AL38" s="3443"/>
      <c r="AM38" s="3443"/>
      <c r="AN38" s="3443"/>
      <c r="AO38" s="3443"/>
      <c r="AP38" s="3443"/>
      <c r="AQ38" s="3443"/>
      <c r="AR38" s="3443"/>
      <c r="AS38" s="3443"/>
      <c r="AT38" s="3443"/>
      <c r="AU38" s="3443"/>
      <c r="AV38" s="3443"/>
      <c r="AW38" s="3443"/>
      <c r="AX38" s="3443"/>
      <c r="AY38" s="3443"/>
      <c r="AZ38" s="3443"/>
      <c r="BA38" s="3443"/>
      <c r="BB38" s="3443"/>
      <c r="BC38" s="3443"/>
      <c r="BD38" s="3443"/>
      <c r="BE38" s="3443"/>
      <c r="BF38" s="3443"/>
      <c r="BG38" s="3443"/>
      <c r="BH38" s="3443"/>
      <c r="BI38" s="3443"/>
      <c r="BJ38" s="3443"/>
      <c r="BK38" s="3443"/>
      <c r="BL38" s="3443"/>
      <c r="BM38" s="3443"/>
      <c r="BN38" s="3443"/>
      <c r="BO38" s="3443"/>
      <c r="BP38" s="3443"/>
      <c r="BQ38" s="3443"/>
      <c r="BR38" s="3443"/>
      <c r="BS38" s="3443"/>
      <c r="BT38" s="3443"/>
      <c r="BU38" s="3443"/>
      <c r="BV38" s="3443"/>
      <c r="BW38" s="3443"/>
      <c r="BX38" s="3443"/>
      <c r="BY38" s="3443"/>
      <c r="BZ38" s="3443"/>
      <c r="CA38" s="3443"/>
      <c r="CB38" s="3443"/>
      <c r="CC38" s="3443"/>
      <c r="CD38" s="3443"/>
      <c r="CE38" s="3443"/>
      <c r="CF38" s="3443"/>
      <c r="CG38" s="3443"/>
      <c r="CH38" s="3443"/>
      <c r="CI38" s="3443"/>
      <c r="CJ38" s="3443"/>
      <c r="CK38" s="3443"/>
      <c r="CL38" s="3443"/>
      <c r="CM38" s="3443"/>
      <c r="CN38" s="3443"/>
      <c r="CO38" s="3443"/>
      <c r="CP38" s="3443"/>
      <c r="CQ38" s="3443"/>
      <c r="CR38" s="3443"/>
      <c r="CS38" s="3443"/>
      <c r="CT38" s="3443"/>
      <c r="CU38" s="3443"/>
      <c r="CV38" s="3443"/>
      <c r="CW38" s="3443"/>
      <c r="CX38" s="3443"/>
      <c r="CY38" s="3443"/>
      <c r="CZ38" s="3443"/>
      <c r="DA38" s="3443"/>
      <c r="DB38" s="3443"/>
      <c r="DC38" s="3443"/>
      <c r="DD38" s="3443"/>
    </row>
    <row r="39" spans="1:108" ht="15" thickBot="1">
      <c r="A39" s="3413" t="s">
        <v>3220</v>
      </c>
      <c r="B39" s="3413">
        <v>5</v>
      </c>
      <c r="C39" s="3414"/>
      <c r="D39" s="3414"/>
      <c r="E39" s="3413" t="s">
        <v>3207</v>
      </c>
      <c r="F39" s="3415" t="s">
        <v>3208</v>
      </c>
      <c r="G39" s="3415" t="s">
        <v>3209</v>
      </c>
      <c r="H39" s="3415" t="s">
        <v>3218</v>
      </c>
      <c r="I39" s="3416">
        <v>31107.3</v>
      </c>
      <c r="J39" s="3416">
        <v>177311.61</v>
      </c>
      <c r="K39" s="3416" t="s">
        <v>3224</v>
      </c>
      <c r="L39" s="3417">
        <v>43658</v>
      </c>
      <c r="M39" s="3413" t="s">
        <v>3232</v>
      </c>
      <c r="N39" s="3416">
        <v>145768</v>
      </c>
      <c r="O39" s="3427">
        <v>3123.98</v>
      </c>
      <c r="P39" s="3416">
        <v>8221.01</v>
      </c>
      <c r="Q39" s="3416">
        <v>0</v>
      </c>
      <c r="R39" s="3443"/>
      <c r="S39" s="3443"/>
      <c r="T39" s="3443"/>
      <c r="U39" s="3443"/>
      <c r="V39" s="3443"/>
      <c r="W39" s="3443"/>
      <c r="X39" s="3443"/>
      <c r="Y39" s="3443"/>
      <c r="Z39" s="3443"/>
      <c r="AA39" s="3443"/>
      <c r="AB39" s="3443"/>
      <c r="AC39" s="3443"/>
      <c r="AD39" s="3443"/>
      <c r="AE39" s="3443"/>
      <c r="AF39" s="3443"/>
      <c r="AG39" s="3443"/>
      <c r="AH39" s="3443"/>
      <c r="AI39" s="3443"/>
      <c r="AJ39" s="3443"/>
      <c r="AK39" s="3443"/>
      <c r="AL39" s="3443"/>
      <c r="AM39" s="3443"/>
      <c r="AN39" s="3443"/>
      <c r="AO39" s="3443"/>
      <c r="AP39" s="3443"/>
      <c r="AQ39" s="3443"/>
      <c r="AR39" s="3443"/>
      <c r="AS39" s="3443"/>
      <c r="AT39" s="3443"/>
      <c r="AU39" s="3443"/>
      <c r="AV39" s="3443"/>
      <c r="AW39" s="3443"/>
      <c r="AX39" s="3443"/>
      <c r="AY39" s="3443"/>
      <c r="AZ39" s="3443"/>
      <c r="BA39" s="3443"/>
      <c r="BB39" s="3443"/>
      <c r="BC39" s="3443"/>
      <c r="BD39" s="3443"/>
      <c r="BE39" s="3443"/>
      <c r="BF39" s="3443"/>
      <c r="BG39" s="3443"/>
      <c r="BH39" s="3443"/>
      <c r="BI39" s="3443"/>
      <c r="BJ39" s="3443"/>
      <c r="BK39" s="3443"/>
      <c r="BL39" s="3443"/>
      <c r="BM39" s="3443"/>
      <c r="BN39" s="3443"/>
      <c r="BO39" s="3443"/>
      <c r="BP39" s="3443"/>
      <c r="BQ39" s="3443"/>
      <c r="BR39" s="3443"/>
      <c r="BS39" s="3443"/>
      <c r="BT39" s="3443"/>
      <c r="BU39" s="3443"/>
      <c r="BV39" s="3443"/>
      <c r="BW39" s="3443"/>
      <c r="BX39" s="3443"/>
      <c r="BY39" s="3443"/>
      <c r="BZ39" s="3443"/>
      <c r="CA39" s="3443"/>
      <c r="CB39" s="3443"/>
      <c r="CC39" s="3443"/>
      <c r="CD39" s="3443"/>
      <c r="CE39" s="3443"/>
      <c r="CF39" s="3443"/>
      <c r="CG39" s="3443"/>
      <c r="CH39" s="3443"/>
      <c r="CI39" s="3443"/>
      <c r="CJ39" s="3443"/>
      <c r="CK39" s="3443"/>
      <c r="CL39" s="3443"/>
      <c r="CM39" s="3443"/>
      <c r="CN39" s="3443"/>
      <c r="CO39" s="3443"/>
      <c r="CP39" s="3443"/>
      <c r="CQ39" s="3443"/>
      <c r="CR39" s="3443"/>
      <c r="CS39" s="3443"/>
      <c r="CT39" s="3443"/>
      <c r="CU39" s="3443"/>
      <c r="CV39" s="3443"/>
      <c r="CW39" s="3443"/>
      <c r="CX39" s="3443"/>
      <c r="CY39" s="3443"/>
      <c r="CZ39" s="3443"/>
      <c r="DA39" s="3443"/>
      <c r="DB39" s="3443"/>
      <c r="DC39" s="3443"/>
      <c r="DD39" s="3443"/>
    </row>
    <row r="40" spans="1:108" s="3418" customFormat="1" ht="15" thickBot="1">
      <c r="A40" s="3430" t="s">
        <v>3241</v>
      </c>
      <c r="B40" s="3430">
        <v>3</v>
      </c>
      <c r="C40" s="3431"/>
      <c r="D40" s="3430"/>
      <c r="E40" s="3430" t="s">
        <v>3242</v>
      </c>
      <c r="F40" s="3432" t="s">
        <v>3243</v>
      </c>
      <c r="G40" s="3432" t="s">
        <v>3244</v>
      </c>
      <c r="H40" s="3432" t="s">
        <v>3245</v>
      </c>
      <c r="I40" s="3433">
        <v>43972.49</v>
      </c>
      <c r="J40" s="3433">
        <v>136314.70000000001</v>
      </c>
      <c r="K40" s="3433" t="s">
        <v>3342</v>
      </c>
      <c r="L40" s="3434">
        <v>43649</v>
      </c>
      <c r="M40" s="3430" t="s">
        <v>3247</v>
      </c>
      <c r="N40" s="3433">
        <v>48654.400000000001</v>
      </c>
      <c r="O40" s="3435">
        <v>737.65</v>
      </c>
      <c r="P40" s="3433">
        <v>3569.26</v>
      </c>
      <c r="Q40" s="3433">
        <v>144.25</v>
      </c>
      <c r="R40" s="3442"/>
      <c r="S40" s="3442"/>
      <c r="T40" s="3442"/>
      <c r="U40" s="3442"/>
      <c r="V40" s="3442"/>
      <c r="W40" s="3442"/>
      <c r="X40" s="3442"/>
      <c r="Y40" s="3442"/>
      <c r="Z40" s="3442"/>
      <c r="AA40" s="3442"/>
      <c r="AB40" s="3442"/>
      <c r="AC40" s="3442"/>
      <c r="AD40" s="3442"/>
      <c r="AE40" s="3442"/>
      <c r="AF40" s="3442"/>
      <c r="AG40" s="3442"/>
      <c r="AH40" s="3442"/>
      <c r="AI40" s="3442"/>
      <c r="AJ40" s="3442"/>
      <c r="AK40" s="3442"/>
      <c r="AL40" s="3442"/>
      <c r="AM40" s="3442"/>
      <c r="AN40" s="3442"/>
      <c r="AO40" s="3442"/>
      <c r="AP40" s="3442"/>
      <c r="AQ40" s="3442"/>
      <c r="AR40" s="3442"/>
      <c r="AS40" s="3442"/>
      <c r="AT40" s="3442"/>
      <c r="AU40" s="3442"/>
      <c r="AV40" s="3442"/>
      <c r="AW40" s="3442"/>
      <c r="AX40" s="3442"/>
      <c r="AY40" s="3442"/>
      <c r="AZ40" s="3442"/>
      <c r="BA40" s="3442"/>
      <c r="BB40" s="3442"/>
      <c r="BC40" s="3442"/>
      <c r="BD40" s="3442"/>
      <c r="BE40" s="3442"/>
      <c r="BF40" s="3442"/>
      <c r="BG40" s="3442"/>
      <c r="BH40" s="3442"/>
      <c r="BI40" s="3442"/>
      <c r="BJ40" s="3442"/>
      <c r="BK40" s="3442"/>
      <c r="BL40" s="3442"/>
      <c r="BM40" s="3442"/>
      <c r="BN40" s="3442"/>
      <c r="BO40" s="3442"/>
      <c r="BP40" s="3442"/>
      <c r="BQ40" s="3442"/>
      <c r="BR40" s="3442"/>
      <c r="BS40" s="3442"/>
      <c r="BT40" s="3442"/>
      <c r="BU40" s="3442"/>
      <c r="BV40" s="3442"/>
      <c r="BW40" s="3442"/>
      <c r="BX40" s="3442"/>
      <c r="BY40" s="3442"/>
      <c r="BZ40" s="3442"/>
      <c r="CA40" s="3442"/>
      <c r="CB40" s="3442"/>
      <c r="CC40" s="3442"/>
      <c r="CD40" s="3442"/>
      <c r="CE40" s="3442"/>
      <c r="CF40" s="3442"/>
      <c r="CG40" s="3442"/>
      <c r="CH40" s="3442"/>
      <c r="CI40" s="3442"/>
      <c r="CJ40" s="3442"/>
      <c r="CK40" s="3442"/>
      <c r="CL40" s="3442"/>
      <c r="CM40" s="3442"/>
      <c r="CN40" s="3442"/>
      <c r="CO40" s="3442"/>
      <c r="CP40" s="3442"/>
      <c r="CQ40" s="3442"/>
      <c r="CR40" s="3442"/>
      <c r="CS40" s="3442"/>
      <c r="CT40" s="3442"/>
      <c r="CU40" s="3442"/>
      <c r="CV40" s="3442"/>
      <c r="CW40" s="3442"/>
      <c r="CX40" s="3442"/>
      <c r="CY40" s="3442"/>
      <c r="CZ40" s="3442"/>
      <c r="DA40" s="3442"/>
      <c r="DB40" s="3442"/>
      <c r="DC40" s="3442"/>
      <c r="DD40" s="3442"/>
    </row>
    <row r="41" spans="1:108" ht="15" thickBot="1">
      <c r="A41" s="3413" t="s">
        <v>3233</v>
      </c>
      <c r="B41" s="3413">
        <v>3</v>
      </c>
      <c r="C41" s="3414"/>
      <c r="E41" s="3413" t="s">
        <v>3207</v>
      </c>
      <c r="F41" s="3415" t="s">
        <v>3208</v>
      </c>
      <c r="G41" s="3415" t="s">
        <v>3209</v>
      </c>
      <c r="H41" s="3415" t="s">
        <v>3210</v>
      </c>
      <c r="I41" s="3416">
        <v>77987.56</v>
      </c>
      <c r="J41" s="3416">
        <v>241761.4</v>
      </c>
      <c r="K41" s="3416" t="s">
        <v>3211</v>
      </c>
      <c r="L41" s="3417">
        <v>43649</v>
      </c>
      <c r="M41" s="3413" t="s">
        <v>3234</v>
      </c>
      <c r="N41" s="3416">
        <v>86288.53</v>
      </c>
      <c r="O41" s="3427">
        <v>737.63</v>
      </c>
      <c r="P41" s="3416">
        <v>3569.15</v>
      </c>
      <c r="Q41" s="3416">
        <v>144.25</v>
      </c>
    </row>
    <row r="42" spans="1:108" ht="15" thickBot="1">
      <c r="A42" s="3413" t="s">
        <v>3217</v>
      </c>
      <c r="B42" s="3413">
        <v>5</v>
      </c>
      <c r="C42" s="3414"/>
      <c r="E42" s="3413" t="s">
        <v>3207</v>
      </c>
      <c r="F42" s="3415" t="s">
        <v>3208</v>
      </c>
      <c r="G42" s="3415" t="s">
        <v>3209</v>
      </c>
      <c r="H42" s="3415" t="s">
        <v>3210</v>
      </c>
      <c r="I42" s="3416">
        <v>27625.33</v>
      </c>
      <c r="J42" s="3416">
        <v>110501.3</v>
      </c>
      <c r="K42" s="3416" t="s">
        <v>3235</v>
      </c>
      <c r="L42" s="3417">
        <v>43649</v>
      </c>
      <c r="M42" s="3413" t="s">
        <v>3236</v>
      </c>
      <c r="N42" s="3416">
        <v>71939.83</v>
      </c>
      <c r="O42" s="3427">
        <v>1736.08</v>
      </c>
      <c r="P42" s="3416">
        <v>6510.31</v>
      </c>
      <c r="Q42" s="3416">
        <v>0</v>
      </c>
    </row>
    <row r="43" spans="1:108" s="3418" customFormat="1" ht="15" thickBot="1">
      <c r="A43" s="3430" t="s">
        <v>3241</v>
      </c>
      <c r="B43" s="3430">
        <v>3</v>
      </c>
      <c r="C43" s="3431"/>
      <c r="D43" s="3430"/>
      <c r="E43" s="3430" t="s">
        <v>3242</v>
      </c>
      <c r="F43" s="3432" t="s">
        <v>3243</v>
      </c>
      <c r="G43" s="3432" t="s">
        <v>3244</v>
      </c>
      <c r="H43" s="3432" t="s">
        <v>3245</v>
      </c>
      <c r="I43" s="3433">
        <v>61677.15</v>
      </c>
      <c r="J43" s="3433">
        <v>191199.2</v>
      </c>
      <c r="K43" s="3433" t="s">
        <v>3343</v>
      </c>
      <c r="L43" s="3434">
        <v>43649</v>
      </c>
      <c r="M43" s="3430" t="s">
        <v>3247</v>
      </c>
      <c r="N43" s="3433">
        <v>68245.97</v>
      </c>
      <c r="O43" s="3435">
        <v>737.67</v>
      </c>
      <c r="P43" s="3433">
        <v>3569.36</v>
      </c>
      <c r="Q43" s="3433">
        <v>144.25</v>
      </c>
    </row>
    <row r="44" spans="1:108" s="3436" customFormat="1" ht="15" thickBot="1">
      <c r="A44" s="3436" t="s">
        <v>3290</v>
      </c>
      <c r="B44" s="3436">
        <v>4</v>
      </c>
      <c r="C44" s="3437"/>
      <c r="E44" s="3436" t="s">
        <v>3242</v>
      </c>
      <c r="F44" s="3438" t="s">
        <v>3243</v>
      </c>
      <c r="G44" s="3438" t="s">
        <v>3287</v>
      </c>
      <c r="H44" s="3438" t="s">
        <v>3245</v>
      </c>
      <c r="I44" s="3439">
        <v>14315.52</v>
      </c>
      <c r="J44" s="3439">
        <v>85893.119999999995</v>
      </c>
      <c r="K44" s="3439" t="s">
        <v>3319</v>
      </c>
      <c r="L44" s="3440">
        <v>43649</v>
      </c>
      <c r="M44" s="3436" t="s">
        <v>3320</v>
      </c>
      <c r="N44" s="3439">
        <v>38710.410000000003</v>
      </c>
      <c r="O44" s="3441">
        <v>1802.72</v>
      </c>
      <c r="P44" s="3439">
        <v>4506.8100000000004</v>
      </c>
      <c r="Q44" s="3439">
        <v>0</v>
      </c>
    </row>
    <row r="45" spans="1:108" ht="15" thickBot="1">
      <c r="A45" s="3413" t="s">
        <v>3223</v>
      </c>
      <c r="B45" s="3413">
        <v>4</v>
      </c>
      <c r="C45" s="3414"/>
      <c r="E45" s="3413" t="s">
        <v>3207</v>
      </c>
      <c r="F45" s="3415" t="s">
        <v>3208</v>
      </c>
      <c r="G45" s="3415" t="s">
        <v>3209</v>
      </c>
      <c r="H45" s="3415" t="s">
        <v>3218</v>
      </c>
      <c r="I45" s="3416">
        <v>32029.41</v>
      </c>
      <c r="J45" s="3416">
        <v>170396.5</v>
      </c>
      <c r="K45" s="3416" t="s">
        <v>3224</v>
      </c>
      <c r="L45" s="3417">
        <v>43643</v>
      </c>
      <c r="M45" s="3415" t="s">
        <v>3237</v>
      </c>
      <c r="N45" s="3416">
        <v>29016.15</v>
      </c>
      <c r="O45" s="3427">
        <v>603.95000000000005</v>
      </c>
      <c r="P45" s="3416">
        <v>1702.85</v>
      </c>
      <c r="Q45" s="3416">
        <v>0</v>
      </c>
    </row>
    <row r="46" spans="1:108" ht="15" thickBot="1">
      <c r="A46" s="3413" t="s">
        <v>3223</v>
      </c>
      <c r="B46" s="3413">
        <v>4</v>
      </c>
      <c r="C46" s="3414"/>
      <c r="E46" s="3413" t="s">
        <v>3207</v>
      </c>
      <c r="F46" s="3415" t="s">
        <v>3208</v>
      </c>
      <c r="G46" s="3415" t="s">
        <v>3209</v>
      </c>
      <c r="H46" s="3415" t="s">
        <v>3218</v>
      </c>
      <c r="I46" s="3416">
        <v>75464.350000000006</v>
      </c>
      <c r="J46" s="3416">
        <v>339589.6</v>
      </c>
      <c r="K46" s="3416" t="s">
        <v>3231</v>
      </c>
      <c r="L46" s="3417">
        <v>43643</v>
      </c>
      <c r="M46" s="3415" t="s">
        <v>3237</v>
      </c>
      <c r="N46" s="3416">
        <v>68372.800000000003</v>
      </c>
      <c r="O46" s="3427">
        <v>604.02</v>
      </c>
      <c r="P46" s="3416">
        <v>2013.39</v>
      </c>
      <c r="Q46" s="3416">
        <v>0</v>
      </c>
    </row>
    <row r="47" spans="1:108" ht="15" thickBot="1">
      <c r="A47" s="3413" t="s">
        <v>3223</v>
      </c>
      <c r="B47" s="3413">
        <v>4</v>
      </c>
      <c r="C47" s="3414"/>
      <c r="E47" s="3413" t="s">
        <v>3207</v>
      </c>
      <c r="F47" s="3415" t="s">
        <v>3208</v>
      </c>
      <c r="G47" s="3415" t="s">
        <v>3209</v>
      </c>
      <c r="H47" s="3415" t="s">
        <v>3218</v>
      </c>
      <c r="I47" s="3416">
        <v>34536.400000000001</v>
      </c>
      <c r="J47" s="3416">
        <v>147470.39999999999</v>
      </c>
      <c r="K47" s="3416" t="s">
        <v>3231</v>
      </c>
      <c r="L47" s="3417">
        <v>43643</v>
      </c>
      <c r="M47" s="3415" t="s">
        <v>3237</v>
      </c>
      <c r="N47" s="3416">
        <v>31287.200000000001</v>
      </c>
      <c r="O47" s="3427">
        <v>603.95000000000005</v>
      </c>
      <c r="P47" s="3416">
        <v>2121.59</v>
      </c>
      <c r="Q47" s="3416">
        <v>0</v>
      </c>
    </row>
    <row r="48" spans="1:108" ht="15" thickBot="1">
      <c r="A48" s="3413" t="s">
        <v>3223</v>
      </c>
      <c r="B48" s="3413">
        <v>4</v>
      </c>
      <c r="C48" s="3414"/>
      <c r="E48" s="3413" t="s">
        <v>3207</v>
      </c>
      <c r="F48" s="3415" t="s">
        <v>3208</v>
      </c>
      <c r="G48" s="3415" t="s">
        <v>3209</v>
      </c>
      <c r="H48" s="3415" t="s">
        <v>3218</v>
      </c>
      <c r="I48" s="3416">
        <v>27059.67</v>
      </c>
      <c r="J48" s="3416">
        <v>138816.1</v>
      </c>
      <c r="K48" s="3416" t="s">
        <v>3224</v>
      </c>
      <c r="L48" s="3417">
        <v>43643</v>
      </c>
      <c r="M48" s="3415" t="s">
        <v>3237</v>
      </c>
      <c r="N48" s="3416">
        <v>24516.36</v>
      </c>
      <c r="O48" s="3427">
        <v>604.01</v>
      </c>
      <c r="P48" s="3416">
        <v>1766.09</v>
      </c>
      <c r="Q48" s="3416">
        <v>0</v>
      </c>
    </row>
    <row r="49" spans="1:18" ht="15" thickBot="1">
      <c r="A49" s="3413" t="s">
        <v>3238</v>
      </c>
      <c r="B49" s="3413">
        <v>5</v>
      </c>
      <c r="C49" s="3414"/>
      <c r="E49" s="3413" t="s">
        <v>3207</v>
      </c>
      <c r="F49" s="3415" t="s">
        <v>3208</v>
      </c>
      <c r="G49" s="3415" t="s">
        <v>3209</v>
      </c>
      <c r="H49" s="3415" t="s">
        <v>3218</v>
      </c>
      <c r="I49" s="3416">
        <v>36663.35</v>
      </c>
      <c r="J49" s="3416">
        <v>170484.6</v>
      </c>
      <c r="K49" s="3416" t="s">
        <v>3231</v>
      </c>
      <c r="L49" s="3417">
        <v>43609</v>
      </c>
      <c r="M49" s="3413" t="s">
        <v>3239</v>
      </c>
      <c r="N49" s="3416">
        <v>76704</v>
      </c>
      <c r="O49" s="3427">
        <v>1394.74</v>
      </c>
      <c r="P49" s="3416">
        <v>4499.17</v>
      </c>
      <c r="Q49" s="3416">
        <v>0</v>
      </c>
    </row>
    <row r="50" spans="1:18" ht="15" thickBot="1">
      <c r="A50" s="3413" t="s">
        <v>3238</v>
      </c>
      <c r="B50" s="3413">
        <v>5</v>
      </c>
      <c r="C50" s="3414"/>
      <c r="E50" s="3413" t="s">
        <v>3207</v>
      </c>
      <c r="F50" s="3415" t="s">
        <v>3208</v>
      </c>
      <c r="G50" s="3415" t="s">
        <v>3209</v>
      </c>
      <c r="H50" s="3415" t="s">
        <v>3218</v>
      </c>
      <c r="I50" s="3416">
        <v>26361.66</v>
      </c>
      <c r="J50" s="3416">
        <v>133126.39999999999</v>
      </c>
      <c r="K50" s="3416" t="s">
        <v>3224</v>
      </c>
      <c r="L50" s="3417">
        <v>43609</v>
      </c>
      <c r="M50" s="3413" t="s">
        <v>3239</v>
      </c>
      <c r="N50" s="3416">
        <v>55667</v>
      </c>
      <c r="O50" s="3427">
        <v>1407.78</v>
      </c>
      <c r="P50" s="3416">
        <v>4181.51</v>
      </c>
      <c r="Q50" s="3416">
        <v>0</v>
      </c>
    </row>
    <row r="51" spans="1:18" s="3418" customFormat="1" ht="15" thickBot="1">
      <c r="A51" s="3418" t="s">
        <v>3286</v>
      </c>
      <c r="B51" s="3418">
        <v>5</v>
      </c>
      <c r="C51" s="3419"/>
      <c r="D51" s="3419"/>
      <c r="E51" s="3418" t="s">
        <v>3242</v>
      </c>
      <c r="F51" s="3420" t="s">
        <v>3243</v>
      </c>
      <c r="G51" s="3420" t="s">
        <v>3287</v>
      </c>
      <c r="H51" s="3420" t="s">
        <v>3245</v>
      </c>
      <c r="I51" s="3421">
        <v>32972.78</v>
      </c>
      <c r="J51" s="3421">
        <v>125296.6</v>
      </c>
      <c r="K51" s="3421" t="s">
        <v>3284</v>
      </c>
      <c r="L51" s="3422">
        <v>43581</v>
      </c>
      <c r="M51" s="3418" t="s">
        <v>3288</v>
      </c>
      <c r="N51" s="3421">
        <v>72211.600000000006</v>
      </c>
      <c r="O51" s="3428">
        <v>1460.02</v>
      </c>
      <c r="P51" s="3421">
        <v>5763.25</v>
      </c>
      <c r="Q51" s="3421">
        <v>0</v>
      </c>
    </row>
    <row r="52" spans="1:18" ht="15" thickBot="1">
      <c r="A52" s="3413" t="s">
        <v>3229</v>
      </c>
      <c r="B52" s="3413">
        <v>5</v>
      </c>
      <c r="C52" s="3414"/>
      <c r="D52" s="3414"/>
      <c r="E52" s="3413" t="s">
        <v>3207</v>
      </c>
      <c r="F52" s="3415" t="s">
        <v>3208</v>
      </c>
      <c r="G52" s="3415" t="s">
        <v>3214</v>
      </c>
      <c r="H52" s="3415" t="s">
        <v>3210</v>
      </c>
      <c r="I52" s="3416">
        <v>28981.82</v>
      </c>
      <c r="J52" s="3416">
        <v>202872.7</v>
      </c>
      <c r="K52" s="3416" t="s">
        <v>3248</v>
      </c>
      <c r="L52" s="3417">
        <v>43581</v>
      </c>
      <c r="M52" s="3413" t="s">
        <v>3212</v>
      </c>
      <c r="N52" s="3416">
        <v>91330.47</v>
      </c>
      <c r="O52" s="3427">
        <v>2100.87</v>
      </c>
      <c r="P52" s="3416">
        <v>4501.8500000000004</v>
      </c>
      <c r="Q52" s="3416">
        <v>0</v>
      </c>
    </row>
    <row r="53" spans="1:18" s="3418" customFormat="1" ht="15" thickBot="1">
      <c r="A53" s="3418" t="s">
        <v>3282</v>
      </c>
      <c r="B53" s="3418">
        <v>5</v>
      </c>
      <c r="C53" s="3419"/>
      <c r="D53" s="3419"/>
      <c r="E53" s="3418" t="s">
        <v>3242</v>
      </c>
      <c r="F53" s="3420" t="s">
        <v>3243</v>
      </c>
      <c r="G53" s="3420" t="s">
        <v>3244</v>
      </c>
      <c r="H53" s="3420" t="s">
        <v>3283</v>
      </c>
      <c r="I53" s="3421">
        <v>34361.89</v>
      </c>
      <c r="J53" s="3421">
        <v>132636.9</v>
      </c>
      <c r="K53" s="3421" t="s">
        <v>3284</v>
      </c>
      <c r="L53" s="3422">
        <v>43559</v>
      </c>
      <c r="M53" s="3418" t="s">
        <v>3285</v>
      </c>
      <c r="N53" s="3421">
        <v>47777.58</v>
      </c>
      <c r="O53" s="3428">
        <v>926.95</v>
      </c>
      <c r="P53" s="3421">
        <v>3602.13</v>
      </c>
      <c r="Q53" s="3421">
        <v>0</v>
      </c>
    </row>
    <row r="54" spans="1:18" s="3443" customFormat="1" ht="15" thickBot="1">
      <c r="A54" s="3443" t="s">
        <v>3249</v>
      </c>
      <c r="B54" s="3443">
        <v>5</v>
      </c>
      <c r="C54" s="3454"/>
      <c r="D54" s="3454"/>
      <c r="E54" s="3443" t="s">
        <v>3207</v>
      </c>
      <c r="F54" s="3455" t="s">
        <v>3208</v>
      </c>
      <c r="G54" s="3455" t="s">
        <v>3209</v>
      </c>
      <c r="H54" s="3455" t="s">
        <v>3218</v>
      </c>
      <c r="I54" s="3456">
        <v>41368.9</v>
      </c>
      <c r="J54" s="3456">
        <v>206430.8</v>
      </c>
      <c r="K54" s="3456" t="s">
        <v>3251</v>
      </c>
      <c r="L54" s="3457">
        <v>43559</v>
      </c>
      <c r="M54" s="3443" t="s">
        <v>3250</v>
      </c>
      <c r="N54" s="3456">
        <v>57520.34</v>
      </c>
      <c r="O54" s="3458">
        <v>926.95</v>
      </c>
      <c r="P54" s="3456">
        <v>2786.42</v>
      </c>
      <c r="Q54" s="3456">
        <v>0</v>
      </c>
    </row>
    <row r="55" spans="1:18" s="3442" customFormat="1" ht="15" thickBot="1">
      <c r="A55" s="3442" t="s">
        <v>3280</v>
      </c>
      <c r="B55" s="3442">
        <v>3</v>
      </c>
      <c r="C55" s="3444"/>
      <c r="D55" s="3444"/>
      <c r="E55" s="3442" t="s">
        <v>3242</v>
      </c>
      <c r="F55" s="3445" t="s">
        <v>3243</v>
      </c>
      <c r="G55" s="3445" t="s">
        <v>3244</v>
      </c>
      <c r="H55" s="3445" t="s">
        <v>3245</v>
      </c>
      <c r="I55" s="3446">
        <v>26563.96</v>
      </c>
      <c r="J55" s="3446">
        <v>98286.65</v>
      </c>
      <c r="K55" s="3446" t="s">
        <v>3246</v>
      </c>
      <c r="L55" s="3447">
        <v>43521</v>
      </c>
      <c r="M55" s="3442" t="s">
        <v>3281</v>
      </c>
      <c r="N55" s="3446">
        <v>55655.76</v>
      </c>
      <c r="O55" s="3448">
        <v>1396.77</v>
      </c>
      <c r="P55" s="3446">
        <v>5662.6</v>
      </c>
      <c r="Q55" s="3446">
        <v>33.520000000000003</v>
      </c>
      <c r="R55" s="3442">
        <v>3.7</v>
      </c>
    </row>
    <row r="56" spans="1:18" s="3443" customFormat="1" ht="15" thickBot="1">
      <c r="A56" s="3443" t="s">
        <v>3227</v>
      </c>
      <c r="B56" s="3443">
        <v>3</v>
      </c>
      <c r="C56" s="3454"/>
      <c r="D56" s="3454"/>
      <c r="E56" s="3443" t="s">
        <v>3207</v>
      </c>
      <c r="F56" s="3455" t="s">
        <v>3208</v>
      </c>
      <c r="G56" s="3455" t="s">
        <v>3209</v>
      </c>
      <c r="H56" s="3455" t="s">
        <v>3210</v>
      </c>
      <c r="I56" s="3456">
        <v>17047.32</v>
      </c>
      <c r="J56" s="3456">
        <v>73303.48</v>
      </c>
      <c r="K56" s="3456" t="s">
        <v>3231</v>
      </c>
      <c r="L56" s="3457">
        <v>43521</v>
      </c>
      <c r="M56" s="3443" t="s">
        <v>3252</v>
      </c>
      <c r="N56" s="3456">
        <v>35716.870000000003</v>
      </c>
      <c r="O56" s="3458">
        <v>1396.77</v>
      </c>
      <c r="P56" s="3456">
        <v>4872.47</v>
      </c>
      <c r="Q56" s="3456">
        <v>24.49</v>
      </c>
    </row>
    <row r="57" spans="1:18" s="3443" customFormat="1" ht="15" thickBot="1">
      <c r="A57" s="3443" t="s">
        <v>3206</v>
      </c>
      <c r="B57" s="3443">
        <v>1</v>
      </c>
      <c r="C57" s="3454"/>
      <c r="D57" s="3454"/>
      <c r="E57" s="3443" t="s">
        <v>3207</v>
      </c>
      <c r="F57" s="3455" t="s">
        <v>3208</v>
      </c>
      <c r="G57" s="3455" t="s">
        <v>3209</v>
      </c>
      <c r="H57" s="3455" t="s">
        <v>3218</v>
      </c>
      <c r="I57" s="3456">
        <v>15634.83</v>
      </c>
      <c r="J57" s="3456">
        <v>39087.07</v>
      </c>
      <c r="K57" s="3456" t="s">
        <v>3253</v>
      </c>
      <c r="L57" s="3457">
        <v>43490</v>
      </c>
      <c r="M57" s="3443" t="s">
        <v>3254</v>
      </c>
      <c r="N57" s="3456">
        <v>5628</v>
      </c>
      <c r="O57" s="3458">
        <v>239.98</v>
      </c>
      <c r="P57" s="3456">
        <v>1439.85</v>
      </c>
      <c r="Q57" s="3456">
        <v>0</v>
      </c>
    </row>
    <row r="58" spans="1:18" ht="15" thickBot="1">
      <c r="A58" s="3413" t="s">
        <v>3206</v>
      </c>
      <c r="B58" s="3413">
        <v>2</v>
      </c>
      <c r="C58" s="3414"/>
      <c r="D58" s="3414"/>
      <c r="E58" s="3413" t="s">
        <v>3207</v>
      </c>
      <c r="F58" s="3415" t="s">
        <v>3208</v>
      </c>
      <c r="G58" s="3415" t="s">
        <v>3209</v>
      </c>
      <c r="H58" s="3415" t="s">
        <v>3218</v>
      </c>
      <c r="I58" s="3416">
        <v>15843.6</v>
      </c>
      <c r="J58" s="3416">
        <v>39609</v>
      </c>
      <c r="K58" s="3416" t="s">
        <v>3253</v>
      </c>
      <c r="L58" s="3417">
        <v>43490</v>
      </c>
      <c r="M58" s="3413" t="s">
        <v>3254</v>
      </c>
      <c r="N58" s="3416">
        <v>5704.8</v>
      </c>
      <c r="O58" s="3427">
        <v>240.05</v>
      </c>
      <c r="P58" s="3416">
        <v>1440.27</v>
      </c>
      <c r="Q58" s="3416">
        <v>0</v>
      </c>
    </row>
    <row r="59" spans="1:18" ht="15" thickBot="1">
      <c r="A59" s="3413" t="s">
        <v>3206</v>
      </c>
      <c r="B59" s="3413">
        <v>1</v>
      </c>
      <c r="C59" s="3414"/>
      <c r="D59" s="3414"/>
      <c r="E59" s="3413" t="s">
        <v>3207</v>
      </c>
      <c r="F59" s="3415" t="s">
        <v>3208</v>
      </c>
      <c r="G59" s="3415" t="s">
        <v>3209</v>
      </c>
      <c r="H59" s="3415" t="s">
        <v>3218</v>
      </c>
      <c r="I59" s="3416">
        <v>63601.86</v>
      </c>
      <c r="J59" s="3416">
        <v>127203.7</v>
      </c>
      <c r="K59" s="3416" t="s">
        <v>3255</v>
      </c>
      <c r="L59" s="3417">
        <v>43490</v>
      </c>
      <c r="M59" s="3413" t="s">
        <v>3254</v>
      </c>
      <c r="N59" s="3416">
        <v>22896</v>
      </c>
      <c r="O59" s="3427">
        <v>239.99</v>
      </c>
      <c r="P59" s="3416">
        <v>1799.95</v>
      </c>
      <c r="Q59" s="3416">
        <v>0</v>
      </c>
    </row>
    <row r="60" spans="1:18" ht="15" thickBot="1">
      <c r="A60" s="3413" t="s">
        <v>3206</v>
      </c>
      <c r="B60" s="3413">
        <v>2</v>
      </c>
      <c r="C60" s="3414"/>
      <c r="D60" s="3414"/>
      <c r="E60" s="3413" t="s">
        <v>3207</v>
      </c>
      <c r="F60" s="3415" t="s">
        <v>3208</v>
      </c>
      <c r="G60" s="3415" t="s">
        <v>3209</v>
      </c>
      <c r="H60" s="3415" t="s">
        <v>3218</v>
      </c>
      <c r="I60" s="3416">
        <v>43618.16</v>
      </c>
      <c r="J60" s="3416">
        <v>109045.4</v>
      </c>
      <c r="K60" s="3416" t="s">
        <v>3253</v>
      </c>
      <c r="L60" s="3417">
        <v>43490</v>
      </c>
      <c r="M60" s="3413" t="s">
        <v>3254</v>
      </c>
      <c r="N60" s="3416">
        <v>15703.2</v>
      </c>
      <c r="O60" s="3427">
        <v>240.01</v>
      </c>
      <c r="P60" s="3416">
        <v>1440.05</v>
      </c>
      <c r="Q60" s="3416">
        <v>0</v>
      </c>
    </row>
    <row r="61" spans="1:18" ht="15" thickBot="1">
      <c r="A61" s="3413" t="s">
        <v>3206</v>
      </c>
      <c r="B61" s="3413">
        <v>2</v>
      </c>
      <c r="C61" s="3414"/>
      <c r="D61" s="3414"/>
      <c r="E61" s="3413" t="s">
        <v>3207</v>
      </c>
      <c r="F61" s="3415" t="s">
        <v>3208</v>
      </c>
      <c r="G61" s="3415" t="s">
        <v>3209</v>
      </c>
      <c r="H61" s="3415" t="s">
        <v>3218</v>
      </c>
      <c r="I61" s="3416">
        <v>31672.87</v>
      </c>
      <c r="J61" s="3416">
        <v>79182.179999999993</v>
      </c>
      <c r="K61" s="3416" t="s">
        <v>3253</v>
      </c>
      <c r="L61" s="3417">
        <v>43490</v>
      </c>
      <c r="M61" s="3413" t="s">
        <v>3254</v>
      </c>
      <c r="N61" s="3416">
        <v>11402.39</v>
      </c>
      <c r="O61" s="3427">
        <v>240</v>
      </c>
      <c r="P61" s="3416">
        <v>1440.01</v>
      </c>
      <c r="Q61" s="3416">
        <v>0</v>
      </c>
    </row>
    <row r="62" spans="1:18" ht="15" thickBot="1">
      <c r="A62" s="3413" t="s">
        <v>3206</v>
      </c>
      <c r="B62" s="3413">
        <v>2</v>
      </c>
      <c r="C62" s="3414"/>
      <c r="D62" s="3414"/>
      <c r="E62" s="3413" t="s">
        <v>3207</v>
      </c>
      <c r="F62" s="3415" t="s">
        <v>3208</v>
      </c>
      <c r="G62" s="3415" t="s">
        <v>3209</v>
      </c>
      <c r="H62" s="3415" t="s">
        <v>3218</v>
      </c>
      <c r="I62" s="3416">
        <v>28406.6</v>
      </c>
      <c r="J62" s="3416">
        <v>71016.5</v>
      </c>
      <c r="K62" s="3416" t="s">
        <v>3253</v>
      </c>
      <c r="L62" s="3417">
        <v>43490</v>
      </c>
      <c r="M62" s="3413" t="s">
        <v>3254</v>
      </c>
      <c r="N62" s="3416">
        <v>10226.39</v>
      </c>
      <c r="O62" s="3427">
        <v>240</v>
      </c>
      <c r="P62" s="3416">
        <v>1440</v>
      </c>
      <c r="Q62" s="3416">
        <v>0</v>
      </c>
    </row>
    <row r="63" spans="1:18" ht="15" thickBot="1">
      <c r="A63" s="3413" t="s">
        <v>3206</v>
      </c>
      <c r="B63" s="3413">
        <v>1</v>
      </c>
      <c r="C63" s="3414"/>
      <c r="D63" s="3414"/>
      <c r="E63" s="3413" t="s">
        <v>3207</v>
      </c>
      <c r="F63" s="3415" t="s">
        <v>3208</v>
      </c>
      <c r="G63" s="3415" t="s">
        <v>3209</v>
      </c>
      <c r="H63" s="3415" t="s">
        <v>3218</v>
      </c>
      <c r="I63" s="3416">
        <v>25603.03</v>
      </c>
      <c r="J63" s="3416">
        <v>51206.06</v>
      </c>
      <c r="K63" s="3416" t="s">
        <v>3255</v>
      </c>
      <c r="L63" s="3417">
        <v>43490</v>
      </c>
      <c r="M63" s="3413" t="s">
        <v>3254</v>
      </c>
      <c r="N63" s="3416">
        <v>9216</v>
      </c>
      <c r="O63" s="3427">
        <v>239.97</v>
      </c>
      <c r="P63" s="3416">
        <v>1799.78</v>
      </c>
      <c r="Q63" s="3416">
        <v>0</v>
      </c>
    </row>
    <row r="64" spans="1:18" ht="15" thickBot="1">
      <c r="A64" s="3413" t="s">
        <v>3206</v>
      </c>
      <c r="B64" s="3413">
        <v>1</v>
      </c>
      <c r="C64" s="3414"/>
      <c r="D64" s="3414"/>
      <c r="E64" s="3413" t="s">
        <v>3207</v>
      </c>
      <c r="F64" s="3415" t="s">
        <v>3208</v>
      </c>
      <c r="G64" s="3415" t="s">
        <v>3209</v>
      </c>
      <c r="H64" s="3415" t="s">
        <v>3218</v>
      </c>
      <c r="I64" s="3416">
        <v>109287.4</v>
      </c>
      <c r="J64" s="3416">
        <v>327862.3</v>
      </c>
      <c r="K64" s="3416" t="s">
        <v>3256</v>
      </c>
      <c r="L64" s="3417">
        <v>43490</v>
      </c>
      <c r="M64" s="3413" t="s">
        <v>3254</v>
      </c>
      <c r="N64" s="3416">
        <v>39343.19</v>
      </c>
      <c r="O64" s="3427">
        <v>240</v>
      </c>
      <c r="P64" s="3416">
        <v>1199.99</v>
      </c>
      <c r="Q64" s="3416">
        <v>0</v>
      </c>
    </row>
    <row r="65" spans="1:17" ht="15" thickBot="1">
      <c r="A65" s="3413" t="s">
        <v>3206</v>
      </c>
      <c r="B65" s="3413">
        <v>3</v>
      </c>
      <c r="C65" s="3414"/>
      <c r="D65" s="3414"/>
      <c r="E65" s="3413" t="s">
        <v>3207</v>
      </c>
      <c r="F65" s="3415" t="s">
        <v>3208</v>
      </c>
      <c r="G65" s="3415" t="s">
        <v>3209</v>
      </c>
      <c r="H65" s="3415" t="s">
        <v>3218</v>
      </c>
      <c r="I65" s="3416">
        <v>62259.45</v>
      </c>
      <c r="J65" s="3416">
        <v>155648.6</v>
      </c>
      <c r="K65" s="3416" t="s">
        <v>3253</v>
      </c>
      <c r="L65" s="3417">
        <v>43490</v>
      </c>
      <c r="M65" s="3413" t="s">
        <v>3254</v>
      </c>
      <c r="N65" s="3416">
        <v>22413.59</v>
      </c>
      <c r="O65" s="3427">
        <v>240</v>
      </c>
      <c r="P65" s="3416">
        <v>1440</v>
      </c>
      <c r="Q65" s="3416">
        <v>0</v>
      </c>
    </row>
    <row r="66" spans="1:17" ht="15" thickBot="1">
      <c r="A66" s="3413" t="s">
        <v>3206</v>
      </c>
      <c r="B66" s="3413">
        <v>1</v>
      </c>
      <c r="C66" s="3414"/>
      <c r="D66" s="3414"/>
      <c r="E66" s="3413" t="s">
        <v>3207</v>
      </c>
      <c r="F66" s="3415" t="s">
        <v>3208</v>
      </c>
      <c r="G66" s="3415" t="s">
        <v>3209</v>
      </c>
      <c r="H66" s="3415" t="s">
        <v>3210</v>
      </c>
      <c r="I66" s="3416">
        <v>161264.4</v>
      </c>
      <c r="J66" s="3416">
        <v>322528.8</v>
      </c>
      <c r="K66" s="3416" t="s">
        <v>3257</v>
      </c>
      <c r="L66" s="3417">
        <v>43482</v>
      </c>
      <c r="M66" s="3413" t="s">
        <v>3258</v>
      </c>
      <c r="N66" s="3416">
        <v>17416.79</v>
      </c>
      <c r="O66" s="3427">
        <v>72</v>
      </c>
      <c r="P66" s="3416">
        <v>540</v>
      </c>
      <c r="Q66" s="3416">
        <v>0</v>
      </c>
    </row>
    <row r="67" spans="1:17" ht="15" thickBot="1">
      <c r="A67" s="3413" t="s">
        <v>3206</v>
      </c>
      <c r="B67" s="3413">
        <v>1</v>
      </c>
      <c r="C67" s="3414"/>
      <c r="D67" s="3414"/>
      <c r="E67" s="3413" t="s">
        <v>3207</v>
      </c>
      <c r="F67" s="3415" t="s">
        <v>3208</v>
      </c>
      <c r="G67" s="3415" t="s">
        <v>3209</v>
      </c>
      <c r="H67" s="3415" t="s">
        <v>3210</v>
      </c>
      <c r="I67" s="3416">
        <v>121569.5</v>
      </c>
      <c r="J67" s="3416">
        <v>243139</v>
      </c>
      <c r="K67" s="3416" t="s">
        <v>3257</v>
      </c>
      <c r="L67" s="3417">
        <v>43482</v>
      </c>
      <c r="M67" s="3413" t="s">
        <v>3258</v>
      </c>
      <c r="N67" s="3416">
        <v>13129.2</v>
      </c>
      <c r="O67" s="3427">
        <v>72</v>
      </c>
      <c r="P67" s="3416">
        <v>539.99</v>
      </c>
      <c r="Q67" s="3416">
        <v>0</v>
      </c>
    </row>
    <row r="68" spans="1:17" ht="15" thickBot="1">
      <c r="A68" s="3413" t="s">
        <v>3259</v>
      </c>
      <c r="B68" s="3413">
        <v>5</v>
      </c>
      <c r="C68" s="3414"/>
      <c r="D68" s="3414"/>
      <c r="E68" s="3413" t="s">
        <v>3207</v>
      </c>
      <c r="F68" s="3415" t="s">
        <v>3208</v>
      </c>
      <c r="G68" s="3415" t="s">
        <v>3209</v>
      </c>
      <c r="H68" s="3415" t="s">
        <v>3218</v>
      </c>
      <c r="I68" s="3416">
        <v>28176.28</v>
      </c>
      <c r="J68" s="3416">
        <v>172157.1</v>
      </c>
      <c r="K68" s="3416" t="s">
        <v>3260</v>
      </c>
      <c r="L68" s="3417">
        <v>43404</v>
      </c>
      <c r="M68" s="3415" t="s">
        <v>3261</v>
      </c>
      <c r="N68" s="3416">
        <v>55796.4</v>
      </c>
      <c r="O68" s="3427">
        <v>1320.17</v>
      </c>
      <c r="P68" s="3416">
        <v>3241.01</v>
      </c>
      <c r="Q68" s="3416">
        <v>0</v>
      </c>
    </row>
    <row r="69" spans="1:17" ht="15" thickBot="1">
      <c r="A69" s="3413" t="s">
        <v>3259</v>
      </c>
      <c r="B69" s="3413">
        <v>5</v>
      </c>
      <c r="C69" s="3414"/>
      <c r="E69" s="3413" t="s">
        <v>3207</v>
      </c>
      <c r="F69" s="3415" t="s">
        <v>3208</v>
      </c>
      <c r="G69" s="3415" t="s">
        <v>3209</v>
      </c>
      <c r="H69" s="3415" t="s">
        <v>3218</v>
      </c>
      <c r="I69" s="3416">
        <v>23696.92</v>
      </c>
      <c r="J69" s="3416">
        <v>126304.6</v>
      </c>
      <c r="K69" s="3416" t="s">
        <v>3224</v>
      </c>
      <c r="L69" s="3417">
        <v>43404</v>
      </c>
      <c r="M69" s="3415" t="s">
        <v>3261</v>
      </c>
      <c r="N69" s="3416">
        <v>46926</v>
      </c>
      <c r="O69" s="3427">
        <v>1320.17</v>
      </c>
      <c r="P69" s="3416">
        <v>3715.3</v>
      </c>
      <c r="Q69" s="3416">
        <v>0</v>
      </c>
    </row>
    <row r="70" spans="1:17" ht="15" thickBot="1">
      <c r="A70" s="3413" t="s">
        <v>3259</v>
      </c>
      <c r="B70" s="3413">
        <v>5</v>
      </c>
      <c r="C70" s="3414"/>
      <c r="D70" s="3414"/>
      <c r="E70" s="3413" t="s">
        <v>3207</v>
      </c>
      <c r="F70" s="3415" t="s">
        <v>3208</v>
      </c>
      <c r="G70" s="3415" t="s">
        <v>3209</v>
      </c>
      <c r="H70" s="3415" t="s">
        <v>3218</v>
      </c>
      <c r="I70" s="3416">
        <v>36876.57</v>
      </c>
      <c r="J70" s="3416">
        <v>202452.4</v>
      </c>
      <c r="K70" s="3416" t="s">
        <v>3224</v>
      </c>
      <c r="L70" s="3417">
        <v>43404</v>
      </c>
      <c r="M70" s="3415" t="s">
        <v>3261</v>
      </c>
      <c r="N70" s="3416">
        <v>73009.19</v>
      </c>
      <c r="O70" s="3427">
        <v>1319.88</v>
      </c>
      <c r="P70" s="3416">
        <v>3606.23</v>
      </c>
      <c r="Q70" s="3416">
        <v>0</v>
      </c>
    </row>
    <row r="71" spans="1:17" ht="15" thickBot="1">
      <c r="A71" s="3413" t="s">
        <v>3227</v>
      </c>
      <c r="B71" s="3413">
        <v>5</v>
      </c>
      <c r="C71" s="3414"/>
      <c r="D71" s="3414"/>
      <c r="E71" s="3413" t="s">
        <v>3207</v>
      </c>
      <c r="F71" s="3415" t="s">
        <v>3208</v>
      </c>
      <c r="G71" s="3415" t="s">
        <v>3209</v>
      </c>
      <c r="H71" s="3415" t="s">
        <v>3218</v>
      </c>
      <c r="I71" s="3416">
        <v>2587.34</v>
      </c>
      <c r="J71" s="3416">
        <v>9806.02</v>
      </c>
      <c r="K71" s="3416" t="s">
        <v>3211</v>
      </c>
      <c r="L71" s="3417">
        <v>43404</v>
      </c>
      <c r="M71" s="3413" t="s">
        <v>3262</v>
      </c>
      <c r="N71" s="3416">
        <v>1140.72</v>
      </c>
      <c r="O71" s="3427">
        <v>293.92</v>
      </c>
      <c r="P71" s="3416">
        <v>1163.28</v>
      </c>
      <c r="Q71" s="3416">
        <v>0</v>
      </c>
    </row>
    <row r="72" spans="1:17" ht="15" thickBot="1">
      <c r="A72" s="3413" t="s">
        <v>3259</v>
      </c>
      <c r="B72" s="3413">
        <v>5</v>
      </c>
      <c r="C72" s="3414"/>
      <c r="D72" s="3414"/>
      <c r="E72" s="3413" t="s">
        <v>3207</v>
      </c>
      <c r="F72" s="3415" t="s">
        <v>3208</v>
      </c>
      <c r="G72" s="3415" t="s">
        <v>3209</v>
      </c>
      <c r="H72" s="3415" t="s">
        <v>3218</v>
      </c>
      <c r="I72" s="3416">
        <v>22815.45</v>
      </c>
      <c r="J72" s="3416">
        <v>141227.6</v>
      </c>
      <c r="K72" s="3416" t="s">
        <v>3260</v>
      </c>
      <c r="L72" s="3417">
        <v>43404</v>
      </c>
      <c r="M72" s="3415" t="s">
        <v>3261</v>
      </c>
      <c r="N72" s="3416">
        <v>45170.400000000001</v>
      </c>
      <c r="O72" s="3427">
        <v>1319.88</v>
      </c>
      <c r="P72" s="3416">
        <v>3198.4</v>
      </c>
      <c r="Q72" s="3416">
        <v>0</v>
      </c>
    </row>
    <row r="73" spans="1:17" ht="15" thickBot="1">
      <c r="A73" s="3413" t="s">
        <v>3227</v>
      </c>
      <c r="B73" s="3413">
        <v>5</v>
      </c>
      <c r="C73" s="3414"/>
      <c r="D73" s="3414"/>
      <c r="E73" s="3413" t="s">
        <v>3207</v>
      </c>
      <c r="F73" s="3415" t="s">
        <v>3208</v>
      </c>
      <c r="G73" s="3415" t="s">
        <v>3209</v>
      </c>
      <c r="H73" s="3415" t="s">
        <v>3218</v>
      </c>
      <c r="I73" s="3416">
        <v>39911.839999999997</v>
      </c>
      <c r="J73" s="3416">
        <v>151265.9</v>
      </c>
      <c r="K73" s="3416" t="s">
        <v>3211</v>
      </c>
      <c r="L73" s="3417">
        <v>43404</v>
      </c>
      <c r="M73" s="3413" t="s">
        <v>3262</v>
      </c>
      <c r="N73" s="3416">
        <v>17601.77</v>
      </c>
      <c r="O73" s="3427">
        <v>294.01</v>
      </c>
      <c r="P73" s="3416">
        <v>1163.6300000000001</v>
      </c>
      <c r="Q73" s="3416">
        <v>0</v>
      </c>
    </row>
    <row r="74" spans="1:17" ht="15" thickBot="1">
      <c r="A74" s="3413" t="s">
        <v>3219</v>
      </c>
      <c r="B74" s="3413">
        <v>5</v>
      </c>
      <c r="C74" s="3414"/>
      <c r="D74" s="3414"/>
      <c r="E74" s="3413" t="s">
        <v>3207</v>
      </c>
      <c r="F74" s="3415" t="s">
        <v>3208</v>
      </c>
      <c r="G74" s="3415" t="s">
        <v>3209</v>
      </c>
      <c r="H74" s="3415" t="s">
        <v>3218</v>
      </c>
      <c r="I74" s="3416">
        <v>24151.42</v>
      </c>
      <c r="J74" s="3416">
        <v>77284.539999999994</v>
      </c>
      <c r="K74" s="3416" t="s">
        <v>3240</v>
      </c>
      <c r="L74" s="3417">
        <v>43355</v>
      </c>
      <c r="M74" s="3413" t="s">
        <v>3263</v>
      </c>
      <c r="N74" s="3416">
        <v>27100.04</v>
      </c>
      <c r="O74" s="3427">
        <v>748.06</v>
      </c>
      <c r="P74" s="3416">
        <v>3506.53</v>
      </c>
      <c r="Q74" s="3416">
        <v>0</v>
      </c>
    </row>
    <row r="75" spans="1:17" ht="15" thickBot="1">
      <c r="A75" s="3413" t="s">
        <v>3219</v>
      </c>
      <c r="B75" s="3413">
        <v>5</v>
      </c>
      <c r="C75" s="3414"/>
      <c r="D75" s="3414"/>
      <c r="E75" s="3413" t="s">
        <v>3207</v>
      </c>
      <c r="F75" s="3415" t="s">
        <v>3208</v>
      </c>
      <c r="G75" s="3415" t="s">
        <v>3214</v>
      </c>
      <c r="H75" s="3415" t="s">
        <v>3218</v>
      </c>
      <c r="I75" s="3416">
        <v>70563.75</v>
      </c>
      <c r="J75" s="3416">
        <v>225804</v>
      </c>
      <c r="K75" s="3416" t="s">
        <v>3240</v>
      </c>
      <c r="L75" s="3417">
        <v>43355</v>
      </c>
      <c r="M75" s="3413" t="s">
        <v>3263</v>
      </c>
      <c r="N75" s="3416">
        <v>79168.320000000007</v>
      </c>
      <c r="O75" s="3427">
        <v>747.96</v>
      </c>
      <c r="P75" s="3416">
        <v>3506.05</v>
      </c>
      <c r="Q75" s="3416">
        <v>0</v>
      </c>
    </row>
    <row r="76" spans="1:17" ht="15" thickBot="1">
      <c r="A76" s="3413" t="s">
        <v>3219</v>
      </c>
      <c r="B76" s="3413">
        <v>5</v>
      </c>
      <c r="C76" s="3414"/>
      <c r="D76" s="3414"/>
      <c r="E76" s="3413" t="s">
        <v>3207</v>
      </c>
      <c r="F76" s="3415" t="s">
        <v>3208</v>
      </c>
      <c r="G76" s="3415" t="s">
        <v>3209</v>
      </c>
      <c r="H76" s="3415" t="s">
        <v>3218</v>
      </c>
      <c r="I76" s="3416">
        <v>24366.78</v>
      </c>
      <c r="J76" s="3416">
        <v>77973.7</v>
      </c>
      <c r="K76" s="3416" t="s">
        <v>3240</v>
      </c>
      <c r="L76" s="3417">
        <v>43355</v>
      </c>
      <c r="M76" s="3413" t="s">
        <v>3263</v>
      </c>
      <c r="N76" s="3416">
        <v>27339.4</v>
      </c>
      <c r="O76" s="3427">
        <v>748</v>
      </c>
      <c r="P76" s="3416">
        <v>3506.23</v>
      </c>
      <c r="Q76" s="3416">
        <v>0</v>
      </c>
    </row>
    <row r="77" spans="1:17" ht="15" thickBot="1">
      <c r="A77" s="3413" t="s">
        <v>3219</v>
      </c>
      <c r="B77" s="3413">
        <v>5</v>
      </c>
      <c r="C77" s="3414"/>
      <c r="D77" s="3414"/>
      <c r="E77" s="3413" t="s">
        <v>3207</v>
      </c>
      <c r="F77" s="3415" t="s">
        <v>3208</v>
      </c>
      <c r="G77" s="3415" t="s">
        <v>3209</v>
      </c>
      <c r="H77" s="3415" t="s">
        <v>3218</v>
      </c>
      <c r="I77" s="3416">
        <v>39527.85</v>
      </c>
      <c r="J77" s="3416">
        <v>150205.79999999999</v>
      </c>
      <c r="K77" s="3416" t="s">
        <v>3240</v>
      </c>
      <c r="L77" s="3417">
        <v>43355</v>
      </c>
      <c r="M77" s="3413" t="s">
        <v>3263</v>
      </c>
      <c r="N77" s="3416">
        <v>44348.91</v>
      </c>
      <c r="O77" s="3427">
        <v>747.98</v>
      </c>
      <c r="P77" s="3416">
        <v>2952.53</v>
      </c>
      <c r="Q77" s="3416">
        <v>0</v>
      </c>
    </row>
    <row r="78" spans="1:17" ht="15" thickBot="1">
      <c r="A78" s="3413" t="s">
        <v>3219</v>
      </c>
      <c r="B78" s="3413">
        <v>5</v>
      </c>
      <c r="C78" s="3414"/>
      <c r="D78" s="3414"/>
      <c r="E78" s="3413" t="s">
        <v>3207</v>
      </c>
      <c r="F78" s="3415" t="s">
        <v>3208</v>
      </c>
      <c r="G78" s="3415" t="s">
        <v>3214</v>
      </c>
      <c r="H78" s="3415" t="s">
        <v>3218</v>
      </c>
      <c r="I78" s="3416">
        <v>33743.760000000002</v>
      </c>
      <c r="J78" s="3416">
        <v>128226.3</v>
      </c>
      <c r="K78" s="3416" t="s">
        <v>3240</v>
      </c>
      <c r="L78" s="3417">
        <v>43355</v>
      </c>
      <c r="M78" s="3413" t="s">
        <v>3263</v>
      </c>
      <c r="N78" s="3416">
        <v>37863.760000000002</v>
      </c>
      <c r="O78" s="3427">
        <v>748.06</v>
      </c>
      <c r="P78" s="3416">
        <v>2952.88</v>
      </c>
      <c r="Q78" s="3416">
        <v>0</v>
      </c>
    </row>
    <row r="79" spans="1:17" ht="15" thickBot="1">
      <c r="A79" s="3413" t="s">
        <v>3229</v>
      </c>
      <c r="B79" s="3413">
        <v>5</v>
      </c>
      <c r="C79" s="3414"/>
      <c r="D79" s="3414"/>
      <c r="E79" s="3413" t="s">
        <v>3207</v>
      </c>
      <c r="F79" s="3415" t="s">
        <v>3208</v>
      </c>
      <c r="G79" s="3415" t="s">
        <v>3214</v>
      </c>
      <c r="H79" s="3415" t="s">
        <v>3210</v>
      </c>
      <c r="I79" s="3416">
        <v>19176.53</v>
      </c>
      <c r="J79" s="3416">
        <v>95882.65</v>
      </c>
      <c r="K79" s="3416" t="s">
        <v>3264</v>
      </c>
      <c r="L79" s="3417">
        <v>43341</v>
      </c>
      <c r="M79" s="3413" t="s">
        <v>3265</v>
      </c>
      <c r="N79" s="3416">
        <v>41213.08</v>
      </c>
      <c r="O79" s="3427">
        <v>1432.76</v>
      </c>
      <c r="P79" s="3416">
        <v>4298.2700000000004</v>
      </c>
      <c r="Q79" s="3416">
        <v>0</v>
      </c>
    </row>
    <row r="80" spans="1:17" ht="15" thickBot="1">
      <c r="A80" s="3413" t="s">
        <v>3266</v>
      </c>
      <c r="B80" s="3413">
        <v>4</v>
      </c>
      <c r="C80" s="3414"/>
      <c r="D80" s="3414"/>
      <c r="E80" s="3413" t="s">
        <v>3207</v>
      </c>
      <c r="F80" s="3415" t="s">
        <v>3208</v>
      </c>
      <c r="G80" s="3415" t="s">
        <v>3209</v>
      </c>
      <c r="H80" s="3415" t="s">
        <v>3218</v>
      </c>
      <c r="I80" s="3416">
        <v>39695.72</v>
      </c>
      <c r="J80" s="3416">
        <v>127026.3</v>
      </c>
      <c r="K80" s="3416" t="s">
        <v>3240</v>
      </c>
      <c r="L80" s="3417">
        <v>43301</v>
      </c>
      <c r="M80" s="3413" t="s">
        <v>3263</v>
      </c>
      <c r="N80" s="3416">
        <v>41737.54</v>
      </c>
      <c r="O80" s="3427">
        <v>700.96</v>
      </c>
      <c r="P80" s="3416">
        <v>3285.73</v>
      </c>
      <c r="Q80" s="3416">
        <v>0</v>
      </c>
    </row>
    <row r="81" spans="1:17" ht="15" thickBot="1">
      <c r="A81" s="3413" t="s">
        <v>3266</v>
      </c>
      <c r="B81" s="3413">
        <v>4</v>
      </c>
      <c r="C81" s="3414"/>
      <c r="D81" s="3414"/>
      <c r="E81" s="3413" t="s">
        <v>3207</v>
      </c>
      <c r="F81" s="3415" t="s">
        <v>3208</v>
      </c>
      <c r="G81" s="3415" t="s">
        <v>3214</v>
      </c>
      <c r="H81" s="3415" t="s">
        <v>3218</v>
      </c>
      <c r="I81" s="3416">
        <v>53236.13</v>
      </c>
      <c r="J81" s="3416">
        <v>170355.6</v>
      </c>
      <c r="K81" s="3416" t="s">
        <v>3240</v>
      </c>
      <c r="L81" s="3417">
        <v>43301</v>
      </c>
      <c r="M81" s="3413" t="s">
        <v>3263</v>
      </c>
      <c r="N81" s="3416">
        <v>56000</v>
      </c>
      <c r="O81" s="3427">
        <v>701.28</v>
      </c>
      <c r="P81" s="3416">
        <v>3287.23</v>
      </c>
      <c r="Q81" s="3416">
        <v>0.03</v>
      </c>
    </row>
    <row r="82" spans="1:17" ht="15" thickBot="1">
      <c r="A82" s="3413" t="s">
        <v>3223</v>
      </c>
      <c r="B82" s="3413">
        <v>5</v>
      </c>
      <c r="C82" s="3414"/>
      <c r="D82" s="3414"/>
      <c r="E82" s="3413" t="s">
        <v>3207</v>
      </c>
      <c r="F82" s="3415" t="s">
        <v>3208</v>
      </c>
      <c r="G82" s="3415" t="s">
        <v>3209</v>
      </c>
      <c r="H82" s="3415" t="s">
        <v>3218</v>
      </c>
      <c r="I82" s="3416">
        <v>3928.58</v>
      </c>
      <c r="J82" s="3416">
        <v>13357.17</v>
      </c>
      <c r="K82" s="3416" t="s">
        <v>3267</v>
      </c>
      <c r="L82" s="3417">
        <v>43273</v>
      </c>
      <c r="M82" s="3413" t="s">
        <v>3268</v>
      </c>
      <c r="N82" s="3416">
        <v>1820.21</v>
      </c>
      <c r="O82" s="3427">
        <v>308.88</v>
      </c>
      <c r="P82" s="3416">
        <v>1362.72</v>
      </c>
      <c r="Q82" s="3416">
        <v>0</v>
      </c>
    </row>
    <row r="83" spans="1:17" ht="15" thickBot="1">
      <c r="A83" s="3413" t="s">
        <v>3220</v>
      </c>
      <c r="B83" s="3413">
        <v>5</v>
      </c>
      <c r="C83" s="3414"/>
      <c r="D83" s="3414"/>
      <c r="E83" s="3413" t="s">
        <v>3207</v>
      </c>
      <c r="F83" s="3415" t="s">
        <v>3208</v>
      </c>
      <c r="G83" s="3415" t="s">
        <v>3214</v>
      </c>
      <c r="H83" s="3415" t="s">
        <v>3210</v>
      </c>
      <c r="I83" s="3416">
        <v>11968.89</v>
      </c>
      <c r="J83" s="3416">
        <v>41172.980000000003</v>
      </c>
      <c r="K83" s="3416" t="s">
        <v>3267</v>
      </c>
      <c r="L83" s="3417">
        <v>43273</v>
      </c>
      <c r="M83" s="3413" t="s">
        <v>3230</v>
      </c>
      <c r="N83" s="3416">
        <v>12457.29</v>
      </c>
      <c r="O83" s="3427">
        <v>693.87</v>
      </c>
      <c r="P83" s="3416">
        <v>3025.59</v>
      </c>
      <c r="Q83" s="3416">
        <v>0</v>
      </c>
    </row>
    <row r="84" spans="1:17" ht="15" thickBot="1">
      <c r="A84" s="3413" t="s">
        <v>3229</v>
      </c>
      <c r="B84" s="3413">
        <v>5</v>
      </c>
      <c r="C84" s="3414"/>
      <c r="E84" s="3413" t="s">
        <v>3207</v>
      </c>
      <c r="F84" s="3415" t="s">
        <v>3208</v>
      </c>
      <c r="G84" s="3415" t="s">
        <v>3214</v>
      </c>
      <c r="H84" s="3415" t="s">
        <v>3210</v>
      </c>
      <c r="I84" s="3416">
        <v>24937.68</v>
      </c>
      <c r="J84" s="3416">
        <v>199501.4</v>
      </c>
      <c r="K84" s="3416" t="s">
        <v>3269</v>
      </c>
      <c r="L84" s="3417">
        <v>43208</v>
      </c>
      <c r="M84" s="3413" t="s">
        <v>3270</v>
      </c>
      <c r="N84" s="3416">
        <v>56863.19</v>
      </c>
      <c r="O84" s="3427">
        <v>1520.14</v>
      </c>
      <c r="P84" s="3416">
        <v>2850.26</v>
      </c>
      <c r="Q84" s="3416">
        <v>0</v>
      </c>
    </row>
    <row r="85" spans="1:17" ht="15" thickBot="1">
      <c r="A85" s="3413" t="s">
        <v>3229</v>
      </c>
      <c r="B85" s="3413">
        <v>5</v>
      </c>
      <c r="C85" s="3414"/>
      <c r="E85" s="3413" t="s">
        <v>3207</v>
      </c>
      <c r="F85" s="3415" t="s">
        <v>3208</v>
      </c>
      <c r="G85" s="3415" t="s">
        <v>3214</v>
      </c>
      <c r="H85" s="3415" t="s">
        <v>3210</v>
      </c>
      <c r="I85" s="3416">
        <v>16821.95</v>
      </c>
      <c r="J85" s="3416">
        <v>84109.75</v>
      </c>
      <c r="K85" s="3416" t="s">
        <v>3226</v>
      </c>
      <c r="L85" s="3417">
        <v>43208</v>
      </c>
      <c r="M85" s="3413" t="s">
        <v>3271</v>
      </c>
      <c r="N85" s="3416">
        <v>39964.31</v>
      </c>
      <c r="O85" s="3427">
        <v>1583.82</v>
      </c>
      <c r="P85" s="3416">
        <v>4751.4399999999996</v>
      </c>
      <c r="Q85" s="3416">
        <v>0</v>
      </c>
    </row>
    <row r="86" spans="1:17" ht="15" thickBot="1">
      <c r="A86" s="3413" t="s">
        <v>3229</v>
      </c>
      <c r="B86" s="3413">
        <v>5</v>
      </c>
      <c r="C86" s="3414"/>
      <c r="E86" s="3413" t="s">
        <v>3207</v>
      </c>
      <c r="F86" s="3415" t="s">
        <v>3208</v>
      </c>
      <c r="G86" s="3415" t="s">
        <v>3214</v>
      </c>
      <c r="H86" s="3415" t="s">
        <v>3210</v>
      </c>
      <c r="I86" s="3416">
        <v>19000.16</v>
      </c>
      <c r="J86" s="3416">
        <v>95000.8</v>
      </c>
      <c r="K86" s="3416" t="s">
        <v>3226</v>
      </c>
      <c r="L86" s="3417">
        <v>43208</v>
      </c>
      <c r="M86" s="3413" t="s">
        <v>3271</v>
      </c>
      <c r="N86" s="3416">
        <v>45144</v>
      </c>
      <c r="O86" s="3427">
        <v>1583.99</v>
      </c>
      <c r="P86" s="3416">
        <v>4751.96</v>
      </c>
      <c r="Q86" s="3416">
        <v>0</v>
      </c>
    </row>
    <row r="87" spans="1:17" ht="15" thickBot="1">
      <c r="A87" s="3413" t="s">
        <v>3229</v>
      </c>
      <c r="B87" s="3413">
        <v>5</v>
      </c>
      <c r="C87" s="3414"/>
      <c r="E87" s="3413" t="s">
        <v>3207</v>
      </c>
      <c r="F87" s="3415" t="s">
        <v>3208</v>
      </c>
      <c r="G87" s="3415" t="s">
        <v>3209</v>
      </c>
      <c r="H87" s="3415" t="s">
        <v>3210</v>
      </c>
      <c r="I87" s="3416">
        <v>16301.78</v>
      </c>
      <c r="J87" s="3416">
        <v>73358.009999999995</v>
      </c>
      <c r="K87" s="3416" t="s">
        <v>3231</v>
      </c>
      <c r="L87" s="3417">
        <v>43208</v>
      </c>
      <c r="M87" s="3413" t="s">
        <v>3270</v>
      </c>
      <c r="N87" s="3416">
        <v>46210.5</v>
      </c>
      <c r="O87" s="3427">
        <v>1889.79</v>
      </c>
      <c r="P87" s="3416">
        <v>6299.31</v>
      </c>
      <c r="Q87" s="3416">
        <v>0</v>
      </c>
    </row>
    <row r="88" spans="1:17" ht="15" thickBot="1">
      <c r="A88" s="3413" t="s">
        <v>3229</v>
      </c>
      <c r="B88" s="3413">
        <v>5</v>
      </c>
      <c r="C88" s="3414"/>
      <c r="E88" s="3413" t="s">
        <v>3207</v>
      </c>
      <c r="F88" s="3415" t="s">
        <v>3208</v>
      </c>
      <c r="G88" s="3415" t="s">
        <v>3214</v>
      </c>
      <c r="H88" s="3415" t="s">
        <v>3210</v>
      </c>
      <c r="I88" s="3416">
        <v>37756.6</v>
      </c>
      <c r="J88" s="3416">
        <v>143475.1</v>
      </c>
      <c r="K88" s="3416" t="s">
        <v>3211</v>
      </c>
      <c r="L88" s="3417">
        <v>43208</v>
      </c>
      <c r="M88" s="3413" t="s">
        <v>3271</v>
      </c>
      <c r="N88" s="3416">
        <v>77483.520000000004</v>
      </c>
      <c r="O88" s="3427">
        <v>1368.12</v>
      </c>
      <c r="P88" s="3416">
        <v>5400.48</v>
      </c>
      <c r="Q88" s="3416">
        <v>0</v>
      </c>
    </row>
    <row r="89" spans="1:17" ht="15" thickBot="1">
      <c r="A89" s="3413" t="s">
        <v>3229</v>
      </c>
      <c r="B89" s="3413">
        <v>5</v>
      </c>
      <c r="C89" s="3414"/>
      <c r="E89" s="3413" t="s">
        <v>3207</v>
      </c>
      <c r="F89" s="3415" t="s">
        <v>3208</v>
      </c>
      <c r="G89" s="3415" t="s">
        <v>3209</v>
      </c>
      <c r="H89" s="3415" t="s">
        <v>3210</v>
      </c>
      <c r="I89" s="3416">
        <v>19397.43</v>
      </c>
      <c r="J89" s="3416">
        <v>73710.23</v>
      </c>
      <c r="K89" s="3416" t="s">
        <v>3211</v>
      </c>
      <c r="L89" s="3417">
        <v>43208</v>
      </c>
      <c r="M89" s="3413" t="s">
        <v>3270</v>
      </c>
      <c r="N89" s="3416">
        <v>46427.63</v>
      </c>
      <c r="O89" s="3427">
        <v>1595.66</v>
      </c>
      <c r="P89" s="3416">
        <v>6298.67</v>
      </c>
      <c r="Q89" s="3416">
        <v>0</v>
      </c>
    </row>
    <row r="90" spans="1:17" ht="15" thickBot="1">
      <c r="A90" s="3413" t="s">
        <v>3229</v>
      </c>
      <c r="B90" s="3413">
        <v>5</v>
      </c>
      <c r="C90" s="3414"/>
      <c r="E90" s="3413" t="s">
        <v>3207</v>
      </c>
      <c r="F90" s="3415" t="s">
        <v>3208</v>
      </c>
      <c r="G90" s="3415" t="s">
        <v>3214</v>
      </c>
      <c r="H90" s="3415" t="s">
        <v>3210</v>
      </c>
      <c r="I90" s="3416">
        <v>25655.66</v>
      </c>
      <c r="J90" s="3416">
        <v>115450.5</v>
      </c>
      <c r="K90" s="3416" t="s">
        <v>3231</v>
      </c>
      <c r="L90" s="3417">
        <v>43208</v>
      </c>
      <c r="M90" s="3413" t="s">
        <v>3270</v>
      </c>
      <c r="N90" s="3416">
        <v>65877.75</v>
      </c>
      <c r="O90" s="3427">
        <v>1711.84</v>
      </c>
      <c r="P90" s="3416">
        <v>5706.14</v>
      </c>
      <c r="Q90" s="3416">
        <v>0</v>
      </c>
    </row>
    <row r="91" spans="1:17" ht="15" thickBot="1">
      <c r="A91" s="3413" t="s">
        <v>3229</v>
      </c>
      <c r="B91" s="3413">
        <v>5</v>
      </c>
      <c r="C91" s="3414"/>
      <c r="E91" s="3413" t="s">
        <v>3207</v>
      </c>
      <c r="F91" s="3415" t="s">
        <v>3208</v>
      </c>
      <c r="G91" s="3415" t="s">
        <v>3214</v>
      </c>
      <c r="H91" s="3415" t="s">
        <v>3210</v>
      </c>
      <c r="I91" s="3416">
        <v>33156.03</v>
      </c>
      <c r="J91" s="3416">
        <v>125992.9</v>
      </c>
      <c r="K91" s="3416" t="s">
        <v>3211</v>
      </c>
      <c r="L91" s="3417">
        <v>43208</v>
      </c>
      <c r="M91" s="3413" t="s">
        <v>3271</v>
      </c>
      <c r="N91" s="3416">
        <v>68030.63</v>
      </c>
      <c r="O91" s="3427">
        <v>1367.89</v>
      </c>
      <c r="P91" s="3416">
        <v>5399.56</v>
      </c>
      <c r="Q91" s="3416">
        <v>0</v>
      </c>
    </row>
    <row r="92" spans="1:17" ht="15" thickBot="1">
      <c r="A92" s="3413" t="s">
        <v>3229</v>
      </c>
      <c r="B92" s="3413">
        <v>5</v>
      </c>
      <c r="C92" s="3414"/>
      <c r="E92" s="3413" t="s">
        <v>3207</v>
      </c>
      <c r="F92" s="3415" t="s">
        <v>3208</v>
      </c>
      <c r="G92" s="3415" t="s">
        <v>3214</v>
      </c>
      <c r="H92" s="3415" t="s">
        <v>3210</v>
      </c>
      <c r="I92" s="3416">
        <v>30510.83</v>
      </c>
      <c r="J92" s="3416">
        <v>122043.3</v>
      </c>
      <c r="K92" s="3416" t="s">
        <v>3235</v>
      </c>
      <c r="L92" s="3417">
        <v>43208</v>
      </c>
      <c r="M92" s="3413" t="s">
        <v>3270</v>
      </c>
      <c r="N92" s="3416">
        <v>69661.94</v>
      </c>
      <c r="O92" s="3427">
        <v>1522.12</v>
      </c>
      <c r="P92" s="3416">
        <v>5707.97</v>
      </c>
      <c r="Q92" s="3416">
        <v>0</v>
      </c>
    </row>
    <row r="93" spans="1:17" ht="15" thickBot="1">
      <c r="A93" s="3413" t="s">
        <v>3217</v>
      </c>
      <c r="B93" s="3413">
        <v>4</v>
      </c>
      <c r="C93" s="3414"/>
      <c r="E93" s="3413" t="s">
        <v>3207</v>
      </c>
      <c r="F93" s="3415" t="s">
        <v>3208</v>
      </c>
      <c r="G93" s="3415" t="s">
        <v>3209</v>
      </c>
      <c r="H93" s="3415" t="s">
        <v>3218</v>
      </c>
      <c r="I93" s="3416">
        <v>123944.1</v>
      </c>
      <c r="J93" s="3416">
        <v>557748.30000000005</v>
      </c>
      <c r="K93" s="3416" t="s">
        <v>3231</v>
      </c>
      <c r="L93" s="3417">
        <v>43173</v>
      </c>
      <c r="M93" s="3413" t="s">
        <v>3263</v>
      </c>
      <c r="N93" s="3416">
        <v>37369.910000000003</v>
      </c>
      <c r="O93" s="3427">
        <v>201</v>
      </c>
      <c r="P93" s="3416">
        <v>670</v>
      </c>
      <c r="Q93" s="3416">
        <v>0</v>
      </c>
    </row>
    <row r="94" spans="1:17" ht="15" thickBot="1">
      <c r="A94" s="3413" t="s">
        <v>3217</v>
      </c>
      <c r="B94" s="3413">
        <v>4</v>
      </c>
      <c r="C94" s="3414"/>
      <c r="E94" s="3413" t="s">
        <v>3207</v>
      </c>
      <c r="F94" s="3415" t="s">
        <v>3208</v>
      </c>
      <c r="G94" s="3415" t="s">
        <v>3209</v>
      </c>
      <c r="H94" s="3415" t="s">
        <v>3218</v>
      </c>
      <c r="I94" s="3416">
        <v>94665.3</v>
      </c>
      <c r="J94" s="3416">
        <v>425993.8</v>
      </c>
      <c r="K94" s="3416" t="s">
        <v>3231</v>
      </c>
      <c r="L94" s="3417">
        <v>43173</v>
      </c>
      <c r="M94" s="3413" t="s">
        <v>3263</v>
      </c>
      <c r="N94" s="3416">
        <v>28542</v>
      </c>
      <c r="O94" s="3427">
        <v>201</v>
      </c>
      <c r="P94" s="3416">
        <v>670</v>
      </c>
      <c r="Q94" s="3416">
        <v>0</v>
      </c>
    </row>
    <row r="95" spans="1:17" ht="15" thickBot="1">
      <c r="A95" s="3413" t="s">
        <v>3217</v>
      </c>
      <c r="B95" s="3413">
        <v>4</v>
      </c>
      <c r="C95" s="3414"/>
      <c r="E95" s="3413" t="s">
        <v>3207</v>
      </c>
      <c r="F95" s="3415" t="s">
        <v>3208</v>
      </c>
      <c r="G95" s="3415" t="s">
        <v>3209</v>
      </c>
      <c r="H95" s="3415" t="s">
        <v>3218</v>
      </c>
      <c r="I95" s="3416">
        <v>92846.59</v>
      </c>
      <c r="J95" s="3416">
        <v>417809.7</v>
      </c>
      <c r="K95" s="3416" t="s">
        <v>3231</v>
      </c>
      <c r="L95" s="3417">
        <v>43173</v>
      </c>
      <c r="M95" s="3413" t="s">
        <v>3263</v>
      </c>
      <c r="N95" s="3416">
        <v>27993.27</v>
      </c>
      <c r="O95" s="3427">
        <v>201</v>
      </c>
      <c r="P95" s="3416">
        <v>670</v>
      </c>
      <c r="Q95" s="3416">
        <v>0</v>
      </c>
    </row>
    <row r="96" spans="1:17" ht="15" thickBot="1">
      <c r="A96" s="3413" t="s">
        <v>3272</v>
      </c>
      <c r="B96" s="3413">
        <v>2</v>
      </c>
      <c r="C96" s="3414"/>
      <c r="D96" s="3414"/>
      <c r="E96" s="3413" t="s">
        <v>3207</v>
      </c>
      <c r="F96" s="3415" t="s">
        <v>3208</v>
      </c>
      <c r="G96" s="3415" t="s">
        <v>3209</v>
      </c>
      <c r="H96" s="3415" t="s">
        <v>3218</v>
      </c>
      <c r="I96" s="3416">
        <v>58641.53</v>
      </c>
      <c r="J96" s="3416">
        <v>117283.1</v>
      </c>
      <c r="K96" s="3416" t="s">
        <v>3273</v>
      </c>
      <c r="L96" s="3417">
        <v>43158</v>
      </c>
      <c r="M96" s="3413" t="s">
        <v>3274</v>
      </c>
      <c r="N96" s="3416">
        <v>5717.6</v>
      </c>
      <c r="O96" s="3427">
        <v>65</v>
      </c>
      <c r="P96" s="3416">
        <v>487.5</v>
      </c>
      <c r="Q96" s="3416">
        <v>0</v>
      </c>
    </row>
    <row r="97" spans="1:17" ht="15" thickBot="1">
      <c r="A97" s="3413" t="s">
        <v>3275</v>
      </c>
      <c r="B97" s="3413">
        <v>5</v>
      </c>
      <c r="C97" s="3414"/>
      <c r="D97" s="3414"/>
      <c r="E97" s="3413" t="s">
        <v>3207</v>
      </c>
      <c r="F97" s="3415" t="s">
        <v>3208</v>
      </c>
      <c r="G97" s="3415" t="s">
        <v>3209</v>
      </c>
      <c r="H97" s="3415" t="s">
        <v>3210</v>
      </c>
      <c r="I97" s="3416">
        <v>20249.009999999998</v>
      </c>
      <c r="J97" s="3416">
        <v>70871.53</v>
      </c>
      <c r="K97" s="3416" t="s">
        <v>3211</v>
      </c>
      <c r="L97" s="3417">
        <v>43098</v>
      </c>
      <c r="M97" s="3413" t="s">
        <v>3276</v>
      </c>
      <c r="N97" s="3416">
        <v>6074</v>
      </c>
      <c r="O97" s="3427">
        <v>199.98</v>
      </c>
      <c r="P97" s="3416">
        <v>857.03</v>
      </c>
      <c r="Q97" s="3416">
        <v>0</v>
      </c>
    </row>
    <row r="98" spans="1:17" ht="15" thickBot="1">
      <c r="A98" s="3413" t="s">
        <v>3275</v>
      </c>
      <c r="B98" s="3413">
        <v>5</v>
      </c>
      <c r="C98" s="3414"/>
      <c r="D98" s="3414"/>
      <c r="E98" s="3413" t="s">
        <v>3207</v>
      </c>
      <c r="F98" s="3415" t="s">
        <v>3208</v>
      </c>
      <c r="G98" s="3415" t="s">
        <v>3209</v>
      </c>
      <c r="H98" s="3415" t="s">
        <v>3210</v>
      </c>
      <c r="I98" s="3416">
        <v>22009.71</v>
      </c>
      <c r="J98" s="3416">
        <v>70431.070000000007</v>
      </c>
      <c r="K98" s="3416" t="s">
        <v>3211</v>
      </c>
      <c r="L98" s="3417">
        <v>43098</v>
      </c>
      <c r="M98" s="3413" t="s">
        <v>3276</v>
      </c>
      <c r="N98" s="3416">
        <v>6604</v>
      </c>
      <c r="O98" s="3427">
        <v>200.03</v>
      </c>
      <c r="P98" s="3416">
        <v>937.64</v>
      </c>
      <c r="Q98" s="3416">
        <v>0</v>
      </c>
    </row>
    <row r="99" spans="1:17" ht="15" thickBot="1">
      <c r="A99" s="3413" t="s">
        <v>3275</v>
      </c>
      <c r="B99" s="3413">
        <v>4</v>
      </c>
      <c r="C99" s="3414"/>
      <c r="D99" s="3414"/>
      <c r="E99" s="3413" t="s">
        <v>3207</v>
      </c>
      <c r="F99" s="3415" t="s">
        <v>3208</v>
      </c>
      <c r="G99" s="3415" t="s">
        <v>3209</v>
      </c>
      <c r="H99" s="3415" t="s">
        <v>3210</v>
      </c>
      <c r="I99" s="3416">
        <v>16556.330000000002</v>
      </c>
      <c r="J99" s="3416">
        <v>57947.16</v>
      </c>
      <c r="K99" s="3416" t="s">
        <v>3211</v>
      </c>
      <c r="L99" s="3417">
        <v>43098</v>
      </c>
      <c r="M99" s="3413" t="s">
        <v>3276</v>
      </c>
      <c r="N99" s="3416">
        <v>4966</v>
      </c>
      <c r="O99" s="3427">
        <v>199.96</v>
      </c>
      <c r="P99" s="3416">
        <v>856.99</v>
      </c>
      <c r="Q99" s="3416">
        <v>0</v>
      </c>
    </row>
    <row r="100" spans="1:17" ht="15" thickBot="1">
      <c r="A100" s="3413" t="s">
        <v>3275</v>
      </c>
      <c r="B100" s="3413">
        <v>5</v>
      </c>
      <c r="C100" s="3414"/>
      <c r="D100" s="3414"/>
      <c r="E100" s="3413" t="s">
        <v>3207</v>
      </c>
      <c r="F100" s="3415" t="s">
        <v>3208</v>
      </c>
      <c r="G100" s="3415" t="s">
        <v>3209</v>
      </c>
      <c r="H100" s="3415" t="s">
        <v>3210</v>
      </c>
      <c r="I100" s="3416">
        <v>43050.65</v>
      </c>
      <c r="J100" s="3416">
        <v>137762.1</v>
      </c>
      <c r="K100" s="3416" t="s">
        <v>3211</v>
      </c>
      <c r="L100" s="3417">
        <v>43098</v>
      </c>
      <c r="M100" s="3413" t="s">
        <v>3276</v>
      </c>
      <c r="N100" s="3416">
        <v>12916</v>
      </c>
      <c r="O100" s="3427">
        <v>200.01</v>
      </c>
      <c r="P100" s="3416">
        <v>937.55</v>
      </c>
      <c r="Q100" s="3416">
        <v>0</v>
      </c>
    </row>
    <row r="101" spans="1:17" ht="15" thickBot="1">
      <c r="A101" s="3413" t="s">
        <v>3277</v>
      </c>
      <c r="B101" s="3413">
        <v>5</v>
      </c>
      <c r="C101" s="3414"/>
      <c r="D101" s="3414"/>
      <c r="E101" s="3413" t="s">
        <v>3207</v>
      </c>
      <c r="F101" s="3415" t="s">
        <v>3208</v>
      </c>
      <c r="G101" s="3415" t="s">
        <v>3209</v>
      </c>
      <c r="H101" s="3415" t="s">
        <v>3218</v>
      </c>
      <c r="I101" s="3416">
        <v>17517.099999999999</v>
      </c>
      <c r="J101" s="3416">
        <v>137334.1</v>
      </c>
      <c r="K101" s="3416" t="s">
        <v>3278</v>
      </c>
      <c r="L101" s="3417">
        <v>43052</v>
      </c>
      <c r="M101" s="3413" t="s">
        <v>3279</v>
      </c>
      <c r="N101" s="3416">
        <v>9770.4500000000007</v>
      </c>
      <c r="O101" s="3427">
        <v>371.84</v>
      </c>
      <c r="P101" s="3416">
        <v>711.44</v>
      </c>
      <c r="Q101" s="3416">
        <v>0</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
  <sheetViews>
    <sheetView workbookViewId="0">
      <selection activeCell="R29" sqref="R29"/>
    </sheetView>
  </sheetViews>
  <sheetFormatPr defaultRowHeight="13.5"/>
  <cols>
    <col min="7" max="7" width="10.5" customWidth="1"/>
  </cols>
  <sheetData>
    <row r="1" spans="1:7" ht="14.25" thickBot="1">
      <c r="A1" s="3463">
        <v>43972.49</v>
      </c>
      <c r="B1" s="3464">
        <v>124207</v>
      </c>
      <c r="C1" s="3465">
        <v>2202.6999999999998</v>
      </c>
      <c r="D1" s="3465">
        <v>9960.51</v>
      </c>
      <c r="E1" s="3465">
        <v>33875.01</v>
      </c>
      <c r="F1" s="3465">
        <v>2536.31</v>
      </c>
      <c r="G1">
        <f>SUM(B1:F1)</f>
        <v>172781.53</v>
      </c>
    </row>
    <row r="2" spans="1:7" ht="14.25" thickBot="1">
      <c r="A2" s="3466">
        <v>61677.15</v>
      </c>
      <c r="B2" s="3467">
        <v>175210</v>
      </c>
      <c r="C2" s="3468">
        <v>13469.99</v>
      </c>
      <c r="D2" s="3468">
        <v>3219</v>
      </c>
      <c r="E2" s="3468">
        <v>49442.47</v>
      </c>
      <c r="F2" s="3468">
        <v>3947.04</v>
      </c>
      <c r="G2">
        <f>SUM(B2:F2)</f>
        <v>245288.5</v>
      </c>
    </row>
    <row r="3" spans="1:7">
      <c r="A3" s="3469">
        <f>SUM(A1:A2)</f>
        <v>105649.64</v>
      </c>
      <c r="B3" s="3469">
        <f t="shared" ref="B3:G3" si="0">SUM(B1:B2)</f>
        <v>299417</v>
      </c>
      <c r="C3" s="3469">
        <f t="shared" si="0"/>
        <v>15672.689999999999</v>
      </c>
      <c r="D3" s="3469">
        <f t="shared" si="0"/>
        <v>13179.51</v>
      </c>
      <c r="E3" s="3469">
        <f t="shared" si="0"/>
        <v>83317.48000000001</v>
      </c>
      <c r="F3" s="3469">
        <f t="shared" si="0"/>
        <v>6483.35</v>
      </c>
      <c r="G3" s="3469">
        <f t="shared" si="0"/>
        <v>418070.03</v>
      </c>
    </row>
  </sheetData>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5" t="s">
        <v>2036</v>
      </c>
      <c r="B1" s="3475"/>
      <c r="C1" s="3475"/>
      <c r="D1" s="3475"/>
      <c r="E1" s="3475"/>
      <c r="F1" s="3475"/>
      <c r="G1" s="3475"/>
      <c r="H1" s="3475"/>
      <c r="I1" s="3475"/>
      <c r="J1" s="3475"/>
      <c r="K1" s="3475"/>
      <c r="L1" s="3475"/>
      <c r="M1" s="3475"/>
      <c r="N1" s="3475"/>
      <c r="O1" s="3475"/>
      <c r="P1" s="3475"/>
      <c r="Q1" s="3475"/>
      <c r="R1" s="3475"/>
    </row>
    <row r="2" spans="1:18">
      <c r="A2" s="1790" t="s">
        <v>2038</v>
      </c>
      <c r="B2" s="1790"/>
      <c r="C2" s="1790"/>
      <c r="D2" s="1790"/>
      <c r="E2" s="1790"/>
      <c r="F2" s="1790"/>
      <c r="G2" s="1790"/>
      <c r="H2" s="1790"/>
      <c r="I2" s="1791"/>
      <c r="J2" s="1791"/>
      <c r="K2" s="1792" t="str">
        <f>"估价期日："&amp;TEXT(项目基本情况!D3,"yyyy年m月d日;;")</f>
        <v>估价期日：2020年5月14日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476" t="s">
        <v>2027</v>
      </c>
      <c r="B3" s="3476" t="s">
        <v>2727</v>
      </c>
      <c r="C3" s="3477" t="s">
        <v>2028</v>
      </c>
      <c r="D3" s="3476" t="s">
        <v>2731</v>
      </c>
      <c r="E3" s="3471" t="s">
        <v>2029</v>
      </c>
      <c r="F3" s="3471"/>
      <c r="G3" s="3471"/>
      <c r="H3" s="3471" t="s">
        <v>2030</v>
      </c>
      <c r="I3" s="3471"/>
      <c r="J3" s="3471"/>
      <c r="K3" s="3477" t="s">
        <v>2031</v>
      </c>
      <c r="L3" s="3477" t="s">
        <v>2032</v>
      </c>
      <c r="M3" s="3476" t="s">
        <v>2728</v>
      </c>
      <c r="N3" s="3478" t="str">
        <f>"（分摊）"&amp;项目基本情况!B16&amp;"国有建设用地使用权面积/㎡"</f>
        <v>（分摊）出让国有建设用地使用权面积/㎡</v>
      </c>
      <c r="O3" s="3476" t="s">
        <v>2061</v>
      </c>
      <c r="P3" s="3477" t="s">
        <v>2041</v>
      </c>
      <c r="Q3" s="3477" t="s">
        <v>2062</v>
      </c>
      <c r="R3" s="3477" t="s">
        <v>2033</v>
      </c>
    </row>
    <row r="4" spans="1:18" ht="36.75" customHeight="1">
      <c r="A4" s="3476"/>
      <c r="B4" s="3476"/>
      <c r="C4" s="3477"/>
      <c r="D4" s="3476"/>
      <c r="E4" s="2609" t="s">
        <v>2040</v>
      </c>
      <c r="F4" s="2609" t="s">
        <v>2740</v>
      </c>
      <c r="G4" s="2609" t="s">
        <v>2034</v>
      </c>
      <c r="H4" s="2609" t="s">
        <v>2035</v>
      </c>
      <c r="I4" s="2609" t="s">
        <v>2741</v>
      </c>
      <c r="J4" s="2609" t="s">
        <v>2034</v>
      </c>
      <c r="K4" s="3477"/>
      <c r="L4" s="3477"/>
      <c r="M4" s="3476"/>
      <c r="N4" s="3478"/>
      <c r="O4" s="3476"/>
      <c r="P4" s="3477"/>
      <c r="Q4" s="3477"/>
      <c r="R4" s="3477"/>
    </row>
    <row r="5" spans="1:18" ht="135" customHeight="1">
      <c r="A5" s="1926" t="s">
        <v>2651</v>
      </c>
      <c r="B5" s="2818" t="s">
        <v>2649</v>
      </c>
      <c r="C5" s="2608">
        <v>22</v>
      </c>
      <c r="D5" s="2607" t="s">
        <v>2650</v>
      </c>
      <c r="E5" s="1793" t="str">
        <f>项目基本情况!B12</f>
        <v>城镇住宅用地</v>
      </c>
      <c r="F5" s="2607">
        <v>258</v>
      </c>
      <c r="G5" s="1793" t="str">
        <f>项目基本情况!B13</f>
        <v>城镇住宅用地</v>
      </c>
      <c r="H5" s="2607">
        <v>1.5</v>
      </c>
      <c r="I5" s="2607">
        <v>1.5</v>
      </c>
      <c r="J5" s="2607">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61677.15</v>
      </c>
      <c r="O5" s="1793">
        <f>项目基本情况!C21</f>
        <v>245288.5</v>
      </c>
      <c r="P5" s="1793">
        <f ca="1">结果表!E42</f>
        <v>12894</v>
      </c>
      <c r="Q5" s="1793">
        <f ca="1">结果表!D42</f>
        <v>3242</v>
      </c>
      <c r="R5" s="1794">
        <f ca="1">结果表!C42</f>
        <v>79525</v>
      </c>
    </row>
    <row r="6" spans="1:18">
      <c r="A6" s="3472" t="str">
        <f>IF(项目基本情况!B9="市场价格","——","抵押价格")</f>
        <v>抵押价格</v>
      </c>
      <c r="B6" s="3473"/>
      <c r="C6" s="3473"/>
      <c r="D6" s="3473"/>
      <c r="E6" s="3473"/>
      <c r="F6" s="3473"/>
      <c r="G6" s="3473"/>
      <c r="H6" s="3473"/>
      <c r="I6" s="3473"/>
      <c r="J6" s="3473"/>
      <c r="K6" s="3473"/>
      <c r="L6" s="3473"/>
      <c r="M6" s="3473"/>
      <c r="N6" s="3473"/>
      <c r="O6" s="3473"/>
      <c r="P6" s="3473"/>
      <c r="Q6" s="3474"/>
      <c r="R6" s="1795">
        <f ca="1">结果表!O39</f>
        <v>79525</v>
      </c>
    </row>
    <row r="7" spans="1:18">
      <c r="A7" s="3472" t="str">
        <f>IF(项目基本情况!B9="市场价格","——",IF(项目基本情况!E8="已注销及未注销","抵押担保权已注销时的抵押价格","——"))</f>
        <v>——</v>
      </c>
      <c r="B7" s="3473"/>
      <c r="C7" s="3473"/>
      <c r="D7" s="3473"/>
      <c r="E7" s="3473"/>
      <c r="F7" s="3473"/>
      <c r="G7" s="3473"/>
      <c r="H7" s="3473"/>
      <c r="I7" s="3473"/>
      <c r="J7" s="3473"/>
      <c r="K7" s="3473"/>
      <c r="L7" s="3473"/>
      <c r="M7" s="3473"/>
      <c r="N7" s="3473"/>
      <c r="O7" s="3473"/>
      <c r="P7" s="3473"/>
      <c r="Q7" s="3474"/>
      <c r="R7" s="1795" t="str">
        <f>结果表!O40</f>
        <v>——</v>
      </c>
    </row>
    <row r="8" spans="1:18">
      <c r="A8" s="3472" t="str">
        <f>IF(项目基本情况!B9="市场价格","——",项目基本情况!E9)</f>
        <v>——</v>
      </c>
      <c r="B8" s="3473"/>
      <c r="C8" s="3473"/>
      <c r="D8" s="3473"/>
      <c r="E8" s="3473"/>
      <c r="F8" s="3473"/>
      <c r="G8" s="3473"/>
      <c r="H8" s="3473"/>
      <c r="I8" s="3473"/>
      <c r="J8" s="3473"/>
      <c r="K8" s="3473"/>
      <c r="L8" s="3473"/>
      <c r="M8" s="3473"/>
      <c r="N8" s="3473"/>
      <c r="O8" s="3473"/>
      <c r="P8" s="3473"/>
      <c r="Q8" s="3474"/>
      <c r="R8" s="1795" t="str">
        <f>结果表!O41</f>
        <v>——</v>
      </c>
    </row>
    <row r="9" spans="1:18">
      <c r="A9" s="1796" t="s">
        <v>2039</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2026</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479" t="s">
        <v>2063</v>
      </c>
      <c r="B1" s="3479"/>
      <c r="C1" s="3479"/>
      <c r="D1" s="3479"/>
    </row>
    <row r="2" spans="1:4" ht="47.25" customHeight="1">
      <c r="A2" s="3483" t="str">
        <f>"1.权利限制："&amp;项目基本情况!L24&amp;"未设定租赁等其他他项权利。"</f>
        <v>1.权利限制：根据估价对象《不动产权证书》原件、《国有土地使用权》复印件，截至估价期日，估价对象抵押权未见登记。未设定租赁等其他他项权利。</v>
      </c>
      <c r="B2" s="3483"/>
      <c r="C2" s="3483"/>
      <c r="D2" s="3483"/>
    </row>
    <row r="3" spans="1:4" ht="48" customHeight="1">
      <c r="A3" s="34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9"/>
      <c r="C3" s="3479"/>
      <c r="D3" s="3479"/>
    </row>
    <row r="4" spans="1:4" ht="36.75" customHeight="1">
      <c r="A4" s="3479" t="str">
        <f>"3.估价规划限制条件：详见"&amp;项目基本情况!E21&amp;"。"</f>
        <v>3.估价规划限制条件：详见《建设工程规划许可证》[]、《出让合同》[]。</v>
      </c>
      <c r="B4" s="3479"/>
      <c r="C4" s="3479"/>
      <c r="D4" s="3479"/>
    </row>
    <row r="5" spans="1:4">
      <c r="A5" s="3482" t="s">
        <v>2064</v>
      </c>
      <c r="B5" s="3482"/>
      <c r="C5" s="3482"/>
      <c r="D5" s="3482"/>
    </row>
    <row r="6" spans="1:4">
      <c r="A6" s="3479" t="s">
        <v>2042</v>
      </c>
      <c r="B6" s="3479"/>
      <c r="C6" s="3479"/>
      <c r="D6" s="3479"/>
    </row>
    <row r="7" spans="1:4" ht="33" customHeight="1">
      <c r="A7" s="3479" t="s">
        <v>2571</v>
      </c>
      <c r="B7" s="3479"/>
      <c r="C7" s="3479"/>
      <c r="D7" s="3479"/>
    </row>
    <row r="8" spans="1:4" ht="32.25" customHeight="1">
      <c r="A8" s="34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79"/>
      <c r="C8" s="3479"/>
      <c r="D8" s="3479"/>
    </row>
    <row r="9" spans="1:4" ht="33.75" customHeight="1">
      <c r="A9" s="34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79"/>
      <c r="C9" s="3479"/>
      <c r="D9" s="3479"/>
    </row>
    <row r="10" spans="1:4">
      <c r="A10" s="3479" t="str">
        <f>IF(项目基本情况!B8="抵押","4.估价师所知悉的法定优先受偿款情况为：","——")</f>
        <v>4.估价师所知悉的法定优先受偿款情况为：</v>
      </c>
      <c r="B10" s="3479"/>
      <c r="C10" s="3479"/>
      <c r="D10" s="3479"/>
    </row>
    <row r="11" spans="1:4" ht="37.5" customHeight="1">
      <c r="A11" s="34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1"/>
      <c r="C11" s="3481"/>
      <c r="D11" s="3481"/>
    </row>
    <row r="12" spans="1:4" ht="168" customHeight="1">
      <c r="A12" s="3482" t="s">
        <v>2066</v>
      </c>
      <c r="B12" s="3482"/>
      <c r="C12" s="3482"/>
      <c r="D12" s="3482"/>
    </row>
    <row r="13" spans="1:4">
      <c r="A13" s="3480" t="s">
        <v>2742</v>
      </c>
      <c r="B13" s="3480"/>
      <c r="C13" s="3480"/>
      <c r="D13" s="3480"/>
    </row>
    <row r="14" spans="1:4">
      <c r="A14" s="3481" t="str">
        <f>IF(项目基本情况!B8="抵押","综上，"&amp;结果表!K47,"——")</f>
        <v>综上，本次评估不存在估价师知悉的法定优先受偿款</v>
      </c>
      <c r="B14" s="3481"/>
      <c r="C14" s="3481"/>
      <c r="D14" s="3481"/>
    </row>
    <row r="15" spans="1:4" ht="58.5" customHeight="1">
      <c r="A15" s="34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9"/>
      <c r="C15" s="3479"/>
      <c r="D15" s="3479"/>
    </row>
    <row r="16" spans="1:4" ht="70.5" customHeight="1">
      <c r="A16" s="34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9"/>
      <c r="C16" s="3479"/>
      <c r="D16" s="3479"/>
    </row>
    <row r="17" spans="1:4">
      <c r="A17" s="3479" t="s">
        <v>2698</v>
      </c>
      <c r="B17" s="3479"/>
      <c r="C17" s="3479"/>
      <c r="D17" s="3479"/>
    </row>
    <row r="18" spans="1:4">
      <c r="A18" s="3479" t="s">
        <v>2690</v>
      </c>
      <c r="B18" s="3479"/>
      <c r="C18" s="3479"/>
      <c r="D18" s="3479"/>
    </row>
    <row r="19" spans="1:4">
      <c r="A19" s="2819" t="s">
        <v>2691</v>
      </c>
      <c r="B19" s="2819" t="s">
        <v>2692</v>
      </c>
      <c r="C19" s="2819" t="s">
        <v>2693</v>
      </c>
      <c r="D19" s="2819" t="s">
        <v>2694</v>
      </c>
    </row>
    <row r="20" spans="1:4">
      <c r="A20" s="2819" t="str">
        <f>项目基本情况!B4</f>
        <v>吴薇</v>
      </c>
      <c r="B20" s="2819">
        <f ca="1">项目基本情况!C4</f>
        <v>2002110125</v>
      </c>
      <c r="C20" s="2821"/>
      <c r="D20" s="1783" t="s">
        <v>2699</v>
      </c>
    </row>
    <row r="21" spans="1:4">
      <c r="A21" s="2819" t="str">
        <f>项目基本情况!D4</f>
        <v>郑燚</v>
      </c>
      <c r="B21" s="2819">
        <f ca="1">项目基本情况!E4</f>
        <v>2014110011</v>
      </c>
      <c r="C21" s="2821"/>
      <c r="D21" s="1783" t="s">
        <v>2700</v>
      </c>
    </row>
    <row r="23" spans="1:4">
      <c r="A23" s="3479" t="s">
        <v>2695</v>
      </c>
      <c r="B23" s="3479"/>
      <c r="C23" s="3479"/>
      <c r="D23" s="3479"/>
    </row>
    <row r="24" spans="1:4">
      <c r="A24" s="2819" t="s">
        <v>2691</v>
      </c>
      <c r="B24" s="2819" t="s">
        <v>2696</v>
      </c>
      <c r="C24" s="2819" t="s">
        <v>2693</v>
      </c>
      <c r="D24" s="2819" t="s">
        <v>2694</v>
      </c>
    </row>
    <row r="25" spans="1:4">
      <c r="A25" s="2822" t="s">
        <v>2697</v>
      </c>
      <c r="B25" s="2819" t="s">
        <v>952</v>
      </c>
      <c r="C25" s="2821"/>
      <c r="D25" s="1783" t="s">
        <v>2700</v>
      </c>
    </row>
    <row r="29" spans="1:4">
      <c r="D29" s="2820" t="s">
        <v>2037</v>
      </c>
    </row>
    <row r="30" spans="1:4">
      <c r="D30" s="282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491" t="s">
        <v>53</v>
      </c>
      <c r="B15" s="3492" t="s">
        <v>846</v>
      </c>
      <c r="C15" s="3488"/>
    </row>
    <row r="16" spans="1:7" ht="14.25">
      <c r="A16" s="3491"/>
      <c r="B16" s="3489" t="s">
        <v>54</v>
      </c>
      <c r="C16" s="1165" t="s">
        <v>53</v>
      </c>
    </row>
    <row r="17" spans="1:3" ht="14.25">
      <c r="A17" s="3491"/>
      <c r="B17" s="3489"/>
      <c r="C17" s="1165" t="s">
        <v>55</v>
      </c>
    </row>
    <row r="18" spans="1:3" ht="14.25">
      <c r="A18" s="3491"/>
      <c r="B18" s="3489"/>
      <c r="C18" s="1165" t="s">
        <v>56</v>
      </c>
    </row>
    <row r="19" spans="1:3" ht="14.25">
      <c r="A19" s="3491"/>
      <c r="B19" s="3487" t="s">
        <v>57</v>
      </c>
      <c r="C19" s="3488"/>
    </row>
    <row r="20" spans="1:3" ht="14.25">
      <c r="A20" s="1166" t="s">
        <v>58</v>
      </c>
      <c r="B20" s="1167"/>
      <c r="C20" s="1168"/>
    </row>
    <row r="21" spans="1:3" ht="14.25">
      <c r="A21" s="3490" t="s">
        <v>59</v>
      </c>
      <c r="B21" s="3487" t="s">
        <v>60</v>
      </c>
      <c r="C21" s="3488"/>
    </row>
    <row r="22" spans="1:3" ht="14.25">
      <c r="A22" s="3490"/>
      <c r="B22" s="3487" t="s">
        <v>61</v>
      </c>
      <c r="C22" s="3488"/>
    </row>
    <row r="23" spans="1:3" ht="14.25">
      <c r="A23" s="3490"/>
      <c r="B23" s="3487" t="s">
        <v>62</v>
      </c>
      <c r="C23" s="3488"/>
    </row>
    <row r="24" spans="1:3" ht="14.25">
      <c r="A24" s="3490"/>
      <c r="B24" s="3493" t="s">
        <v>63</v>
      </c>
      <c r="C24" s="1169" t="s">
        <v>837</v>
      </c>
    </row>
    <row r="25" spans="1:3" ht="14.25">
      <c r="A25" s="3490"/>
      <c r="B25" s="3494"/>
      <c r="C25" s="1169" t="s">
        <v>838</v>
      </c>
    </row>
    <row r="26" spans="1:3" ht="14.25">
      <c r="A26" s="3490"/>
      <c r="B26" s="3494"/>
      <c r="C26" s="1169" t="s">
        <v>839</v>
      </c>
    </row>
    <row r="27" spans="1:3" ht="14.25">
      <c r="A27" s="3490"/>
      <c r="B27" s="3494"/>
      <c r="C27" s="1169" t="s">
        <v>840</v>
      </c>
    </row>
    <row r="28" spans="1:3" ht="14.25">
      <c r="A28" s="3490"/>
      <c r="B28" s="3494"/>
      <c r="C28" s="1169" t="s">
        <v>841</v>
      </c>
    </row>
    <row r="29" spans="1:3" ht="14.25">
      <c r="A29" s="3490"/>
      <c r="B29" s="3494"/>
      <c r="C29" s="1169" t="s">
        <v>842</v>
      </c>
    </row>
    <row r="30" spans="1:3" ht="14.25">
      <c r="A30" s="3490"/>
      <c r="B30" s="3494"/>
      <c r="C30" s="1169" t="s">
        <v>843</v>
      </c>
    </row>
    <row r="31" spans="1:3" ht="14.25">
      <c r="A31" s="3490"/>
      <c r="B31" s="3494"/>
      <c r="C31" s="1169" t="s">
        <v>844</v>
      </c>
    </row>
    <row r="32" spans="1:3" ht="14.25">
      <c r="A32" s="3490"/>
      <c r="B32" s="3494"/>
      <c r="C32" s="1169" t="s">
        <v>1646</v>
      </c>
    </row>
    <row r="33" spans="1:3" ht="14.25">
      <c r="A33" s="3490"/>
      <c r="B33" s="3484" t="s">
        <v>1652</v>
      </c>
      <c r="C33" s="1169" t="s">
        <v>1647</v>
      </c>
    </row>
    <row r="34" spans="1:3" ht="14.25">
      <c r="A34" s="3490"/>
      <c r="B34" s="3485"/>
      <c r="C34" s="1174" t="s">
        <v>1648</v>
      </c>
    </row>
    <row r="35" spans="1:3" ht="14.25">
      <c r="A35" s="3490"/>
      <c r="B35" s="3485"/>
      <c r="C35" s="1175" t="s">
        <v>1649</v>
      </c>
    </row>
    <row r="36" spans="1:3" ht="14.25">
      <c r="A36" s="3490"/>
      <c r="B36" s="3485"/>
      <c r="C36" s="1175" t="s">
        <v>1650</v>
      </c>
    </row>
    <row r="37" spans="1:3" ht="14.25">
      <c r="A37" s="3490"/>
      <c r="B37" s="3486"/>
      <c r="C37" s="1176" t="s">
        <v>1651</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43969</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2975</v>
      </c>
      <c r="B14" s="3127">
        <f ca="1">IF(C14&lt;B2,"已过期",1120040230)</f>
        <v>1120040230</v>
      </c>
      <c r="C14" s="3131">
        <v>44864</v>
      </c>
      <c r="D14" s="3132" t="s">
        <v>2976</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2989</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2991</v>
      </c>
      <c r="B23" s="3127">
        <v>1119980106</v>
      </c>
      <c r="C23" s="3129">
        <v>44969</v>
      </c>
      <c r="D23" s="3127"/>
      <c r="E23" s="3127"/>
      <c r="F23" s="3127"/>
    </row>
    <row r="24" spans="1:7" s="3135" customFormat="1" ht="20.25" customHeight="1">
      <c r="A24" s="3126" t="s">
        <v>2051</v>
      </c>
      <c r="B24" s="3126" t="s">
        <v>2051</v>
      </c>
      <c r="C24" s="3129"/>
      <c r="D24" s="3134" t="s">
        <v>2051</v>
      </c>
      <c r="E24" s="3126" t="s">
        <v>2051</v>
      </c>
      <c r="F24" s="3133"/>
    </row>
    <row r="25" spans="1:7" ht="20.25" customHeight="1">
      <c r="A25" s="3495" t="s">
        <v>1924</v>
      </c>
      <c r="B25" s="3495"/>
      <c r="C25" s="3495"/>
      <c r="D25" s="3495"/>
      <c r="E25" s="3495"/>
      <c r="F25" s="3495"/>
      <c r="G25" s="3495"/>
    </row>
    <row r="26" spans="1:7" ht="20.25" customHeight="1">
      <c r="A26" s="3496" t="s">
        <v>1925</v>
      </c>
      <c r="B26" s="3496"/>
      <c r="C26" s="3496"/>
      <c r="D26" s="3496" t="s">
        <v>1926</v>
      </c>
      <c r="E26" s="3496"/>
      <c r="F26" s="3496"/>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2990</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3" priority="149">
      <formula>AND($C24-TODAY()&lt;30,TODAY()&lt;$C24)</formula>
    </cfRule>
  </conditionalFormatting>
  <conditionalFormatting sqref="C28">
    <cfRule type="expression" dxfId="212" priority="148">
      <formula>AND($C28-TODAY()&lt;30,TODAY()&lt;$C28)</formula>
    </cfRule>
  </conditionalFormatting>
  <conditionalFormatting sqref="C28 F4">
    <cfRule type="cellIs" dxfId="211" priority="150" stopIfTrue="1" operator="lessThan">
      <formula>$B$2</formula>
    </cfRule>
  </conditionalFormatting>
  <conditionalFormatting sqref="F5">
    <cfRule type="cellIs" dxfId="210" priority="146" stopIfTrue="1" operator="lessThan">
      <formula>$B$2</formula>
    </cfRule>
  </conditionalFormatting>
  <conditionalFormatting sqref="F6 F8 F10">
    <cfRule type="cellIs" dxfId="209" priority="144" stopIfTrue="1" operator="lessThan">
      <formula>$B$2</formula>
    </cfRule>
  </conditionalFormatting>
  <conditionalFormatting sqref="C24:D24">
    <cfRule type="expression" dxfId="208" priority="142">
      <formula>AND($C24-TODAY()&lt;30,TODAY()&lt;$C24)</formula>
    </cfRule>
  </conditionalFormatting>
  <conditionalFormatting sqref="F7 F9 F11 C24:D24">
    <cfRule type="cellIs" dxfId="207" priority="143" stopIfTrue="1" operator="lessThan">
      <formula>$B$2</formula>
    </cfRule>
  </conditionalFormatting>
  <conditionalFormatting sqref="F22">
    <cfRule type="cellIs" dxfId="206" priority="114" stopIfTrue="1" operator="lessThan">
      <formula>$B$2</formula>
    </cfRule>
  </conditionalFormatting>
  <conditionalFormatting sqref="F21">
    <cfRule type="cellIs" dxfId="205" priority="113" stopIfTrue="1" operator="lessThan">
      <formula>$B$2</formula>
    </cfRule>
  </conditionalFormatting>
  <conditionalFormatting sqref="B4:B11 E4:E11 E19:E23 B17 B13 E13 B19:B23">
    <cfRule type="cellIs" dxfId="204" priority="111" stopIfTrue="1" operator="equal">
      <formula>"已过期"</formula>
    </cfRule>
  </conditionalFormatting>
  <conditionalFormatting sqref="F28">
    <cfRule type="cellIs" dxfId="203" priority="108" stopIfTrue="1" operator="lessThan">
      <formula>$B$2</formula>
    </cfRule>
  </conditionalFormatting>
  <conditionalFormatting sqref="F28">
    <cfRule type="expression" dxfId="202" priority="152">
      <formula>AND($E28-TODAY()&lt;30,TODAY()&lt;$E28)</formula>
    </cfRule>
  </conditionalFormatting>
  <conditionalFormatting sqref="C5">
    <cfRule type="expression" dxfId="201" priority="103">
      <formula>AND($C5-TODAY()&lt;30,TODAY()&lt;$C5)</formula>
    </cfRule>
  </conditionalFormatting>
  <conditionalFormatting sqref="C5">
    <cfRule type="cellIs" dxfId="200" priority="104" stopIfTrue="1" operator="lessThan">
      <formula>$B$2</formula>
    </cfRule>
  </conditionalFormatting>
  <conditionalFormatting sqref="C5:C6">
    <cfRule type="expression" dxfId="199" priority="101">
      <formula>AND($C5-TODAY()&lt;30,TODAY()&lt;$C5)</formula>
    </cfRule>
  </conditionalFormatting>
  <conditionalFormatting sqref="C5:C6">
    <cfRule type="cellIs" dxfId="198" priority="102" stopIfTrue="1" operator="lessThan">
      <formula>$B$2</formula>
    </cfRule>
  </conditionalFormatting>
  <conditionalFormatting sqref="C7">
    <cfRule type="expression" dxfId="197" priority="82">
      <formula>AND($C7-TODAY()&lt;30,TODAY()&lt;$C7)</formula>
    </cfRule>
  </conditionalFormatting>
  <conditionalFormatting sqref="C7">
    <cfRule type="cellIs" dxfId="196" priority="83" stopIfTrue="1" operator="lessThan">
      <formula>$B$2</formula>
    </cfRule>
  </conditionalFormatting>
  <conditionalFormatting sqref="C13 C23 C17 C19:C21">
    <cfRule type="expression" dxfId="195" priority="80">
      <formula>AND($C13-TODAY()&lt;30,TODAY()&lt;$C13)</formula>
    </cfRule>
  </conditionalFormatting>
  <conditionalFormatting sqref="C13 C23 C17 C19:C21">
    <cfRule type="cellIs" dxfId="194" priority="81" stopIfTrue="1" operator="lessThan">
      <formula>$B$2</formula>
    </cfRule>
  </conditionalFormatting>
  <conditionalFormatting sqref="F13">
    <cfRule type="cellIs" dxfId="193" priority="79" stopIfTrue="1" operator="lessThan">
      <formula>$B$2</formula>
    </cfRule>
  </conditionalFormatting>
  <conditionalFormatting sqref="F12">
    <cfRule type="cellIs" dxfId="192" priority="71" stopIfTrue="1" operator="lessThan">
      <formula>$B$2</formula>
    </cfRule>
  </conditionalFormatting>
  <conditionalFormatting sqref="B12 E12">
    <cfRule type="cellIs" dxfId="191" priority="70" stopIfTrue="1" operator="equal">
      <formula>"已过期"</formula>
    </cfRule>
  </conditionalFormatting>
  <conditionalFormatting sqref="C12">
    <cfRule type="expression" dxfId="190" priority="68">
      <formula>AND($C12-TODAY()&lt;30,TODAY()&lt;$C12)</formula>
    </cfRule>
  </conditionalFormatting>
  <conditionalFormatting sqref="C12">
    <cfRule type="cellIs" dxfId="189" priority="69" stopIfTrue="1" operator="lessThan">
      <formula>$B$2</formula>
    </cfRule>
  </conditionalFormatting>
  <conditionalFormatting sqref="C22">
    <cfRule type="expression" dxfId="188" priority="60">
      <formula>AND($C22-TODAY()&lt;30,TODAY()&lt;$C22)</formula>
    </cfRule>
  </conditionalFormatting>
  <conditionalFormatting sqref="C22">
    <cfRule type="cellIs" dxfId="187" priority="61" stopIfTrue="1" operator="lessThan">
      <formula>$B$2</formula>
    </cfRule>
  </conditionalFormatting>
  <conditionalFormatting sqref="C16">
    <cfRule type="expression" dxfId="186" priority="58">
      <formula>AND($C16-TODAY()&lt;30,TODAY()&lt;$C16)</formula>
    </cfRule>
  </conditionalFormatting>
  <conditionalFormatting sqref="C16">
    <cfRule type="cellIs" dxfId="185" priority="59" stopIfTrue="1" operator="lessThan">
      <formula>$B$2</formula>
    </cfRule>
  </conditionalFormatting>
  <conditionalFormatting sqref="C16">
    <cfRule type="expression" dxfId="184" priority="56">
      <formula>AND($C16-TODAY()&lt;30,TODAY()&lt;$C16)</formula>
    </cfRule>
  </conditionalFormatting>
  <conditionalFormatting sqref="C16">
    <cfRule type="cellIs" dxfId="183" priority="57" stopIfTrue="1" operator="lessThan">
      <formula>$B$2</formula>
    </cfRule>
  </conditionalFormatting>
  <conditionalFormatting sqref="B16">
    <cfRule type="cellIs" dxfId="182" priority="55" stopIfTrue="1" operator="equal">
      <formula>"已过期"</formula>
    </cfRule>
  </conditionalFormatting>
  <conditionalFormatting sqref="C14:C15">
    <cfRule type="expression" dxfId="181" priority="53">
      <formula>AND($C14-TODAY()&lt;30,TODAY()&lt;$C14)</formula>
    </cfRule>
  </conditionalFormatting>
  <conditionalFormatting sqref="C14:C15">
    <cfRule type="cellIs" dxfId="180" priority="54" stopIfTrue="1" operator="lessThan">
      <formula>$B$2</formula>
    </cfRule>
  </conditionalFormatting>
  <conditionalFormatting sqref="C14">
    <cfRule type="expression" dxfId="179" priority="51">
      <formula>AND($C14-TODAY()&lt;30,TODAY()&lt;$C14)</formula>
    </cfRule>
  </conditionalFormatting>
  <conditionalFormatting sqref="C14">
    <cfRule type="cellIs" dxfId="178" priority="52" stopIfTrue="1" operator="lessThan">
      <formula>$B$2</formula>
    </cfRule>
  </conditionalFormatting>
  <conditionalFormatting sqref="C15">
    <cfRule type="expression" dxfId="177" priority="49">
      <formula>AND($C15-TODAY()&lt;30,TODAY()&lt;$C15)</formula>
    </cfRule>
  </conditionalFormatting>
  <conditionalFormatting sqref="C15">
    <cfRule type="cellIs" dxfId="176" priority="50" stopIfTrue="1" operator="lessThan">
      <formula>$B$2</formula>
    </cfRule>
  </conditionalFormatting>
  <conditionalFormatting sqref="B14">
    <cfRule type="cellIs" dxfId="175" priority="48" stopIfTrue="1" operator="equal">
      <formula>"已过期"</formula>
    </cfRule>
  </conditionalFormatting>
  <conditionalFormatting sqref="B15">
    <cfRule type="cellIs" dxfId="174" priority="47" stopIfTrue="1" operator="equal">
      <formula>"已过期"</formula>
    </cfRule>
  </conditionalFormatting>
  <conditionalFormatting sqref="A15">
    <cfRule type="cellIs" dxfId="173" priority="46" stopIfTrue="1" operator="equal">
      <formula>"已过期"</formula>
    </cfRule>
  </conditionalFormatting>
  <conditionalFormatting sqref="C15">
    <cfRule type="expression" dxfId="172" priority="45">
      <formula>AND($C15-TODAY()&lt;30,TODAY()&lt;$C15)</formula>
    </cfRule>
  </conditionalFormatting>
  <conditionalFormatting sqref="F16">
    <cfRule type="cellIs" dxfId="171" priority="44" stopIfTrue="1" operator="lessThan">
      <formula>$B$2</formula>
    </cfRule>
  </conditionalFormatting>
  <conditionalFormatting sqref="E16">
    <cfRule type="cellIs" dxfId="170" priority="43" stopIfTrue="1" operator="equal">
      <formula>"已过期"</formula>
    </cfRule>
  </conditionalFormatting>
  <conditionalFormatting sqref="E15">
    <cfRule type="cellIs" dxfId="169" priority="42" stopIfTrue="1" operator="equal">
      <formula>"已过期"</formula>
    </cfRule>
  </conditionalFormatting>
  <conditionalFormatting sqref="D15">
    <cfRule type="cellIs" dxfId="168" priority="41" stopIfTrue="1" operator="equal">
      <formula>"已过期"</formula>
    </cfRule>
  </conditionalFormatting>
  <conditionalFormatting sqref="F17">
    <cfRule type="cellIs" dxfId="167" priority="40" stopIfTrue="1" operator="lessThan">
      <formula>$B$2</formula>
    </cfRule>
  </conditionalFormatting>
  <conditionalFormatting sqref="E17">
    <cfRule type="cellIs" dxfId="166" priority="39" stopIfTrue="1" operator="equal">
      <formula>"已过期"</formula>
    </cfRule>
  </conditionalFormatting>
  <conditionalFormatting sqref="E14">
    <cfRule type="cellIs" dxfId="165" priority="38" stopIfTrue="1" operator="equal">
      <formula>"已过期"</formula>
    </cfRule>
  </conditionalFormatting>
  <conditionalFormatting sqref="F14">
    <cfRule type="cellIs" dxfId="164" priority="37" stopIfTrue="1" operator="lessThan">
      <formula>$B$2</formula>
    </cfRule>
  </conditionalFormatting>
  <conditionalFormatting sqref="C10:C11">
    <cfRule type="expression" dxfId="163" priority="33">
      <formula>AND($C10-TODAY()&lt;30,TODAY()&lt;$C10)</formula>
    </cfRule>
  </conditionalFormatting>
  <conditionalFormatting sqref="C10:C11">
    <cfRule type="cellIs" dxfId="162" priority="34" stopIfTrue="1" operator="lessThan">
      <formula>$B$2</formula>
    </cfRule>
  </conditionalFormatting>
  <conditionalFormatting sqref="C18">
    <cfRule type="expression" dxfId="161" priority="22">
      <formula>AND($C18-TODAY()&lt;30,TODAY()&lt;$C18)</formula>
    </cfRule>
  </conditionalFormatting>
  <conditionalFormatting sqref="C18">
    <cfRule type="cellIs" dxfId="160" priority="23" stopIfTrue="1" operator="lessThan">
      <formula>$B$2</formula>
    </cfRule>
  </conditionalFormatting>
  <conditionalFormatting sqref="C18">
    <cfRule type="expression" dxfId="159" priority="20">
      <formula>AND($C18-TODAY()&lt;30,TODAY()&lt;$C18)</formula>
    </cfRule>
  </conditionalFormatting>
  <conditionalFormatting sqref="C18">
    <cfRule type="cellIs" dxfId="158" priority="21" stopIfTrue="1" operator="lessThan">
      <formula>$B$2</formula>
    </cfRule>
  </conditionalFormatting>
  <conditionalFormatting sqref="B18">
    <cfRule type="cellIs" dxfId="157" priority="19" stopIfTrue="1" operator="equal">
      <formula>"已过期"</formula>
    </cfRule>
  </conditionalFormatting>
  <conditionalFormatting sqref="F18">
    <cfRule type="cellIs" dxfId="156" priority="18" stopIfTrue="1" operator="lessThan">
      <formula>$B$2</formula>
    </cfRule>
  </conditionalFormatting>
  <conditionalFormatting sqref="E18">
    <cfRule type="cellIs" dxfId="155" priority="17" stopIfTrue="1" operator="equal">
      <formula>"已过期"</formula>
    </cfRule>
  </conditionalFormatting>
  <conditionalFormatting sqref="F29">
    <cfRule type="cellIs" dxfId="154" priority="13" stopIfTrue="1" operator="lessThan">
      <formula>$B$2</formula>
    </cfRule>
  </conditionalFormatting>
  <conditionalFormatting sqref="F29">
    <cfRule type="expression" dxfId="153" priority="14">
      <formula>AND($E29-TODAY()&lt;30,TODAY()&lt;$E29)</formula>
    </cfRule>
  </conditionalFormatting>
  <conditionalFormatting sqref="C8:C9">
    <cfRule type="expression" dxfId="152" priority="5">
      <formula>AND($C8-TODAY()&lt;30,TODAY()&lt;$C8)</formula>
    </cfRule>
  </conditionalFormatting>
  <conditionalFormatting sqref="C8:C9">
    <cfRule type="cellIs" dxfId="151" priority="6" stopIfTrue="1" operator="lessThan">
      <formula>$B$2</formula>
    </cfRule>
  </conditionalFormatting>
  <conditionalFormatting sqref="C8:C9">
    <cfRule type="expression" dxfId="150" priority="3">
      <formula>AND($C8-TODAY()&lt;30,TODAY()&lt;$C8)</formula>
    </cfRule>
  </conditionalFormatting>
  <conditionalFormatting sqref="C8:C9">
    <cfRule type="cellIs" dxfId="149" priority="4" stopIfTrue="1" operator="lessThan">
      <formula>$B$2</formula>
    </cfRule>
  </conditionalFormatting>
  <conditionalFormatting sqref="C4">
    <cfRule type="expression" dxfId="148" priority="1">
      <formula>AND($C4-TODAY()&lt;30,TODAY()&lt;$C4)</formula>
    </cfRule>
  </conditionalFormatting>
  <conditionalFormatting sqref="C4">
    <cfRule type="cellIs" dxfId="14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4" sqref="Z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2542</v>
      </c>
      <c r="R1" s="2542" t="s">
        <v>2536</v>
      </c>
      <c r="S1" s="6" t="s">
        <v>146</v>
      </c>
      <c r="T1" s="7" t="s">
        <v>147</v>
      </c>
      <c r="U1" s="6" t="s">
        <v>148</v>
      </c>
      <c r="V1" s="6" t="s">
        <v>149</v>
      </c>
      <c r="W1" s="1001"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2" t="s">
        <v>1640</v>
      </c>
      <c r="C6" s="1537"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2949</v>
      </c>
      <c r="C18" s="1538"/>
    </row>
    <row r="19" spans="1:3">
      <c r="A19" s="8" t="s">
        <v>120</v>
      </c>
      <c r="B19" s="3060" t="s">
        <v>2957</v>
      </c>
      <c r="C19" s="1538"/>
    </row>
    <row r="20" spans="1:3">
      <c r="A20" s="8" t="s">
        <v>121</v>
      </c>
      <c r="B20" s="8" t="s">
        <v>3313</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497"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c r="D53" s="1750"/>
      <c r="E53" s="1750"/>
    </row>
    <row r="54" spans="1:5">
      <c r="A54" s="3497"/>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497"/>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497"/>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497"/>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2"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A1可研指标</vt:lpstr>
      <vt:lpstr>A3地块指标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2020-05-18T01:37:26Z</dcterms:modified>
</cp:coreProperties>
</file>