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omments17.xml" ContentType="application/vnd.openxmlformats-officedocument.spreadsheetml.comments+xml"/>
  <Override PartName="/xl/drawings/drawing4.xml" ContentType="application/vnd.openxmlformats-officedocument.drawing+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24226"/>
  <mc:AlternateContent xmlns:mc="http://schemas.openxmlformats.org/markup-compatibility/2006">
    <mc:Choice Requires="x15">
      <x15ac:absPath xmlns:x15ac="http://schemas.microsoft.com/office/spreadsheetml/2010/11/ac" url="C:\Users\Administrator\Desktop\"/>
    </mc:Choice>
  </mc:AlternateContent>
  <bookViews>
    <workbookView xWindow="0" yWindow="0" windowWidth="13470" windowHeight="9195" tabRatio="860" firstSheet="10" activeTab="23"/>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面积明细" sheetId="87" r:id="rId11"/>
    <sheet name="常用公式" sheetId="78" r:id="rId12"/>
    <sheet name="项目基本情况" sheetId="4" r:id="rId13"/>
    <sheet name="数据-基础表" sheetId="3" r:id="rId14"/>
    <sheet name="数据-汇总表" sheetId="6" r:id="rId15"/>
    <sheet name="数据-取费表" sheetId="1" r:id="rId16"/>
    <sheet name="估价对象房地状况" sheetId="20" r:id="rId17"/>
    <sheet name="系统读取表" sheetId="74" r:id="rId18"/>
    <sheet name="结果表" sheetId="9" r:id="rId19"/>
    <sheet name="成本法" sheetId="68" r:id="rId20"/>
    <sheet name="成本法 (元)" sheetId="69" state="hidden" r:id="rId21"/>
    <sheet name="假设开发法" sheetId="12" state="hidden" r:id="rId22"/>
    <sheet name="基准地价修正" sheetId="43" r:id="rId23"/>
    <sheet name="收益法" sheetId="15" r:id="rId24"/>
    <sheet name="收益法 (元)" sheetId="67" state="hidden" r:id="rId25"/>
    <sheet name="收益法-酒店模型" sheetId="77" state="hidden" r:id="rId26"/>
    <sheet name="收益法 (车位)" sheetId="82" r:id="rId27"/>
    <sheet name="收益法（汇总）" sheetId="70" r:id="rId28"/>
    <sheet name="比较法-住宅" sheetId="21" state="hidden" r:id="rId29"/>
    <sheet name="比较法-商业" sheetId="33" state="hidden" r:id="rId30"/>
    <sheet name="比较法-办公" sheetId="34" r:id="rId31"/>
    <sheet name="租金" sheetId="83" r:id="rId32"/>
    <sheet name="售价" sheetId="84" r:id="rId33"/>
    <sheet name="比较法-工业" sheetId="37" state="hidden" r:id="rId34"/>
    <sheet name="大宗" sheetId="85" r:id="rId35"/>
    <sheet name="案例" sheetId="86" r:id="rId36"/>
    <sheet name="比较法-车位" sheetId="35" state="hidden" r:id="rId37"/>
    <sheet name="比较法-仓储" sheetId="36" state="hidden" r:id="rId38"/>
    <sheet name="土地比较法-住宅、综合" sheetId="39" state="hidden" r:id="rId39"/>
    <sheet name="土地比较法-工业" sheetId="40" state="hidden" r:id="rId40"/>
    <sheet name="典型户型修正" sheetId="31" state="hidden" r:id="rId41"/>
    <sheet name="基准地价（汇总）" sheetId="76" state="hidden" r:id="rId42"/>
    <sheet name="修正" sheetId="45" state="hidden" r:id="rId43"/>
    <sheet name="容积率修正" sheetId="46" state="hidden" r:id="rId44"/>
    <sheet name="成本法（废）" sheetId="11" state="hidden" r:id="rId45"/>
    <sheet name="区片价" sheetId="44" state="hidden" r:id="rId46"/>
    <sheet name="因素修正幅度" sheetId="65" state="hidden" r:id="rId47"/>
    <sheet name="区片价（范围）" sheetId="75" state="hidden" r:id="rId48"/>
    <sheet name="地价-分区" sheetId="79" state="hidden" r:id="rId49"/>
    <sheet name="地价" sheetId="71" state="hidden" r:id="rId50"/>
    <sheet name="存贷款利率" sheetId="73" state="hidden" r:id="rId51"/>
  </sheets>
  <externalReferences>
    <externalReference r:id="rId52"/>
    <externalReference r:id="rId53"/>
    <externalReference r:id="rId54"/>
  </externalReferences>
  <definedNames>
    <definedName name="_xlnm._FilterDatabase" localSheetId="30" hidden="1">'比较法-办公'!$A$1:$L$50</definedName>
    <definedName name="_xlnm._FilterDatabase" localSheetId="37" hidden="1">'比较法-仓储'!$A$1:$L$37</definedName>
    <definedName name="_xlnm._FilterDatabase" localSheetId="36" hidden="1">'比较法-车位'!$A$1:$L$39</definedName>
    <definedName name="_xlnm._FilterDatabase" localSheetId="33" hidden="1">'比较法-工业'!$A$1:$L$43</definedName>
    <definedName name="_xlnm._FilterDatabase" localSheetId="29" hidden="1">'比较法-商业'!$A$1:$L$49</definedName>
    <definedName name="_xlnm._FilterDatabase" localSheetId="28" hidden="1">'比较法-住宅'!$A$1:$L$49</definedName>
    <definedName name="_xlnm._FilterDatabase" localSheetId="34" hidden="1">大宗!$A$2:$N$143</definedName>
    <definedName name="_xlnm._FilterDatabase" localSheetId="13" hidden="1">'数据-基础表'!$A$12:$AT$587</definedName>
    <definedName name="_xlnm._FilterDatabase" localSheetId="39" hidden="1">'土地比较法-工业'!$A$1:$L$43</definedName>
    <definedName name="_xlnm._FilterDatabase" localSheetId="38" hidden="1">'土地比较法-住宅、综合'!$A$1:$L$48</definedName>
    <definedName name="_xlnm._FilterDatabase" localSheetId="12" hidden="1">项目基本情况!$A$42:$N$42</definedName>
    <definedName name="_xlnm.Print_Area" localSheetId="30">'比较法-办公'!$A$1:$K$55,'比较法-办公'!$A$58:$M$132</definedName>
    <definedName name="_xlnm.Print_Area" localSheetId="37">'比较法-仓储'!$A$1:$K$42,'比较法-仓储'!$A$45:$M$96</definedName>
    <definedName name="_xlnm.Print_Area" localSheetId="36">'比较法-车位'!$A$1:$K$44,'比较法-车位'!$A$47:$M$102</definedName>
    <definedName name="_xlnm.Print_Area" localSheetId="33">'比较法-工业'!$A$1:$K$48,'比较法-工业'!$A$51:$M$113</definedName>
    <definedName name="_xlnm.Print_Area" localSheetId="29">'比较法-商业'!$A$1:$K$54,'比较法-商业'!$A$57:$M$131</definedName>
    <definedName name="_xlnm.Print_Area" localSheetId="28">'比较法-住宅'!$A$1:$K$54,'比较法-住宅'!$A$57:$M$131</definedName>
    <definedName name="_xlnm.Print_Area" localSheetId="19">成本法!$A$1:$G$57</definedName>
    <definedName name="_xlnm.Print_Area" localSheetId="20">'成本法 (元)'!$A$1:$G$57</definedName>
    <definedName name="_xlnm.Print_Area" localSheetId="16">估价对象房地状况!$A$1:$G$24</definedName>
    <definedName name="_xlnm.Print_Area" localSheetId="8">估价师及机构信息!$A$1:$G$22</definedName>
    <definedName name="_xlnm.Print_Area" localSheetId="41">'基准地价（汇总）'!$A$1:$E$13</definedName>
    <definedName name="_xlnm.Print_Area" localSheetId="22">基准地价修正!$A$1:$J$44,基准地价修正!$A$47:$H$101,基准地价修正!$R$1:$V$16</definedName>
    <definedName name="_xlnm.Print_Area" localSheetId="21">假设开发法!$A$1:$K$32</definedName>
    <definedName name="_xlnm.Print_Area" localSheetId="18">结果表!$A$1:$I$127</definedName>
    <definedName name="_xlnm.Print_Area" localSheetId="23">收益法!$A$1:$F$43,收益法!$H$3:$M$29,收益法!$A$46:$F$71,收益法!$I$46:$N$65</definedName>
    <definedName name="_xlnm.Print_Area" localSheetId="26">'收益法 (车位)'!$A$1:$F$43,'收益法 (车位)'!$H$3:$M$29,'收益法 (车位)'!$A$46:$F$71,'收益法 (车位)'!$I$46:$N$65</definedName>
    <definedName name="_xlnm.Print_Area" localSheetId="24">'收益法 (元)'!$A$1:$F$43,'收益法 (元)'!$H$3:$M$29,'收益法 (元)'!$A$45:$F$71,'收益法 (元)'!$I$46:$N$65</definedName>
    <definedName name="_xlnm.Print_Area" localSheetId="27">'收益法（汇总）'!$A$1:$F$13</definedName>
    <definedName name="_xlnm.Print_Area" localSheetId="14">'数据-汇总表'!$A$1:$P$32</definedName>
    <definedName name="_xlnm.Print_Area" localSheetId="39">'土地比较法-工业'!$A$1:$K$61,'土地比较法-工业'!$A$64:$M$121</definedName>
    <definedName name="_xlnm.Print_Area" localSheetId="38">'土地比较法-住宅、综合'!$A$1:$K$65,'土地比较法-住宅、综合'!$A$68:$M$131</definedName>
    <definedName name="_xlnm.Print_Area" localSheetId="17">系统读取表!$A$1:$I$26</definedName>
    <definedName name="_xlnm.Print_Area" localSheetId="12">项目基本情况!$A$1:$I$38</definedName>
    <definedName name="八级">区片价!$P$1:$P$44</definedName>
    <definedName name="办公层高" localSheetId="10">'[1]比较法-办公'!$B$119:$M$119</definedName>
    <definedName name="办公层高">'比较法-办公'!$B$119:$M$119</definedName>
    <definedName name="办公朝向" localSheetId="10">'[1]比较法-办公'!$B$91:$M$91</definedName>
    <definedName name="办公朝向">'比较法-办公'!$B$91:$M$91</definedName>
    <definedName name="办公道路级别" localSheetId="10">'[1]比较法-办公'!$B$87:$M$87</definedName>
    <definedName name="办公道路级别">'比较法-办公'!$B$87:$M$87</definedName>
    <definedName name="办公公共部分装修" localSheetId="10">'[1]比较法-办公'!$B$108:$M$108</definedName>
    <definedName name="办公公共部分装修">'比较法-办公'!$B$108:$M$108</definedName>
    <definedName name="办公基础设施水平" localSheetId="10">'[1]比较法-办公'!$B$117:$M$117</definedName>
    <definedName name="办公基础设施水平">'比较法-办公'!$B$117:$M$117</definedName>
    <definedName name="办公集聚程度" localSheetId="10">[1]定义!$M$1:$M$6</definedName>
    <definedName name="办公集聚程度">定义!$M$1:$M$6</definedName>
    <definedName name="办公建筑结构" localSheetId="10">'[1]比较法-办公'!$B$106:$M$106</definedName>
    <definedName name="办公建筑结构">'比较法-办公'!$B$106:$M$106</definedName>
    <definedName name="办公建筑类型" localSheetId="10">'[1]比较法-办公'!$B$101:$M$101</definedName>
    <definedName name="办公建筑类型">'比较法-办公'!$B$101:$M$101</definedName>
    <definedName name="办公交易情况" localSheetId="10">'[1]比较法-办公'!$A$62:$M$62</definedName>
    <definedName name="办公交易情况">'比较法-办公'!$A$62:$M$62</definedName>
    <definedName name="办公楼层" localSheetId="10">'[1]比较法-办公'!$B$89:$M$89</definedName>
    <definedName name="办公楼层">'比较法-办公'!$B$89:$M$89</definedName>
    <definedName name="办公内部装修" localSheetId="10">'[1]比较法-办公'!$B$123:$M$123</definedName>
    <definedName name="办公内部装修">'比较法-办公'!$B$123:$M$123</definedName>
    <definedName name="办公物业管理" localSheetId="10">'[1]比较法-办公'!$B$115:$M$115</definedName>
    <definedName name="办公物业管理">'比较法-办公'!$B$115:$M$115</definedName>
    <definedName name="办公用途" localSheetId="10">'[1]比较法-办公'!$B$64:$M$64</definedName>
    <definedName name="办公用途">'比较法-办公'!$B$64:$M$64</definedName>
    <definedName name="仓储公共部分装修" localSheetId="10">'[1]比较法-仓储'!$B$77:$M$77</definedName>
    <definedName name="仓储公共部分装修">'比较法-仓储'!$B$77:$M$77</definedName>
    <definedName name="仓储交易情况" localSheetId="10">'[1]比较法-仓储'!$A$49:$M$49</definedName>
    <definedName name="仓储交易情况">'比较法-仓储'!$A$49:$M$49</definedName>
    <definedName name="仓储楼层" localSheetId="10">'[1]比较法-仓储'!$B$69:$M$69</definedName>
    <definedName name="仓储楼层">'比较法-仓储'!$B$69:$M$69</definedName>
    <definedName name="仓储物业等级" localSheetId="10">'[1]比较法-仓储'!$B$82:$M$82</definedName>
    <definedName name="仓储物业等级">'比较法-仓储'!$B$82:$M$82</definedName>
    <definedName name="仓储用途" localSheetId="10">'[1]比较法-仓储'!$B$51:$M$51</definedName>
    <definedName name="仓储用途">'比较法-仓储'!$B$51:$M$51</definedName>
    <definedName name="产业集聚程度" localSheetId="10">[1]定义!$N$1:$N$6</definedName>
    <definedName name="产业集聚程度">定义!$N$1:$N$6</definedName>
    <definedName name="车位公共部分装修" localSheetId="10">'[1]比较法-车位'!$B$83:$M$83</definedName>
    <definedName name="车位公共部分装修">'比较法-车位'!$B$83:$M$83</definedName>
    <definedName name="车位交易情况" localSheetId="10">'[1]比较法-车位'!$A$51:$M$51</definedName>
    <definedName name="车位交易情况">'比较法-车位'!$A$51:$M$51</definedName>
    <definedName name="车位类型" localSheetId="10">'[1]比较法-车位'!$B$93:$M$93</definedName>
    <definedName name="车位类型">'比较法-车位'!$B$93:$M$93</definedName>
    <definedName name="车位楼层" localSheetId="10">'[1]比较法-车位'!$B$71:$M$71</definedName>
    <definedName name="车位楼层">'比较法-车位'!$B$71:$M$71</definedName>
    <definedName name="车位配套类型" localSheetId="10">'[1]比较法-车位'!$B$79:$M$79</definedName>
    <definedName name="车位配套类型">'比较法-车位'!$B$79:$M$79</definedName>
    <definedName name="车位物业等级" localSheetId="10">'[1]比较法-车位'!$B$88:$M$88</definedName>
    <definedName name="车位物业等级">'比较法-车位'!$B$88:$M$88</definedName>
    <definedName name="车位用途" localSheetId="10">'[1]比较法-车位'!$B$53:$M$53</definedName>
    <definedName name="车位用途">'比较法-车位'!$B$53:$M$53</definedName>
    <definedName name="城镇土地纳税等级分级范围" localSheetId="10">'[1]数据-取费表'!$A$53:$A$63</definedName>
    <definedName name="城镇土地纳税等级分级范围">'数据-取费表'!$A$53:$A$63</definedName>
    <definedName name="单价内涵" localSheetId="10">[1]定义!$V$1:$V$3</definedName>
    <definedName name="单价内涵">定义!$V$1:$V$3</definedName>
    <definedName name="地类判定" localSheetId="10">[1]定义!$H$1:$H$9</definedName>
    <definedName name="地类判定">定义!$H$1:$H$9</definedName>
    <definedName name="二级">区片价!$J$1:$J$21</definedName>
    <definedName name="二级分类" localSheetId="10">[1]修正!$C$17:$C$39</definedName>
    <definedName name="二级分类">修正!$C$19:$C$51</definedName>
    <definedName name="法定最高年限" localSheetId="10">[1]定义!$G$1:$G$4</definedName>
    <definedName name="法定最高年限">定义!$G$1:$G$6</definedName>
    <definedName name="工业公共部分装修" localSheetId="10">'[1]比较法-工业'!$B$95:$M$95</definedName>
    <definedName name="工业公共部分装修">'比较法-工业'!$B$95:$M$95</definedName>
    <definedName name="工业基础设施水平" localSheetId="10">'[1]比较法-工业'!$B$102:$M$102</definedName>
    <definedName name="工业基础设施水平">'比较法-工业'!$B$102:$M$102</definedName>
    <definedName name="工业建筑结构" localSheetId="10">'[1]比较法-工业'!$B$93:$M$93</definedName>
    <definedName name="工业建筑结构">'比较法-工业'!$B$93:$M$93</definedName>
    <definedName name="工业建筑类型" localSheetId="10">'[1]比较法-工业'!$B$88:$M$88</definedName>
    <definedName name="工业建筑类型">'比较法-工业'!$B$88:$M$88</definedName>
    <definedName name="工业交易情况" localSheetId="10">'[1]比较法-工业'!$A$55:$M$55</definedName>
    <definedName name="工业交易情况">'比较法-工业'!$A$55:$M$55</definedName>
    <definedName name="工业内部装修" localSheetId="10">'[1]比较法-工业'!$B$104:$M$104</definedName>
    <definedName name="工业内部装修">'比较法-工业'!$B$104:$M$104</definedName>
    <definedName name="工业物业管理" localSheetId="10">'[1]比较法-工业'!$B$100:$M$100</definedName>
    <definedName name="工业物业管理">'比较法-工业'!$B$100:$M$100</definedName>
    <definedName name="工业用途" localSheetId="10">'[1]比较法-工业'!$B$57:$M$57</definedName>
    <definedName name="工业用途">'比较法-工业'!$B$57:$M$57</definedName>
    <definedName name="公共配套设施" localSheetId="10">[1]定义!$Q$1:$Q$6</definedName>
    <definedName name="公共配套设施">定义!$Q$1:$Q$6</definedName>
    <definedName name="估价范围判定">定义!$D$1:$D$4</definedName>
    <definedName name="估价方法" localSheetId="10">[1]定义!$B$1:$B$50</definedName>
    <definedName name="估价方法">定义!$B$1:$B$50</definedName>
    <definedName name="环境" localSheetId="10">[1]定义!$S$1:$S$6</definedName>
    <definedName name="环境">定义!$S$1:$S$6</definedName>
    <definedName name="基础设施水平" localSheetId="10">[1]定义!$R$1:$R$6</definedName>
    <definedName name="基础设施水平">定义!$R$1:$R$6</definedName>
    <definedName name="季度">基准地价修正!$Q$19:$AD$19</definedName>
    <definedName name="价值类型2" localSheetId="10">[1]定义!$B$54:$B$56</definedName>
    <definedName name="价值类型2">定义!$B$54:$B$56</definedName>
    <definedName name="交通便捷度" localSheetId="10">[1]定义!$O$1:$O$6</definedName>
    <definedName name="交通便捷度">定义!$O$1:$O$6</definedName>
    <definedName name="九级">区片价!$Q$1:$Q$51</definedName>
    <definedName name="居住社区成熟度" localSheetId="10">[1]定义!$K$1:$K$6</definedName>
    <definedName name="居住社区成熟度">定义!$K$1:$K$6</definedName>
    <definedName name="类别" localSheetId="10">[1]定义!$J$1:$J$3</definedName>
    <definedName name="类别">定义!$J$1:$J$3</definedName>
    <definedName name="临街状况" localSheetId="10">[1]定义!$T$1:$T$5</definedName>
    <definedName name="临街状况">定义!$T$1:$T$5</definedName>
    <definedName name="六级">区片价!$N$1:$N$64</definedName>
    <definedName name="内部装修维护情况" localSheetId="10">[1]定义!$U$1:$U$6</definedName>
    <definedName name="内部装修维护情况">定义!$U$1:$U$6</definedName>
    <definedName name="判定" localSheetId="10">[1]定义!$D$1:$D$4</definedName>
    <definedName name="判定">[2]定义!$D$1:$D$4</definedName>
    <definedName name="七级">区片价!$O$1:$O$45</definedName>
    <definedName name="七通一平" localSheetId="10">[1]修正!$A$6:$A$14</definedName>
    <definedName name="七通一平">修正!$A$8:$A$16</definedName>
    <definedName name="区域土地利用方向" localSheetId="10">[1]定义!$P$1:$P$6</definedName>
    <definedName name="区域土地利用方向">定义!$P$1:$P$6</definedName>
    <definedName name="三级">区片价!$K$1:$K$26</definedName>
    <definedName name="商业层高" localSheetId="10">'[1]比较法-商业'!$B$116:$M$116</definedName>
    <definedName name="商业层高">'比较法-商业'!$B$116:$M$116</definedName>
    <definedName name="商业成新度">'比较法-商业'!$B$109:$M$109</definedName>
    <definedName name="商业繁华度" localSheetId="10">[1]定义!$L$1:$L$6</definedName>
    <definedName name="商业繁华度">定义!$L$1:$L$6</definedName>
    <definedName name="商业公共部分装修" localSheetId="10">'[1]比较法-商业'!$B$107:$M$107</definedName>
    <definedName name="商业公共部分装修">'比较法-商业'!$B$107:$M$107</definedName>
    <definedName name="商业基础设施水平" localSheetId="10">'[1]比较法-商业'!$B$112:$M$112</definedName>
    <definedName name="商业基础设施水平">'比较法-商业'!$B$112:$M$112</definedName>
    <definedName name="商业建筑结构" localSheetId="10">'[1]比较法-商业'!$B$105:$M$105</definedName>
    <definedName name="商业建筑结构">'比较法-商业'!$B$105:$M$105</definedName>
    <definedName name="商业交易情况" localSheetId="10">'[1]比较法-商业'!$A$61:$M$61</definedName>
    <definedName name="商业交易情况">'比较法-商业'!$A$61:$M$61</definedName>
    <definedName name="商业街名称" localSheetId="10">[1]修正!$C$59:$C$119</definedName>
    <definedName name="商业街名称">修正!$C$71:$C$138</definedName>
    <definedName name="商业进深比" localSheetId="10">'[1]比较法-商业'!$B$120:$M$120</definedName>
    <definedName name="商业进深比">'比较法-商业'!$B$120:$M$120</definedName>
    <definedName name="商业类型" localSheetId="10">'[1]比较法-商业'!$B$100:$M$100</definedName>
    <definedName name="商业类型">'比较法-商业'!$B$100:$M$100</definedName>
    <definedName name="商业临街状况" localSheetId="10">'[1]比较法-商业'!$B$86:$M$86</definedName>
    <definedName name="商业临街状况">'比较法-商业'!$B$86:$M$86</definedName>
    <definedName name="商业楼层" localSheetId="10">'[1]比较法-商业'!$B$92:$M$92</definedName>
    <definedName name="商业楼层">'比较法-商业'!$B$92:$M$92</definedName>
    <definedName name="商业内部装修" localSheetId="10">'[1]比较法-商业'!$B$122:$M$122</definedName>
    <definedName name="商业内部装修">'比较法-商业'!$B$122:$M$122</definedName>
    <definedName name="商业人流量" localSheetId="10">'[1]比较法-商业'!$B$90:$M$90</definedName>
    <definedName name="商业人流量">'比较法-商业'!$B$90:$M$90</definedName>
    <definedName name="商业业态" localSheetId="10">'[1]比较法-商业'!$B$114:$M$114</definedName>
    <definedName name="商业业态">'比较法-商业'!$B$114:$M$114</definedName>
    <definedName name="商业用途" localSheetId="10">'[1]比较法-商业'!$B$63:$M$63</definedName>
    <definedName name="商业用途">'比较法-商业'!$B$63:$M$63</definedName>
    <definedName name="十二级">区片价!$T$1:$T$8</definedName>
    <definedName name="十级">区片价!$R$1:$R$32</definedName>
    <definedName name="十一级">区片价!$S$1:$S$21</definedName>
    <definedName name="是否封闭" localSheetId="10">'[1]比较法-仓储'!$B$89:$M$89</definedName>
    <definedName name="是否封闭">'比较法-仓储'!$B$89:$M$89</definedName>
    <definedName name="是否直接入户" localSheetId="10">'[1]比较法-车位'!$B$95:$M$95</definedName>
    <definedName name="是否直接入户">'比较法-车位'!$B$95:$M$95</definedName>
    <definedName name="四级">区片价!$L$1:$L$33</definedName>
    <definedName name="套工道路等级" localSheetId="10">'[1]土地比较法-工业'!$B$97:$M$97</definedName>
    <definedName name="套工道路等级">'土地比较法-工业'!$B$97:$M$97</definedName>
    <definedName name="套工地质条件" localSheetId="10">'[1]土地比较法-工业'!$B$114:$M$114</definedName>
    <definedName name="套工地质条件">'土地比较法-工业'!$B$114:$M$114</definedName>
    <definedName name="套工交易情况" localSheetId="10">'[1]土地比较法-住宅、综合'!$A$73:$M$73</definedName>
    <definedName name="套工交易情况">'土地比较法-住宅、综合'!$A$72:$M$72</definedName>
    <definedName name="套工土地级别" localSheetId="10">'[1]土地比较法-工业'!$B$99:$M$99</definedName>
    <definedName name="套工土地级别">'土地比较法-工业'!$B$99:$M$99</definedName>
    <definedName name="套工用途" localSheetId="10">'[1]土地比较法-工业'!$B$70:$M$70</definedName>
    <definedName name="套工用途">'土地比较法-工业'!$B$70:$M$70</definedName>
    <definedName name="套工宗地开发程度" localSheetId="10">'[1]土地比较法-工业'!$B$112:$M$112</definedName>
    <definedName name="套工宗地开发程度">'土地比较法-工业'!$B$112:$M$112</definedName>
    <definedName name="套工宗地形状" localSheetId="10">'[1]土地比较法-工业'!$B$110:$M$110</definedName>
    <definedName name="套工宗地形状">'土地比较法-工业'!$B$110:$M$110</definedName>
    <definedName name="套综道路等级" localSheetId="10">'[1]土地比较法-住宅、综合'!$B$106:$M$106</definedName>
    <definedName name="套综道路等级">'土地比较法-住宅、综合'!$B$105:$M$105</definedName>
    <definedName name="套综工程地质条件" localSheetId="10">'[1]土地比较法-住宅、综合'!$B$125:$M$125</definedName>
    <definedName name="套综工程地质条件">'土地比较法-住宅、综合'!$B$124:$M$124</definedName>
    <definedName name="套综交易情况" localSheetId="10">'[1]土地比较法-住宅、综合'!$A$73:$M$73</definedName>
    <definedName name="套综交易情况">'土地比较法-住宅、综合'!$A$72:$M$72</definedName>
    <definedName name="套综临街宽度及深度" localSheetId="10">'[1]土地比较法-住宅、综合'!$B$121:$M$121</definedName>
    <definedName name="套综临街宽度及深度">'土地比较法-住宅、综合'!$B$120:$M$120</definedName>
    <definedName name="套综土地级别" localSheetId="10">'[1]土地比较法-住宅、综合'!$B$108:$M$108</definedName>
    <definedName name="套综土地级别">'土地比较法-住宅、综合'!$B$107:$M$107</definedName>
    <definedName name="套综用途" localSheetId="10">'[1]土地比较法-住宅、综合'!$B$75:$M$75</definedName>
    <definedName name="套综用途">'土地比较法-住宅、综合'!$B$74:$M$74</definedName>
    <definedName name="套综宗地内开发程度" localSheetId="10">'[1]土地比较法-住宅、综合'!$B$123:$M$123</definedName>
    <definedName name="套综宗地内开发程度">'土地比较法-住宅、综合'!$B$122:$M$122</definedName>
    <definedName name="套综宗地形状" localSheetId="10">'[1]土地比较法-住宅、综合'!$B$119:$M$119</definedName>
    <definedName name="套综宗地形状">'土地比较法-住宅、综合'!$B$118:$M$118</definedName>
    <definedName name="土地估价师">估价师及机构信息!$D$3:$D$24</definedName>
    <definedName name="土地级别" localSheetId="10">[1]定义!$C$1:$C$14</definedName>
    <definedName name="土地级别">定义!$C$1:$C$14</definedName>
    <definedName name="土地利用方向">定义!$P$1:$P$6</definedName>
    <definedName name="土地年限区间" localSheetId="10">[1]定义!$I$1:$I$8</definedName>
    <definedName name="土地年限区间">定义!$I$1:$I$16</definedName>
    <definedName name="位置" localSheetId="10">[1]定义!$E$2:$E$4</definedName>
    <definedName name="位置">定义!$E$2:$E$4</definedName>
    <definedName name="五等判定" localSheetId="10">[1]定义!$W$1:$W$6</definedName>
    <definedName name="五等判定">定义!$W$1:$W$6</definedName>
    <definedName name="五级">区片价!$M$1:$M$41</definedName>
    <definedName name="项目类型" localSheetId="10">'[1]数据-汇总表'!$C$17:$C$26</definedName>
    <definedName name="项目类型" localSheetId="25">'[3]数据-汇总表'!$C$17:$C$26</definedName>
    <definedName name="项目类型">'数据-汇总表'!$C$17:$C$26</definedName>
    <definedName name="写字楼等级" localSheetId="10">'[1]比较法-办公'!$B$113:$M$113</definedName>
    <definedName name="写字楼等级">'比较法-办公'!$B$113:$M$113</definedName>
    <definedName name="一级">区片价!$I$1:$I$6</definedName>
    <definedName name="一修多修正项2" localSheetId="10">[1]典型户型修正!$5:$5</definedName>
    <definedName name="一修多修正项2">典型户型修正!$5:$5</definedName>
    <definedName name="一修多修正项3" localSheetId="10">[1]典型户型修正!$7:$7</definedName>
    <definedName name="一修多修正项3">典型户型修正!$7:$7</definedName>
    <definedName name="一修多修正项4" localSheetId="10">[1]典型户型修正!$9:$9</definedName>
    <definedName name="一修多修正项4">典型户型修正!$9:$9</definedName>
    <definedName name="一修多修正项5" localSheetId="10">[1]典型户型修正!$11:$11</definedName>
    <definedName name="一修多修正项5">典型户型修正!$11:$11</definedName>
    <definedName name="一修多修正项6" localSheetId="10">[1]典型户型修正!$13:$13</definedName>
    <definedName name="一修多修正项6">典型户型修正!$13:$13</definedName>
    <definedName name="一修多修正项7" localSheetId="10">[1]典型户型修正!$15:$15</definedName>
    <definedName name="一修多修正项7">典型户型修正!$15:$15</definedName>
    <definedName name="一修多修正项8" localSheetId="10">[1]典型户型修正!$17:$17</definedName>
    <definedName name="一修多修正项8">典型户型修正!$17:$17</definedName>
    <definedName name="用途明细" localSheetId="10">[1]定义!$A$1:$A$50</definedName>
    <definedName name="用途明细">定义!$A$1:$A$50</definedName>
    <definedName name="有无电梯" localSheetId="10">'[1]比较法-仓储'!$B$84:$M$84</definedName>
    <definedName name="有无电梯">'比较法-仓储'!$B$84:$M$84</definedName>
    <definedName name="主用途" localSheetId="10">[1]定义!$F$1:$F$10</definedName>
    <definedName name="主用途">定义!$F$1:$F$12</definedName>
    <definedName name="住宅朝向" localSheetId="10">'[1]比较法-住宅'!$B$88:$M$88</definedName>
    <definedName name="住宅朝向">'比较法-住宅'!$B$88:$M$88</definedName>
    <definedName name="住宅房型" localSheetId="10">'[1]比较法-住宅'!$B$118:$M$118</definedName>
    <definedName name="住宅房型">'比较法-住宅'!$B$118:$M$118</definedName>
    <definedName name="住宅公共部分装修" localSheetId="10">'[1]比较法-住宅'!$B$109:$M$109</definedName>
    <definedName name="住宅公共部分装修">'比较法-住宅'!$B$109:$M$109</definedName>
    <definedName name="住宅基础设施水平" localSheetId="10">'[1]比较法-住宅'!$B$116:$M$116</definedName>
    <definedName name="住宅基础设施水平">'比较法-住宅'!$B$116:$M$116</definedName>
    <definedName name="住宅建筑结构" localSheetId="10">'[1]比较法-住宅'!$B$105:$M$105</definedName>
    <definedName name="住宅建筑结构">'比较法-住宅'!$B$105:$M$105</definedName>
    <definedName name="住宅建筑类型" localSheetId="10">'[1]比较法-住宅'!$B$100:$M$100</definedName>
    <definedName name="住宅建筑类型">'比较法-住宅'!$B$100:$M$100</definedName>
    <definedName name="住宅建筑品质" localSheetId="10">'[1]比较法-住宅'!$B$107:$M$107</definedName>
    <definedName name="住宅建筑品质">'比较法-住宅'!$B$107:$M$107</definedName>
    <definedName name="住宅交易情况" localSheetId="10">'[1]比较法-住宅'!$A$61:$M$61</definedName>
    <definedName name="住宅交易情况">'比较法-住宅'!$A$61:$M$61</definedName>
    <definedName name="住宅楼层" localSheetId="10">'[1]比较法-住宅'!$B$86:$M$86</definedName>
    <definedName name="住宅楼层">'比较法-住宅'!$B$86:$M$86</definedName>
    <definedName name="住宅内部装修" localSheetId="10">'[1]比较法-住宅'!$B$122:$M$122</definedName>
    <definedName name="住宅内部装修">'比较法-住宅'!$B$122:$M$122</definedName>
    <definedName name="住宅物业管理" localSheetId="10">'[1]比较法-住宅'!$B$114:$M$114</definedName>
    <definedName name="住宅物业管理">'比较法-住宅'!$B$114:$M$114</definedName>
    <definedName name="住宅用途" localSheetId="10">'[1]比较法-住宅'!$B$63:$M$63</definedName>
    <definedName name="住宅用途">'比较法-住宅'!$B$63:$M$63</definedName>
    <definedName name="住宅主力户型面积">'比较法-住宅'!$B$120:$M$120</definedName>
    <definedName name="注册房地产估价师" localSheetId="10">[1]估价师及机构信息!$A$3:$A$16</definedName>
    <definedName name="注册房地产估价师">估价师及机构信息!$A$3:$A$16</definedName>
  </definedNames>
  <calcPr calcId="162913"/>
</workbook>
</file>

<file path=xl/calcChain.xml><?xml version="1.0" encoding="utf-8"?>
<calcChain xmlns="http://schemas.openxmlformats.org/spreadsheetml/2006/main">
  <c r="C11" i="15" l="1"/>
  <c r="AA24" i="87"/>
  <c r="AA22" i="87"/>
  <c r="C27" i="43" l="1"/>
  <c r="M13" i="3" l="1"/>
  <c r="K13" i="3"/>
  <c r="I13" i="3"/>
  <c r="D23" i="87"/>
  <c r="M25" i="87" l="1"/>
  <c r="N71" i="87"/>
  <c r="O71" i="87" s="1"/>
  <c r="D60" i="87"/>
  <c r="E60" i="87" s="1"/>
  <c r="T22" i="87"/>
  <c r="Y22" i="87" s="1"/>
  <c r="S22" i="87"/>
  <c r="U22" i="87" s="1"/>
  <c r="E22" i="87"/>
  <c r="D22" i="87"/>
  <c r="S21" i="87"/>
  <c r="T21" i="87" s="1"/>
  <c r="S20" i="87"/>
  <c r="T20" i="87" s="1"/>
  <c r="Y20" i="87" s="1"/>
  <c r="S19" i="87"/>
  <c r="T19" i="87" s="1"/>
  <c r="Y19" i="87" s="1"/>
  <c r="P17" i="87"/>
  <c r="Y16" i="87"/>
  <c r="X16" i="87"/>
  <c r="W16" i="87"/>
  <c r="V16" i="87"/>
  <c r="P16" i="87"/>
  <c r="Y15" i="87"/>
  <c r="X15" i="87"/>
  <c r="W15" i="87" s="1"/>
  <c r="V15" i="87"/>
  <c r="P15" i="87"/>
  <c r="Y14" i="87"/>
  <c r="X14" i="87"/>
  <c r="W14" i="87" s="1"/>
  <c r="V14" i="87"/>
  <c r="P14" i="87"/>
  <c r="Y13" i="87"/>
  <c r="Y17" i="87" s="1"/>
  <c r="X13" i="87"/>
  <c r="W13" i="87"/>
  <c r="V13" i="87"/>
  <c r="I13" i="87"/>
  <c r="X12" i="87"/>
  <c r="Y11" i="87"/>
  <c r="X11" i="87"/>
  <c r="W11" i="87" s="1"/>
  <c r="V11" i="87"/>
  <c r="Y10" i="87"/>
  <c r="X10" i="87"/>
  <c r="W10" i="87"/>
  <c r="V10" i="87"/>
  <c r="L10" i="87"/>
  <c r="L11" i="87" s="1"/>
  <c r="Y9" i="87"/>
  <c r="X9" i="87"/>
  <c r="W9" i="87" s="1"/>
  <c r="V9" i="87"/>
  <c r="M9" i="87"/>
  <c r="Y8" i="87"/>
  <c r="Y12" i="87" s="1"/>
  <c r="X8" i="87"/>
  <c r="W8" i="87" s="1"/>
  <c r="V8" i="87"/>
  <c r="AA8" i="87" s="1"/>
  <c r="AB8" i="87" s="1"/>
  <c r="M8" i="87"/>
  <c r="X7" i="87"/>
  <c r="I7" i="87"/>
  <c r="Y6" i="87"/>
  <c r="X6" i="87"/>
  <c r="W6" i="87" s="1"/>
  <c r="V6" i="87"/>
  <c r="V22" i="87" s="1"/>
  <c r="X22" i="87" s="1"/>
  <c r="Z6" i="1" s="1"/>
  <c r="J6" i="87"/>
  <c r="I6" i="87"/>
  <c r="K6" i="87" s="1"/>
  <c r="Y5" i="87"/>
  <c r="X5" i="87"/>
  <c r="W5" i="87" s="1"/>
  <c r="V5" i="87"/>
  <c r="Y4" i="87"/>
  <c r="X4" i="87"/>
  <c r="W4" i="87" s="1"/>
  <c r="V4" i="87"/>
  <c r="V20" i="87" s="1"/>
  <c r="X20" i="87" s="1"/>
  <c r="Y3" i="87"/>
  <c r="X3" i="87"/>
  <c r="W3" i="87" s="1"/>
  <c r="W19" i="87" s="1"/>
  <c r="V3" i="87"/>
  <c r="V19" i="87" s="1"/>
  <c r="Z10" i="87" l="1"/>
  <c r="Y21" i="87"/>
  <c r="T28" i="87"/>
  <c r="T29" i="87" s="1"/>
  <c r="Y7" i="87"/>
  <c r="W20" i="87"/>
  <c r="V21" i="87"/>
  <c r="V25" i="87" s="1"/>
  <c r="U6" i="1" s="1"/>
  <c r="O11" i="87"/>
  <c r="P18" i="87"/>
  <c r="Z15" i="87"/>
  <c r="V23" i="87"/>
  <c r="X21" i="87"/>
  <c r="W22" i="87"/>
  <c r="AA19" i="87"/>
  <c r="X19" i="87"/>
  <c r="Y23" i="87"/>
  <c r="Z5" i="87"/>
  <c r="M10" i="87"/>
  <c r="M11" i="87" s="1"/>
  <c r="A3" i="3" s="1"/>
  <c r="W21" i="87"/>
  <c r="U19" i="87"/>
  <c r="U20" i="87"/>
  <c r="U21" i="87"/>
  <c r="AA3" i="87"/>
  <c r="AB3" i="87" s="1"/>
  <c r="Z21" i="87"/>
  <c r="T23" i="87" l="1"/>
  <c r="T24" i="87" s="1"/>
  <c r="L37" i="34"/>
  <c r="K238" i="86"/>
  <c r="K239" i="86" s="1"/>
  <c r="K233" i="86"/>
  <c r="I34" i="34" s="1"/>
  <c r="K236" i="86" l="1"/>
  <c r="I48" i="34" s="1"/>
  <c r="J137" i="86"/>
  <c r="K138" i="86" s="1"/>
  <c r="L34" i="34" l="1"/>
  <c r="G34" i="34" l="1"/>
  <c r="C25" i="78"/>
  <c r="C24" i="78"/>
  <c r="C23" i="78"/>
  <c r="F23" i="78"/>
  <c r="F66" i="34"/>
  <c r="E66" i="34"/>
  <c r="D66" i="34"/>
  <c r="I68" i="86"/>
  <c r="G68" i="86"/>
  <c r="V21" i="86"/>
  <c r="V22" i="86" s="1"/>
  <c r="N4" i="86"/>
  <c r="O4" i="86" s="1"/>
  <c r="G48" i="34" s="1"/>
  <c r="E28" i="86"/>
  <c r="D27" i="86"/>
  <c r="G28" i="86" s="1"/>
  <c r="N19" i="1" l="1"/>
  <c r="AB19" i="1" l="1"/>
  <c r="AB21" i="1" s="1"/>
  <c r="AD6" i="1" s="1"/>
  <c r="D5" i="9" l="1"/>
  <c r="P41" i="84"/>
  <c r="P42" i="84" s="1"/>
  <c r="R8" i="84"/>
  <c r="R6" i="84"/>
  <c r="R7" i="84" s="1"/>
  <c r="D50" i="84"/>
  <c r="G51" i="84" s="1"/>
  <c r="E51" i="84"/>
  <c r="P39" i="84"/>
  <c r="R3" i="84" l="1"/>
  <c r="E48" i="34"/>
  <c r="N4" i="84" l="1"/>
  <c r="N6" i="84" s="1"/>
  <c r="K19" i="83"/>
  <c r="M19" i="83" s="1"/>
  <c r="Q72" i="82" l="1"/>
  <c r="Q59" i="82"/>
  <c r="K59" i="82"/>
  <c r="P74" i="82" s="1"/>
  <c r="F59" i="82"/>
  <c r="Q58" i="82"/>
  <c r="Q51" i="82"/>
  <c r="J50" i="82"/>
  <c r="M47" i="82"/>
  <c r="D46" i="82"/>
  <c r="F33" i="82"/>
  <c r="F61" i="82" s="1"/>
  <c r="F31" i="82"/>
  <c r="F23" i="82"/>
  <c r="F21" i="82"/>
  <c r="F20" i="82"/>
  <c r="M19" i="82"/>
  <c r="F18" i="82"/>
  <c r="M17" i="82"/>
  <c r="F17" i="82"/>
  <c r="F15" i="82"/>
  <c r="D23" i="82" l="1"/>
  <c r="D22" i="82"/>
  <c r="D24" i="82"/>
  <c r="P61" i="82"/>
  <c r="N21" i="1" l="1"/>
  <c r="G20" i="6"/>
  <c r="G19" i="6"/>
  <c r="F19" i="6"/>
  <c r="N6" i="1" l="1"/>
  <c r="N7" i="1"/>
  <c r="Y7" i="1" s="1"/>
  <c r="C14" i="74"/>
  <c r="C37" i="34" l="1"/>
  <c r="Y6" i="1"/>
  <c r="W26" i="79"/>
  <c r="W27" i="79"/>
  <c r="W28" i="79"/>
  <c r="L26" i="79"/>
  <c r="M26" i="79"/>
  <c r="P26" i="79" s="1"/>
  <c r="N26" i="79"/>
  <c r="L27" i="79"/>
  <c r="M27" i="79"/>
  <c r="P27" i="79" s="1"/>
  <c r="N27" i="79"/>
  <c r="L28" i="79"/>
  <c r="M28" i="79"/>
  <c r="P28" i="79" s="1"/>
  <c r="N28" i="79"/>
  <c r="I26" i="79"/>
  <c r="I27" i="79"/>
  <c r="I28" i="79"/>
  <c r="I6" i="79"/>
  <c r="I7" i="79"/>
  <c r="I8" i="79"/>
  <c r="K6" i="79"/>
  <c r="L6" i="79"/>
  <c r="M6" i="79"/>
  <c r="P6" i="79" s="1"/>
  <c r="N6" i="79"/>
  <c r="O6" i="79"/>
  <c r="K7" i="79"/>
  <c r="L7" i="79"/>
  <c r="M7" i="79"/>
  <c r="P7" i="79" s="1"/>
  <c r="N7" i="79"/>
  <c r="O7" i="79"/>
  <c r="K8" i="79"/>
  <c r="L8" i="79"/>
  <c r="M8" i="79"/>
  <c r="P8" i="79" s="1"/>
  <c r="N8" i="79"/>
  <c r="O8" i="79"/>
  <c r="B10" i="74" l="1"/>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5" i="78"/>
  <c r="C6"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G24" i="43"/>
  <c r="I23" i="43"/>
  <c r="G17" i="43"/>
  <c r="C13" i="43"/>
  <c r="N12" i="43"/>
  <c r="G2" i="43"/>
  <c r="AB36" i="79"/>
  <c r="AA36" i="79"/>
  <c r="Z36" i="79"/>
  <c r="W36" i="79"/>
  <c r="N36" i="79"/>
  <c r="M36" i="79"/>
  <c r="P36" i="79" s="1"/>
  <c r="L36" i="79"/>
  <c r="I36" i="79"/>
  <c r="AD36" i="79" s="1"/>
  <c r="AB35" i="79"/>
  <c r="AA35" i="79"/>
  <c r="Z35" i="79"/>
  <c r="N35" i="79"/>
  <c r="M35" i="79"/>
  <c r="W35" i="79" s="1"/>
  <c r="L35" i="79"/>
  <c r="I35" i="79"/>
  <c r="AD35" i="79" s="1"/>
  <c r="AB34" i="79"/>
  <c r="AA34" i="79"/>
  <c r="Z34" i="79"/>
  <c r="N34" i="79"/>
  <c r="M34" i="79"/>
  <c r="W34" i="79" s="1"/>
  <c r="L34" i="79"/>
  <c r="I34" i="79"/>
  <c r="AB33" i="79"/>
  <c r="AA33" i="79"/>
  <c r="Z33" i="79"/>
  <c r="N33" i="79"/>
  <c r="M33" i="79"/>
  <c r="W33" i="79" s="1"/>
  <c r="L33" i="79"/>
  <c r="I33" i="79"/>
  <c r="AD33" i="79" s="1"/>
  <c r="AB32" i="79"/>
  <c r="AA32" i="79"/>
  <c r="Z32" i="79"/>
  <c r="N32" i="79"/>
  <c r="M32" i="79"/>
  <c r="W32" i="79" s="1"/>
  <c r="L32" i="79"/>
  <c r="I32" i="79"/>
  <c r="AB31" i="79"/>
  <c r="AA31" i="79"/>
  <c r="Z31" i="79"/>
  <c r="N31" i="79"/>
  <c r="M31" i="79"/>
  <c r="W31" i="79" s="1"/>
  <c r="L31" i="79"/>
  <c r="I31" i="79"/>
  <c r="AD31" i="79" s="1"/>
  <c r="AB30" i="79"/>
  <c r="AA30" i="79"/>
  <c r="Z30" i="79"/>
  <c r="N30" i="79"/>
  <c r="M30" i="79"/>
  <c r="L30" i="79"/>
  <c r="I30" i="79"/>
  <c r="AB29" i="79"/>
  <c r="AA29" i="79"/>
  <c r="Z29" i="79"/>
  <c r="N29" i="79"/>
  <c r="M29" i="79"/>
  <c r="T23" i="79" s="1"/>
  <c r="W23" i="79" s="1"/>
  <c r="L29" i="79"/>
  <c r="I29" i="79"/>
  <c r="AD29" i="79" s="1"/>
  <c r="AB25" i="79"/>
  <c r="AA25" i="79"/>
  <c r="AA23" i="79" s="1"/>
  <c r="AD23" i="79" s="1"/>
  <c r="Z25" i="79"/>
  <c r="N25" i="79"/>
  <c r="U23" i="79" s="1"/>
  <c r="M25" i="79"/>
  <c r="W25" i="79" s="1"/>
  <c r="L25" i="79"/>
  <c r="L23" i="79" s="1"/>
  <c r="I25" i="79"/>
  <c r="AD25" i="79" s="1"/>
  <c r="AB23" i="79"/>
  <c r="N23" i="79"/>
  <c r="G23" i="79"/>
  <c r="F23" i="79"/>
  <c r="I23" i="79" s="1"/>
  <c r="E23" i="79"/>
  <c r="AC16" i="79"/>
  <c r="AB16" i="79"/>
  <c r="AA16" i="79"/>
  <c r="AD16" i="79" s="1"/>
  <c r="Z16" i="79"/>
  <c r="Y16" i="79"/>
  <c r="W16" i="79"/>
  <c r="O16" i="79"/>
  <c r="N16" i="79"/>
  <c r="M16" i="79"/>
  <c r="P16" i="79" s="1"/>
  <c r="L16" i="79"/>
  <c r="K16" i="79"/>
  <c r="I16" i="79"/>
  <c r="AC15" i="79"/>
  <c r="AB15" i="79"/>
  <c r="AA15" i="79"/>
  <c r="AD15" i="79" s="1"/>
  <c r="Z15" i="79"/>
  <c r="Y15" i="79"/>
  <c r="O15" i="79"/>
  <c r="N15" i="79"/>
  <c r="M15" i="79"/>
  <c r="P15" i="79" s="1"/>
  <c r="L15" i="79"/>
  <c r="K15" i="79"/>
  <c r="I15" i="79"/>
  <c r="AC14" i="79"/>
  <c r="AB14" i="79"/>
  <c r="AA14" i="79"/>
  <c r="AD14" i="79" s="1"/>
  <c r="Z14" i="79"/>
  <c r="Y14" i="79"/>
  <c r="O14" i="79"/>
  <c r="N14" i="79"/>
  <c r="M14" i="79"/>
  <c r="W14" i="79" s="1"/>
  <c r="L14" i="79"/>
  <c r="K14" i="79"/>
  <c r="I14" i="79"/>
  <c r="AC13" i="79"/>
  <c r="AB13" i="79"/>
  <c r="AA13" i="79"/>
  <c r="AD13" i="79" s="1"/>
  <c r="Z13" i="79"/>
  <c r="Y13" i="79"/>
  <c r="O13" i="79"/>
  <c r="N13" i="79"/>
  <c r="M13" i="79"/>
  <c r="P13" i="79" s="1"/>
  <c r="L13" i="79"/>
  <c r="K13" i="79"/>
  <c r="I13" i="79"/>
  <c r="AC12" i="79"/>
  <c r="AB12" i="79"/>
  <c r="AA12" i="79"/>
  <c r="AD12" i="79" s="1"/>
  <c r="Z12" i="79"/>
  <c r="Y12" i="79"/>
  <c r="O12" i="79"/>
  <c r="N12" i="79"/>
  <c r="M12" i="79"/>
  <c r="W12" i="79" s="1"/>
  <c r="L12" i="79"/>
  <c r="K12" i="79"/>
  <c r="I12" i="79"/>
  <c r="AC11" i="79"/>
  <c r="AB11" i="79"/>
  <c r="AA11" i="79"/>
  <c r="AD11" i="79" s="1"/>
  <c r="Z11" i="79"/>
  <c r="Y11" i="79"/>
  <c r="O11" i="79"/>
  <c r="N11" i="79"/>
  <c r="M11" i="79"/>
  <c r="P11" i="79" s="1"/>
  <c r="L11" i="79"/>
  <c r="K11" i="79"/>
  <c r="I11" i="79"/>
  <c r="AC10" i="79"/>
  <c r="AB10" i="79"/>
  <c r="AA10" i="79"/>
  <c r="AD10" i="79" s="1"/>
  <c r="Z10" i="79"/>
  <c r="Y10" i="79"/>
  <c r="O10" i="79"/>
  <c r="N10" i="79"/>
  <c r="M10" i="79"/>
  <c r="W10" i="79" s="1"/>
  <c r="L10" i="79"/>
  <c r="K10" i="79"/>
  <c r="I10" i="79"/>
  <c r="AC9" i="79"/>
  <c r="AB9" i="79"/>
  <c r="AB3" i="79" s="1"/>
  <c r="AA9" i="79"/>
  <c r="AD9" i="79" s="1"/>
  <c r="Z9" i="79"/>
  <c r="Z3" i="79" s="1"/>
  <c r="Y9" i="79"/>
  <c r="O9" i="79"/>
  <c r="N9" i="79"/>
  <c r="M9" i="79"/>
  <c r="L9" i="79"/>
  <c r="K9" i="79"/>
  <c r="I9" i="79"/>
  <c r="AC5" i="79"/>
  <c r="AC3" i="79" s="1"/>
  <c r="AB5" i="79"/>
  <c r="AA5" i="79"/>
  <c r="AD5" i="79" s="1"/>
  <c r="Z5" i="79"/>
  <c r="Y5" i="79"/>
  <c r="Y3" i="79" s="1"/>
  <c r="O5" i="79"/>
  <c r="N5" i="79"/>
  <c r="M5" i="79"/>
  <c r="L5" i="79"/>
  <c r="S3" i="79" s="1"/>
  <c r="K5" i="79"/>
  <c r="I5" i="79"/>
  <c r="AA3" i="79"/>
  <c r="AD3" i="79" s="1"/>
  <c r="U3" i="79"/>
  <c r="N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S23" i="79"/>
  <c r="P12" i="79"/>
  <c r="P14" i="79"/>
  <c r="R3" i="79"/>
  <c r="Z23" i="79"/>
  <c r="W30" i="79" s="1"/>
  <c r="W29" i="79" s="1"/>
  <c r="P10" i="79"/>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W9" i="79" s="1"/>
  <c r="W11" i="79" s="1"/>
  <c r="W13" i="79" s="1"/>
  <c r="W15" i="79" s="1"/>
  <c r="P25" i="79"/>
  <c r="P30" i="79"/>
  <c r="P32" i="79"/>
  <c r="P34" i="79"/>
  <c r="P29" i="79"/>
  <c r="P31" i="79"/>
  <c r="P33" i="79"/>
  <c r="P35" i="79"/>
  <c r="E25" i="78"/>
  <c r="E24" i="78"/>
  <c r="F24" i="78"/>
  <c r="F25" i="78" s="1"/>
  <c r="E23" i="78"/>
  <c r="F12" i="78"/>
  <c r="F11" i="78"/>
  <c r="C18" i="78" s="1"/>
  <c r="D7" i="78"/>
  <c r="D6" i="78"/>
  <c r="D5" i="78"/>
  <c r="L3" i="79" l="1"/>
  <c r="R5" i="79"/>
  <c r="V5" i="79"/>
  <c r="C15" i="78"/>
  <c r="T5" i="79"/>
  <c r="W5" i="79" s="1"/>
  <c r="R8" i="79"/>
  <c r="R6" i="79"/>
  <c r="R7" i="79"/>
  <c r="P9" i="79"/>
  <c r="T8" i="79"/>
  <c r="W8" i="79" s="1"/>
  <c r="T7" i="79"/>
  <c r="W7" i="79" s="1"/>
  <c r="T6" i="79"/>
  <c r="W6" i="79" s="1"/>
  <c r="V8" i="79"/>
  <c r="V7" i="79"/>
  <c r="V6" i="79"/>
  <c r="K3" i="79"/>
  <c r="M3" i="79"/>
  <c r="P3" i="79" s="1"/>
  <c r="O3" i="79"/>
  <c r="T3" i="79"/>
  <c r="W3" i="79" s="1"/>
  <c r="V3" i="79"/>
  <c r="S5" i="79"/>
  <c r="U5" i="79"/>
  <c r="P5" i="79"/>
  <c r="S8" i="79"/>
  <c r="S7" i="79"/>
  <c r="S6" i="79"/>
  <c r="U8" i="79"/>
  <c r="U7" i="79"/>
  <c r="U6" i="79"/>
  <c r="M23" i="79"/>
  <c r="P23" i="79" s="1"/>
  <c r="AD30" i="79"/>
  <c r="AD32" i="79"/>
  <c r="AD34" i="79"/>
  <c r="H100" i="43"/>
  <c r="H97" i="43"/>
  <c r="H95" i="43"/>
  <c r="H94" i="43"/>
  <c r="H98" i="43"/>
  <c r="H93" i="43"/>
  <c r="H101" i="43"/>
  <c r="H99" i="43"/>
  <c r="H96" i="43"/>
  <c r="G23" i="78"/>
  <c r="G24" i="78"/>
  <c r="G25" i="78"/>
  <c r="B15" i="78"/>
  <c r="B18" i="78"/>
  <c r="G14" i="73"/>
  <c r="F14" i="73"/>
  <c r="E14" i="73"/>
  <c r="G15" i="73" l="1"/>
  <c r="F15" i="73"/>
  <c r="E15" i="73"/>
  <c r="G16" i="73" l="1"/>
  <c r="F16" i="73"/>
  <c r="E16" i="73"/>
  <c r="G13" i="73" l="1"/>
  <c r="F13" i="73"/>
  <c r="E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R11" i="77"/>
  <c r="D11" i="77"/>
  <c r="E11" i="77" s="1"/>
  <c r="E7" i="77" s="1"/>
  <c r="C27" i="77" s="1"/>
  <c r="R10" i="77"/>
  <c r="D10" i="77"/>
  <c r="R9" i="77"/>
  <c r="D9" i="77"/>
  <c r="D7" i="77" s="1"/>
  <c r="C26" i="77" s="1"/>
  <c r="R8" i="77"/>
  <c r="R7" i="77"/>
  <c r="R4" i="77"/>
  <c r="R3" i="77"/>
  <c r="R14" i="77" l="1"/>
  <c r="R24" i="77" s="1"/>
  <c r="D29" i="77"/>
  <c r="E23" i="77"/>
  <c r="D26" i="77"/>
  <c r="D32" i="77" s="1"/>
  <c r="C29" i="77"/>
  <c r="C32" i="77" s="1"/>
  <c r="C38" i="77" s="1"/>
  <c r="C39" i="77" s="1"/>
  <c r="R35" i="77"/>
  <c r="U34" i="77" s="1"/>
  <c r="AH9" i="71"/>
  <c r="AG9" i="71"/>
  <c r="AE9" i="71"/>
  <c r="AF9" i="71" s="1"/>
  <c r="AD9" i="71"/>
  <c r="Q9" i="71"/>
  <c r="P9" i="71"/>
  <c r="O9" i="71"/>
  <c r="N9" i="71"/>
  <c r="R25" i="77" l="1"/>
  <c r="R19" i="77"/>
  <c r="R5" i="77" s="1"/>
  <c r="U5" i="77" s="1"/>
  <c r="E26" i="77"/>
  <c r="E38" i="77"/>
  <c r="E39" i="77" s="1"/>
  <c r="C40" i="77" s="1"/>
  <c r="B2" i="77" s="1"/>
  <c r="E29" i="77"/>
  <c r="E32" i="77" s="1"/>
  <c r="AH10" i="71"/>
  <c r="AG10" i="71"/>
  <c r="AE10" i="71"/>
  <c r="AF10" i="71" s="1"/>
  <c r="AD10" i="71"/>
  <c r="Q10" i="71"/>
  <c r="P10" i="71"/>
  <c r="O10" i="71"/>
  <c r="N10" i="71"/>
  <c r="B3" i="77" l="1"/>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s="1"/>
  <c r="AD16" i="71"/>
  <c r="Q16" i="71"/>
  <c r="P16" i="71"/>
  <c r="O16" i="71"/>
  <c r="N16" i="71"/>
  <c r="AH17" i="71"/>
  <c r="AG17" i="71"/>
  <c r="AE17" i="71"/>
  <c r="AF17" i="71" s="1"/>
  <c r="AD17" i="71"/>
  <c r="Q18" i="71"/>
  <c r="Q19" i="71"/>
  <c r="P18" i="71"/>
  <c r="P19" i="71"/>
  <c r="O18" i="71"/>
  <c r="O19" i="71"/>
  <c r="N18" i="71"/>
  <c r="N19" i="71"/>
  <c r="AH18" i="71"/>
  <c r="AG18" i="71"/>
  <c r="AE18" i="71"/>
  <c r="AF18" i="71"/>
  <c r="AD18" i="71"/>
  <c r="F24" i="12"/>
  <c r="F7" i="69"/>
  <c r="F7" i="68"/>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s="1"/>
  <c r="AD23" i="71"/>
  <c r="AD24" i="71"/>
  <c r="AG24" i="71"/>
  <c r="AH24" i="71"/>
  <c r="AE24" i="71"/>
  <c r="AF24" i="71" s="1"/>
  <c r="N24" i="71"/>
  <c r="Q24" i="71"/>
  <c r="P24" i="71"/>
  <c r="E24" i="71" s="1"/>
  <c r="O24" i="71"/>
  <c r="C24" i="71"/>
  <c r="C23" i="71" s="1"/>
  <c r="Q25" i="71"/>
  <c r="F24" i="71"/>
  <c r="F23" i="71" s="1"/>
  <c r="F22" i="71" s="1"/>
  <c r="P25" i="71"/>
  <c r="O25" i="71"/>
  <c r="N25" i="71"/>
  <c r="B24" i="71"/>
  <c r="B23" i="71" s="1"/>
  <c r="B22" i="71" s="1"/>
  <c r="B21" i="71" s="1"/>
  <c r="B20" i="71" s="1"/>
  <c r="B19" i="71" s="1"/>
  <c r="B18" i="71" s="1"/>
  <c r="B17" i="71" s="1"/>
  <c r="A2" i="53"/>
  <c r="K59" i="67"/>
  <c r="P61" i="67" s="1"/>
  <c r="K59" i="15"/>
  <c r="P74" i="15" s="1"/>
  <c r="D115" i="39"/>
  <c r="E115" i="39"/>
  <c r="F115" i="39"/>
  <c r="G115" i="39"/>
  <c r="H115" i="39"/>
  <c r="I115" i="39"/>
  <c r="J115" i="39"/>
  <c r="K115" i="39"/>
  <c r="L115" i="39"/>
  <c r="M115" i="39"/>
  <c r="C115" i="39"/>
  <c r="A21" i="62"/>
  <c r="B67" i="72" s="1"/>
  <c r="A20" i="62"/>
  <c r="A22" i="51"/>
  <c r="A21" i="51"/>
  <c r="B16" i="72" s="1"/>
  <c r="A20" i="51"/>
  <c r="A15" i="62"/>
  <c r="B61" i="72" s="1"/>
  <c r="A14" i="62"/>
  <c r="A13" i="62"/>
  <c r="B59" i="72" s="1"/>
  <c r="A19" i="62"/>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s="1"/>
  <c r="AG26" i="71"/>
  <c r="AH26" i="71"/>
  <c r="AD27" i="71"/>
  <c r="AE27" i="71"/>
  <c r="AF27" i="71" s="1"/>
  <c r="AG27" i="71"/>
  <c r="AH27" i="71"/>
  <c r="AD28" i="71"/>
  <c r="AE28" i="71"/>
  <c r="AF28" i="71" s="1"/>
  <c r="AG28" i="71"/>
  <c r="AH28" i="71"/>
  <c r="AD29" i="71"/>
  <c r="AE29" i="71"/>
  <c r="AF29" i="71"/>
  <c r="AG29" i="71"/>
  <c r="AH29" i="71"/>
  <c r="AD30" i="71"/>
  <c r="AE30" i="71"/>
  <c r="AF30" i="71" s="1"/>
  <c r="AG30" i="71"/>
  <c r="AH30" i="71"/>
  <c r="AD31" i="71"/>
  <c r="AE31" i="71"/>
  <c r="AF31" i="71" s="1"/>
  <c r="AG31" i="71"/>
  <c r="AH31" i="71"/>
  <c r="AD32" i="71"/>
  <c r="AE32" i="71"/>
  <c r="AF32" i="71" s="1"/>
  <c r="AG32" i="71"/>
  <c r="AH32" i="71"/>
  <c r="AD33" i="71"/>
  <c r="AE33" i="71"/>
  <c r="AF33" i="71"/>
  <c r="AG33" i="71"/>
  <c r="AH33" i="71"/>
  <c r="AD34" i="71"/>
  <c r="AE34" i="71"/>
  <c r="AF34" i="71" s="1"/>
  <c r="AG34" i="71"/>
  <c r="AH34" i="71"/>
  <c r="AD35" i="71"/>
  <c r="AE35" i="71"/>
  <c r="AF35" i="71" s="1"/>
  <c r="AG35" i="71"/>
  <c r="AH35" i="71"/>
  <c r="AD36" i="71"/>
  <c r="AE36" i="71"/>
  <c r="AF36" i="71" s="1"/>
  <c r="AG36" i="71"/>
  <c r="AH36" i="71"/>
  <c r="AD37" i="71"/>
  <c r="AE37" i="71"/>
  <c r="AF37" i="71"/>
  <c r="AG37" i="71"/>
  <c r="AH37" i="71"/>
  <c r="AD38" i="71"/>
  <c r="AE38" i="71"/>
  <c r="AF38" i="71" s="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65" i="72"/>
  <c r="B60" i="72"/>
  <c r="B66" i="72"/>
  <c r="B10" i="72"/>
  <c r="C53" i="10"/>
  <c r="B51" i="10"/>
  <c r="B19" i="72"/>
  <c r="A18" i="51"/>
  <c r="B13" i="72" s="1"/>
  <c r="B49" i="48"/>
  <c r="B5" i="72" s="1"/>
  <c r="D89" i="71"/>
  <c r="F88" i="71"/>
  <c r="F87" i="71" s="1"/>
  <c r="F86" i="71" s="1"/>
  <c r="E88" i="71"/>
  <c r="E87" i="71" s="1"/>
  <c r="E86" i="71" s="1"/>
  <c r="C88" i="71"/>
  <c r="D88" i="71" s="1"/>
  <c r="B88" i="71"/>
  <c r="B87" i="71"/>
  <c r="B86" i="71" s="1"/>
  <c r="D85" i="71"/>
  <c r="F84" i="71"/>
  <c r="F83" i="71" s="1"/>
  <c r="F82" i="71" s="1"/>
  <c r="E84" i="71"/>
  <c r="E83" i="71" s="1"/>
  <c r="E82" i="71" s="1"/>
  <c r="C84" i="71"/>
  <c r="D84" i="71" s="1"/>
  <c r="B84" i="71"/>
  <c r="B83" i="71"/>
  <c r="B82" i="71" s="1"/>
  <c r="D81" i="71"/>
  <c r="Q80" i="71"/>
  <c r="P80" i="71"/>
  <c r="O80" i="71"/>
  <c r="N80" i="71"/>
  <c r="F80" i="71"/>
  <c r="V80" i="71" s="1"/>
  <c r="E80" i="71"/>
  <c r="U80" i="71" s="1"/>
  <c r="C80" i="71"/>
  <c r="T80" i="71" s="1"/>
  <c r="B80" i="71"/>
  <c r="S80" i="71" s="1"/>
  <c r="Q79" i="71"/>
  <c r="P79" i="71"/>
  <c r="O79" i="71"/>
  <c r="N79" i="71"/>
  <c r="F79" i="71"/>
  <c r="F78" i="71" s="1"/>
  <c r="B79" i="71"/>
  <c r="B78" i="71" s="1"/>
  <c r="Q78" i="71"/>
  <c r="P78" i="71"/>
  <c r="O78" i="71"/>
  <c r="N78" i="71"/>
  <c r="Q77" i="71"/>
  <c r="P77" i="71"/>
  <c r="O77" i="71"/>
  <c r="N77" i="71"/>
  <c r="D77" i="71"/>
  <c r="Q76" i="71"/>
  <c r="P76" i="71"/>
  <c r="O76" i="71"/>
  <c r="N76" i="71"/>
  <c r="F76" i="71"/>
  <c r="V76" i="71" s="1"/>
  <c r="E76" i="71"/>
  <c r="U76" i="71" s="1"/>
  <c r="C76" i="71"/>
  <c r="T76" i="71" s="1"/>
  <c r="B76" i="71"/>
  <c r="S76" i="71" s="1"/>
  <c r="Q75" i="71"/>
  <c r="P75" i="71"/>
  <c r="O75" i="71"/>
  <c r="N75" i="71"/>
  <c r="F75" i="71"/>
  <c r="F74" i="71" s="1"/>
  <c r="B75" i="71"/>
  <c r="B74" i="71" s="1"/>
  <c r="Q74" i="71"/>
  <c r="P74" i="71"/>
  <c r="O74" i="71"/>
  <c r="N74" i="71"/>
  <c r="Q73" i="71"/>
  <c r="P73" i="71"/>
  <c r="O73" i="71"/>
  <c r="N73" i="71"/>
  <c r="D73" i="71"/>
  <c r="Q72" i="71"/>
  <c r="P72" i="71"/>
  <c r="O72" i="71"/>
  <c r="N72" i="71"/>
  <c r="F72" i="71"/>
  <c r="V72" i="71" s="1"/>
  <c r="E72" i="71"/>
  <c r="U72" i="71" s="1"/>
  <c r="C72" i="71"/>
  <c r="T72" i="71" s="1"/>
  <c r="B72" i="71"/>
  <c r="S72" i="71" s="1"/>
  <c r="Q71" i="71"/>
  <c r="P71" i="71"/>
  <c r="O71" i="71"/>
  <c r="N71" i="71"/>
  <c r="F71" i="71"/>
  <c r="F70" i="71" s="1"/>
  <c r="B71" i="71"/>
  <c r="B70" i="71" s="1"/>
  <c r="Q70" i="71"/>
  <c r="P70" i="71"/>
  <c r="O70" i="71"/>
  <c r="N70" i="71"/>
  <c r="Q69" i="71"/>
  <c r="P69" i="71"/>
  <c r="O69" i="71"/>
  <c r="N69" i="71"/>
  <c r="D69" i="71"/>
  <c r="F68" i="71"/>
  <c r="E68" i="71"/>
  <c r="P68" i="71" s="1"/>
  <c r="C68" i="71"/>
  <c r="B68" i="71"/>
  <c r="S68" i="71" s="1"/>
  <c r="B67" i="71"/>
  <c r="D65" i="71"/>
  <c r="Q64" i="71"/>
  <c r="P64" i="71"/>
  <c r="O64" i="71"/>
  <c r="N64" i="71"/>
  <c r="Q63" i="71"/>
  <c r="P63" i="71"/>
  <c r="O63" i="71"/>
  <c r="N63" i="71"/>
  <c r="Q62" i="71"/>
  <c r="P62" i="71"/>
  <c r="O62" i="71"/>
  <c r="N62" i="71"/>
  <c r="Q61" i="71"/>
  <c r="F62" i="71" s="1"/>
  <c r="F63" i="71" s="1"/>
  <c r="F64" i="71" s="1"/>
  <c r="V64" i="71" s="1"/>
  <c r="P61" i="71"/>
  <c r="E62" i="71"/>
  <c r="O61" i="71"/>
  <c r="C62" i="71"/>
  <c r="N61" i="71"/>
  <c r="B62" i="71"/>
  <c r="B63" i="71" s="1"/>
  <c r="B64" i="71" s="1"/>
  <c r="S64" i="71" s="1"/>
  <c r="D61" i="71"/>
  <c r="Q60" i="71"/>
  <c r="P60" i="71"/>
  <c r="O60" i="71"/>
  <c r="N60" i="71"/>
  <c r="Q59" i="71"/>
  <c r="P59" i="71"/>
  <c r="O59" i="71"/>
  <c r="N59" i="71"/>
  <c r="Q58" i="71"/>
  <c r="P58" i="71"/>
  <c r="O58" i="71"/>
  <c r="N58" i="71"/>
  <c r="Q57" i="71"/>
  <c r="F58" i="71" s="1"/>
  <c r="F59" i="71" s="1"/>
  <c r="F60" i="71" s="1"/>
  <c r="V60" i="71" s="1"/>
  <c r="P57" i="71"/>
  <c r="E58" i="71" s="1"/>
  <c r="O57" i="71"/>
  <c r="C58" i="71" s="1"/>
  <c r="N57" i="71"/>
  <c r="B58" i="71" s="1"/>
  <c r="B59" i="71" s="1"/>
  <c r="B60" i="71" s="1"/>
  <c r="S60" i="71" s="1"/>
  <c r="D57" i="71"/>
  <c r="Q56" i="71"/>
  <c r="P56" i="71"/>
  <c r="O56" i="71"/>
  <c r="N56" i="71"/>
  <c r="Q55" i="71"/>
  <c r="P55" i="71"/>
  <c r="O55" i="71"/>
  <c r="N55" i="71"/>
  <c r="Q54" i="71"/>
  <c r="P54" i="71"/>
  <c r="O54" i="71"/>
  <c r="N54" i="71"/>
  <c r="Q53" i="71"/>
  <c r="F54" i="71"/>
  <c r="F55" i="71" s="1"/>
  <c r="F56" i="71" s="1"/>
  <c r="V56" i="71" s="1"/>
  <c r="P53" i="71"/>
  <c r="E54" i="71" s="1"/>
  <c r="O53" i="71"/>
  <c r="C54" i="71" s="1"/>
  <c r="N53" i="71"/>
  <c r="B54" i="71"/>
  <c r="B55" i="71" s="1"/>
  <c r="B56" i="71" s="1"/>
  <c r="S56" i="71" s="1"/>
  <c r="D53" i="71"/>
  <c r="Q52" i="71"/>
  <c r="P52" i="71"/>
  <c r="O52" i="71"/>
  <c r="N52" i="71"/>
  <c r="Q51" i="71"/>
  <c r="P51" i="71"/>
  <c r="O51" i="71"/>
  <c r="N51" i="71"/>
  <c r="Q50" i="71"/>
  <c r="P50" i="71"/>
  <c r="O50" i="71"/>
  <c r="N50" i="71"/>
  <c r="Q49" i="71"/>
  <c r="F50" i="71"/>
  <c r="P49" i="71"/>
  <c r="E50" i="71"/>
  <c r="E51" i="71" s="1"/>
  <c r="E52" i="71" s="1"/>
  <c r="U52" i="71" s="1"/>
  <c r="O49" i="71"/>
  <c r="C50" i="71" s="1"/>
  <c r="C51" i="71" s="1"/>
  <c r="N49" i="71"/>
  <c r="B50" i="71" s="1"/>
  <c r="D49" i="71"/>
  <c r="T48" i="71"/>
  <c r="Q48" i="71"/>
  <c r="P48" i="71"/>
  <c r="O48" i="71"/>
  <c r="N48" i="71"/>
  <c r="D48" i="71"/>
  <c r="Q47" i="71"/>
  <c r="P47" i="71"/>
  <c r="O47" i="71"/>
  <c r="N47" i="71"/>
  <c r="Q46" i="71"/>
  <c r="P46" i="71"/>
  <c r="O46" i="71"/>
  <c r="N46" i="71"/>
  <c r="Q45" i="71"/>
  <c r="F46" i="71" s="1"/>
  <c r="F47" i="71" s="1"/>
  <c r="F48" i="71" s="1"/>
  <c r="V48" i="71" s="1"/>
  <c r="P45" i="71"/>
  <c r="E46" i="71" s="1"/>
  <c r="O45" i="71"/>
  <c r="C46" i="71" s="1"/>
  <c r="N45" i="71"/>
  <c r="B46" i="71" s="1"/>
  <c r="B47" i="71" s="1"/>
  <c r="B48" i="71" s="1"/>
  <c r="S48" i="71" s="1"/>
  <c r="D45" i="71"/>
  <c r="Q44" i="71"/>
  <c r="P44" i="71"/>
  <c r="O44" i="71"/>
  <c r="N44" i="71"/>
  <c r="Q43" i="71"/>
  <c r="P43" i="71"/>
  <c r="O43" i="71"/>
  <c r="N43" i="71"/>
  <c r="Q42" i="71"/>
  <c r="P42" i="71"/>
  <c r="O42" i="71"/>
  <c r="N42" i="71"/>
  <c r="Q41" i="71"/>
  <c r="F42" i="71" s="1"/>
  <c r="F43" i="71" s="1"/>
  <c r="F44" i="71" s="1"/>
  <c r="V44" i="71" s="1"/>
  <c r="P41" i="71"/>
  <c r="E42" i="71" s="1"/>
  <c r="E43" i="71" s="1"/>
  <c r="E44" i="71" s="1"/>
  <c r="U44" i="71" s="1"/>
  <c r="O41" i="71"/>
  <c r="C42" i="71"/>
  <c r="C43" i="71" s="1"/>
  <c r="N41" i="71"/>
  <c r="B42" i="71"/>
  <c r="B43" i="71" s="1"/>
  <c r="B44" i="71" s="1"/>
  <c r="S44" i="71" s="1"/>
  <c r="D41" i="71"/>
  <c r="Q40" i="71"/>
  <c r="P40" i="71"/>
  <c r="O40" i="71"/>
  <c r="N40" i="71"/>
  <c r="Q39" i="71"/>
  <c r="AB39" i="71" s="1"/>
  <c r="P39" i="71"/>
  <c r="AA39" i="71"/>
  <c r="O39" i="71"/>
  <c r="Y39" i="71"/>
  <c r="Z39" i="71" s="1"/>
  <c r="N39" i="71"/>
  <c r="X39" i="71" s="1"/>
  <c r="Q38" i="71"/>
  <c r="AB38" i="71" s="1"/>
  <c r="P38" i="71"/>
  <c r="O38" i="71"/>
  <c r="Y38" i="71" s="1"/>
  <c r="Z38" i="71" s="1"/>
  <c r="N38" i="71"/>
  <c r="Q37" i="71"/>
  <c r="F38" i="71" s="1"/>
  <c r="P37" i="71"/>
  <c r="AA37" i="71" s="1"/>
  <c r="O37" i="71"/>
  <c r="N37" i="71"/>
  <c r="B38" i="71" s="1"/>
  <c r="B39" i="71" s="1"/>
  <c r="B40" i="71" s="1"/>
  <c r="S40" i="71" s="1"/>
  <c r="D37" i="71"/>
  <c r="Q36" i="71"/>
  <c r="AB36" i="71" s="1"/>
  <c r="P36" i="71"/>
  <c r="O36" i="71"/>
  <c r="Y36" i="71" s="1"/>
  <c r="Z36" i="71" s="1"/>
  <c r="N36" i="71"/>
  <c r="Q35" i="71"/>
  <c r="AB35" i="71"/>
  <c r="P35" i="71"/>
  <c r="O35" i="71"/>
  <c r="Y35" i="71" s="1"/>
  <c r="Z35" i="71" s="1"/>
  <c r="N35" i="71"/>
  <c r="Q34" i="71"/>
  <c r="AB34" i="71" s="1"/>
  <c r="P34" i="71"/>
  <c r="O34" i="71"/>
  <c r="Y34" i="71" s="1"/>
  <c r="Z34" i="71" s="1"/>
  <c r="N34" i="71"/>
  <c r="X34" i="71" s="1"/>
  <c r="Q33" i="71"/>
  <c r="F34" i="71" s="1"/>
  <c r="P33" i="71"/>
  <c r="E34" i="71" s="1"/>
  <c r="E35" i="71" s="1"/>
  <c r="E36" i="71" s="1"/>
  <c r="U36" i="71" s="1"/>
  <c r="O33" i="71"/>
  <c r="N33" i="71"/>
  <c r="X33" i="71" s="1"/>
  <c r="D33" i="71"/>
  <c r="Q32" i="71"/>
  <c r="AB32" i="71" s="1"/>
  <c r="P32" i="71"/>
  <c r="O32" i="71"/>
  <c r="Y32" i="71" s="1"/>
  <c r="Z32" i="71" s="1"/>
  <c r="N32" i="71"/>
  <c r="X31" i="71" s="1"/>
  <c r="Q31" i="71"/>
  <c r="AB31" i="71"/>
  <c r="P31" i="71"/>
  <c r="O31" i="71"/>
  <c r="Y31" i="71" s="1"/>
  <c r="Z31" i="71" s="1"/>
  <c r="N31" i="71"/>
  <c r="Q30" i="71"/>
  <c r="AB30" i="71" s="1"/>
  <c r="P30" i="71"/>
  <c r="O30" i="71"/>
  <c r="Y30" i="71" s="1"/>
  <c r="Z30" i="71" s="1"/>
  <c r="N30" i="71"/>
  <c r="X30" i="71" s="1"/>
  <c r="Q29" i="71"/>
  <c r="F30" i="71" s="1"/>
  <c r="P29" i="71"/>
  <c r="E30" i="71" s="1"/>
  <c r="E31" i="71" s="1"/>
  <c r="E32" i="71" s="1"/>
  <c r="U32" i="71" s="1"/>
  <c r="O29" i="71"/>
  <c r="N29" i="71"/>
  <c r="X25" i="71" s="1"/>
  <c r="D29" i="71"/>
  <c r="O28" i="71"/>
  <c r="C28" i="71" s="1"/>
  <c r="N28" i="71"/>
  <c r="B30" i="71"/>
  <c r="B31" i="71" s="1"/>
  <c r="B32" i="71" s="1"/>
  <c r="S32" i="71" s="1"/>
  <c r="B34" i="71"/>
  <c r="B35" i="71" s="1"/>
  <c r="B36" i="71" s="1"/>
  <c r="S36" i="71" s="1"/>
  <c r="E38" i="71"/>
  <c r="E39" i="71" s="1"/>
  <c r="E40" i="71" s="1"/>
  <c r="U40" i="71" s="1"/>
  <c r="N68" i="71"/>
  <c r="AA33" i="71"/>
  <c r="C30" i="71"/>
  <c r="Y29" i="71"/>
  <c r="Z29" i="71" s="1"/>
  <c r="AA30" i="71"/>
  <c r="AA32" i="71"/>
  <c r="C34" i="71"/>
  <c r="C35" i="71"/>
  <c r="D35" i="71" s="1"/>
  <c r="X35" i="71"/>
  <c r="X36" i="71"/>
  <c r="C38" i="71"/>
  <c r="D38" i="71" s="1"/>
  <c r="X38" i="71"/>
  <c r="AA38" i="71"/>
  <c r="F51" i="71"/>
  <c r="F52" i="71" s="1"/>
  <c r="V52" i="71" s="1"/>
  <c r="Y26" i="71"/>
  <c r="Z26" i="71" s="1"/>
  <c r="Y28" i="71"/>
  <c r="Z28" i="71" s="1"/>
  <c r="B28" i="71"/>
  <c r="B27" i="71" s="1"/>
  <c r="B26" i="71" s="1"/>
  <c r="X26" i="71"/>
  <c r="X28" i="71"/>
  <c r="D30" i="71"/>
  <c r="D34" i="71"/>
  <c r="C39" i="71"/>
  <c r="C40" i="71" s="1"/>
  <c r="D42" i="71"/>
  <c r="D50" i="71"/>
  <c r="P28" i="71"/>
  <c r="E55" i="71"/>
  <c r="E56" i="71" s="1"/>
  <c r="U56" i="71" s="1"/>
  <c r="E59" i="71"/>
  <c r="E60" i="71"/>
  <c r="U60" i="71" s="1"/>
  <c r="E63" i="71"/>
  <c r="E64" i="71" s="1"/>
  <c r="U64" i="71" s="1"/>
  <c r="U68" i="71"/>
  <c r="E67" i="71"/>
  <c r="Q28" i="71"/>
  <c r="AB25" i="71" s="1"/>
  <c r="C59" i="71"/>
  <c r="D58" i="71"/>
  <c r="C63" i="71"/>
  <c r="D62" i="71"/>
  <c r="N67" i="71"/>
  <c r="B66" i="71"/>
  <c r="N66" i="71" s="1"/>
  <c r="T68" i="71"/>
  <c r="O68" i="71"/>
  <c r="D68" i="71"/>
  <c r="C67" i="71"/>
  <c r="C66" i="71" s="1"/>
  <c r="Q68" i="71"/>
  <c r="C71" i="71"/>
  <c r="D71" i="71" s="1"/>
  <c r="E71" i="71"/>
  <c r="E70" i="71" s="1"/>
  <c r="D72" i="71"/>
  <c r="C75" i="71"/>
  <c r="E75" i="71"/>
  <c r="E74" i="71" s="1"/>
  <c r="D76" i="71"/>
  <c r="C79" i="71"/>
  <c r="D79" i="71" s="1"/>
  <c r="E79" i="71"/>
  <c r="E78" i="71" s="1"/>
  <c r="D80" i="71"/>
  <c r="C83" i="71"/>
  <c r="C87" i="71"/>
  <c r="C86" i="71" s="1"/>
  <c r="D86" i="71" s="1"/>
  <c r="AB26" i="71"/>
  <c r="E28" i="71"/>
  <c r="E27" i="71" s="1"/>
  <c r="E26" i="71" s="1"/>
  <c r="AA3" i="71"/>
  <c r="AA26" i="71"/>
  <c r="AA28" i="71"/>
  <c r="O67" i="71"/>
  <c r="C64" i="71"/>
  <c r="D64" i="71" s="1"/>
  <c r="D63" i="71"/>
  <c r="D83" i="71"/>
  <c r="C82" i="71"/>
  <c r="D82" i="71"/>
  <c r="D75" i="71"/>
  <c r="C74" i="71"/>
  <c r="D74" i="71" s="1"/>
  <c r="D87" i="71"/>
  <c r="C78" i="71"/>
  <c r="D78" i="71" s="1"/>
  <c r="C70" i="71"/>
  <c r="D70" i="71" s="1"/>
  <c r="C60" i="71"/>
  <c r="T60" i="71" s="1"/>
  <c r="D59" i="71"/>
  <c r="P67" i="71"/>
  <c r="E66" i="71"/>
  <c r="P65" i="71" s="1"/>
  <c r="C36" i="71"/>
  <c r="T36" i="71" s="1"/>
  <c r="V28" i="71"/>
  <c r="P66" i="71"/>
  <c r="D36" i="71"/>
  <c r="D60"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s="1"/>
  <c r="D94" i="40"/>
  <c r="E94" i="40" s="1"/>
  <c r="F94" i="40" s="1"/>
  <c r="G94" i="40" s="1"/>
  <c r="F25" i="40"/>
  <c r="AA25" i="40" s="1"/>
  <c r="Q29" i="39"/>
  <c r="Z29" i="39" s="1"/>
  <c r="D102" i="39"/>
  <c r="E102" i="39" s="1"/>
  <c r="F102" i="39" s="1"/>
  <c r="G102" i="39" s="1"/>
  <c r="F29" i="39"/>
  <c r="AA29" i="39" s="1"/>
  <c r="Q18" i="36"/>
  <c r="Z18" i="36" s="1"/>
  <c r="D66" i="36"/>
  <c r="E66" i="36" s="1"/>
  <c r="F66" i="36" s="1"/>
  <c r="G66" i="36" s="1"/>
  <c r="H18" i="36"/>
  <c r="AB18" i="36" s="1"/>
  <c r="F18" i="36"/>
  <c r="AA18" i="36" s="1"/>
  <c r="C18" i="36"/>
  <c r="Q18" i="35"/>
  <c r="Z18" i="35" s="1"/>
  <c r="D68" i="35"/>
  <c r="E68" i="35" s="1"/>
  <c r="F68" i="35" s="1"/>
  <c r="G68" i="35" s="1"/>
  <c r="F18" i="35"/>
  <c r="AA18" i="35" s="1"/>
  <c r="C18" i="35"/>
  <c r="Z21" i="37"/>
  <c r="Q21" i="37"/>
  <c r="D77" i="37"/>
  <c r="E77" i="37" s="1"/>
  <c r="F77" i="37" s="1"/>
  <c r="G77" i="37" s="1"/>
  <c r="C21" i="37"/>
  <c r="Q21" i="34"/>
  <c r="Z21" i="34" s="1"/>
  <c r="D84" i="34"/>
  <c r="E84" i="34" s="1"/>
  <c r="F84" i="34" s="1"/>
  <c r="G84" i="34" s="1"/>
  <c r="F21" i="34"/>
  <c r="AA21" i="34" s="1"/>
  <c r="C21" i="34"/>
  <c r="Z21" i="33"/>
  <c r="Q21" i="33"/>
  <c r="D83" i="33"/>
  <c r="E83" i="33" s="1"/>
  <c r="F83" i="33" s="1"/>
  <c r="G83" i="33" s="1"/>
  <c r="C21" i="33"/>
  <c r="C21" i="21"/>
  <c r="Q21" i="21"/>
  <c r="Z21" i="21" s="1"/>
  <c r="H19" i="21"/>
  <c r="D83" i="21"/>
  <c r="F21" i="21"/>
  <c r="AA21" i="21" s="1"/>
  <c r="D81" i="21"/>
  <c r="G20" i="20"/>
  <c r="B88" i="43" s="1"/>
  <c r="C22" i="20"/>
  <c r="B100" i="43" s="1"/>
  <c r="B57" i="43"/>
  <c r="C25" i="40"/>
  <c r="S25" i="40"/>
  <c r="S18" i="36"/>
  <c r="H25" i="40"/>
  <c r="AB25" i="40" s="1"/>
  <c r="J25" i="40"/>
  <c r="AC25" i="40" s="1"/>
  <c r="H29" i="39"/>
  <c r="AB29" i="39" s="1"/>
  <c r="J29" i="39"/>
  <c r="AC29" i="39" s="1"/>
  <c r="J18" i="36"/>
  <c r="AC18" i="36" s="1"/>
  <c r="H18" i="35"/>
  <c r="AB18" i="35" s="1"/>
  <c r="S18" i="35"/>
  <c r="J18" i="35"/>
  <c r="H21" i="37"/>
  <c r="U21" i="37" s="1"/>
  <c r="F21" i="37"/>
  <c r="AA21" i="37" s="1"/>
  <c r="H21" i="34"/>
  <c r="AB21" i="34" s="1"/>
  <c r="H21" i="33"/>
  <c r="U21" i="33" s="1"/>
  <c r="F21" i="33"/>
  <c r="AA21" i="33" s="1"/>
  <c r="E83" i="21"/>
  <c r="F83" i="21" s="1"/>
  <c r="H1" i="69"/>
  <c r="W25" i="40"/>
  <c r="U25" i="40"/>
  <c r="U29" i="39"/>
  <c r="W29" i="39"/>
  <c r="W18" i="36"/>
  <c r="AB21" i="37"/>
  <c r="S21" i="37"/>
  <c r="S21" i="33"/>
  <c r="U18" i="35"/>
  <c r="AC18" i="35"/>
  <c r="W18" i="35"/>
  <c r="J21" i="37"/>
  <c r="W21" i="37" s="1"/>
  <c r="J21" i="34"/>
  <c r="W21" i="34" s="1"/>
  <c r="J21" i="33"/>
  <c r="W21" i="33" s="1"/>
  <c r="H21" i="21"/>
  <c r="U21" i="21" s="1"/>
  <c r="F38" i="69"/>
  <c r="E37" i="69"/>
  <c r="F36" i="69"/>
  <c r="F35" i="69"/>
  <c r="F21" i="69"/>
  <c r="F40" i="69" s="1"/>
  <c r="F20" i="69"/>
  <c r="F39" i="69" s="1"/>
  <c r="E10" i="69"/>
  <c r="E9" i="69"/>
  <c r="C7" i="69"/>
  <c r="AC21" i="33"/>
  <c r="G83" i="21"/>
  <c r="J21" i="21"/>
  <c r="W21" i="21" s="1"/>
  <c r="F38" i="68"/>
  <c r="E37" i="68"/>
  <c r="F36" i="68"/>
  <c r="F35" i="68"/>
  <c r="F21" i="68"/>
  <c r="F40" i="68" s="1"/>
  <c r="F20" i="68"/>
  <c r="F39" i="68" s="1"/>
  <c r="E10" i="68"/>
  <c r="E9" i="68"/>
  <c r="AC21" i="21"/>
  <c r="Q72" i="67"/>
  <c r="Q59" i="67"/>
  <c r="Q58" i="67"/>
  <c r="Q51" i="67"/>
  <c r="J50" i="67"/>
  <c r="M47" i="67"/>
  <c r="D46" i="67"/>
  <c r="F33" i="67"/>
  <c r="F61" i="67" s="1"/>
  <c r="F23" i="67"/>
  <c r="D24" i="67" s="1"/>
  <c r="F21" i="67"/>
  <c r="F20" i="67"/>
  <c r="M19" i="67"/>
  <c r="F18" i="67"/>
  <c r="F17" i="67"/>
  <c r="F15" i="67"/>
  <c r="S2" i="4"/>
  <c r="C51" i="10" s="1"/>
  <c r="A13" i="51"/>
  <c r="B11" i="72" s="1"/>
  <c r="S1" i="4"/>
  <c r="B1" i="4"/>
  <c r="B37" i="48" s="1"/>
  <c r="B2" i="72" s="1"/>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Q72" i="15"/>
  <c r="Q58" i="15"/>
  <c r="Q51" i="15"/>
  <c r="Q59" i="15"/>
  <c r="AE13" i="1"/>
  <c r="M47" i="15"/>
  <c r="AG13" i="1"/>
  <c r="J50" i="15"/>
  <c r="J51" i="15" s="1"/>
  <c r="D12" i="31"/>
  <c r="E12" i="3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J51" i="82" s="1"/>
  <c r="E15" i="4"/>
  <c r="F8" i="1" s="1"/>
  <c r="G8" i="1" s="1"/>
  <c r="A7" i="1"/>
  <c r="B7" i="1" s="1"/>
  <c r="E7" i="1" s="1"/>
  <c r="A8" i="1"/>
  <c r="B8" i="1" s="1"/>
  <c r="E8" i="1" s="1"/>
  <c r="A9" i="1"/>
  <c r="A10" i="1"/>
  <c r="A11" i="1"/>
  <c r="B11" i="1" s="1"/>
  <c r="E11" i="1" s="1"/>
  <c r="A12" i="1"/>
  <c r="A13" i="1"/>
  <c r="A6" i="1"/>
  <c r="B13" i="1"/>
  <c r="E13" i="1" s="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s="1"/>
  <c r="BK112" i="3"/>
  <c r="BJ112" i="3"/>
  <c r="BI112" i="3"/>
  <c r="BH112" i="3"/>
  <c r="BG112" i="3"/>
  <c r="BF112" i="3"/>
  <c r="BE112" i="3"/>
  <c r="BD112" i="3"/>
  <c r="BC112" i="3"/>
  <c r="BB112" i="3"/>
  <c r="AX112" i="3"/>
  <c r="AW112" i="3"/>
  <c r="AV112" i="3"/>
  <c r="AC112" i="3"/>
  <c r="H112" i="3"/>
  <c r="G112" i="3" s="1"/>
  <c r="BT111" i="3"/>
  <c r="BS111" i="3"/>
  <c r="BR111" i="3"/>
  <c r="BQ111" i="3"/>
  <c r="BP111" i="3"/>
  <c r="BO111" i="3"/>
  <c r="BN111" i="3"/>
  <c r="BM111" i="3"/>
  <c r="BL111" i="3" s="1"/>
  <c r="BK111" i="3"/>
  <c r="BJ111" i="3"/>
  <c r="BI111" i="3"/>
  <c r="BH111" i="3"/>
  <c r="BG111" i="3"/>
  <c r="BF111" i="3"/>
  <c r="BE111" i="3"/>
  <c r="BD111" i="3"/>
  <c r="BC111" i="3"/>
  <c r="BB111" i="3"/>
  <c r="AX111" i="3"/>
  <c r="AW111" i="3"/>
  <c r="AV111" i="3"/>
  <c r="AC111" i="3"/>
  <c r="H111" i="3"/>
  <c r="G111" i="3" s="1"/>
  <c r="BT110" i="3"/>
  <c r="BS110" i="3"/>
  <c r="BR110" i="3"/>
  <c r="BQ110" i="3"/>
  <c r="BP110" i="3"/>
  <c r="BO110" i="3"/>
  <c r="BN110" i="3"/>
  <c r="BM110" i="3"/>
  <c r="BL110" i="3" s="1"/>
  <c r="BK110" i="3"/>
  <c r="BJ110" i="3"/>
  <c r="BI110" i="3"/>
  <c r="BH110" i="3"/>
  <c r="BG110" i="3"/>
  <c r="BF110" i="3"/>
  <c r="BE110" i="3"/>
  <c r="BD110" i="3"/>
  <c r="BC110" i="3"/>
  <c r="BB110" i="3"/>
  <c r="AX110" i="3"/>
  <c r="AW110" i="3"/>
  <c r="AV110" i="3"/>
  <c r="AC110" i="3"/>
  <c r="H110" i="3"/>
  <c r="G110" i="3" s="1"/>
  <c r="BT109" i="3"/>
  <c r="BS109" i="3"/>
  <c r="BR109" i="3"/>
  <c r="BQ109" i="3"/>
  <c r="BP109" i="3"/>
  <c r="BO109" i="3"/>
  <c r="BN109" i="3"/>
  <c r="BM109" i="3"/>
  <c r="BL109" i="3" s="1"/>
  <c r="BK109" i="3"/>
  <c r="BJ109" i="3"/>
  <c r="BI109" i="3"/>
  <c r="BH109" i="3"/>
  <c r="BG109" i="3"/>
  <c r="BF109" i="3"/>
  <c r="BE109" i="3"/>
  <c r="BD109" i="3"/>
  <c r="BC109" i="3"/>
  <c r="BB109" i="3"/>
  <c r="AX109" i="3"/>
  <c r="AW109" i="3"/>
  <c r="AV109" i="3"/>
  <c r="AC109" i="3"/>
  <c r="H109" i="3"/>
  <c r="G109" i="3" s="1"/>
  <c r="BT108" i="3"/>
  <c r="BS108" i="3"/>
  <c r="BR108" i="3"/>
  <c r="BQ108" i="3"/>
  <c r="BP108" i="3"/>
  <c r="BO108" i="3"/>
  <c r="BN108" i="3"/>
  <c r="BM108" i="3"/>
  <c r="BL108" i="3" s="1"/>
  <c r="BK108" i="3"/>
  <c r="BJ108" i="3"/>
  <c r="BI108" i="3"/>
  <c r="BH108" i="3"/>
  <c r="BG108" i="3"/>
  <c r="BF108" i="3"/>
  <c r="BE108" i="3"/>
  <c r="BD108" i="3"/>
  <c r="BC108" i="3"/>
  <c r="BB108" i="3"/>
  <c r="AX108" i="3"/>
  <c r="AW108" i="3"/>
  <c r="AV108" i="3"/>
  <c r="AC108" i="3"/>
  <c r="H108" i="3"/>
  <c r="G108" i="3" s="1"/>
  <c r="BT107" i="3"/>
  <c r="BS107" i="3"/>
  <c r="BR107" i="3"/>
  <c r="BQ107" i="3"/>
  <c r="BP107" i="3"/>
  <c r="BO107" i="3"/>
  <c r="BN107" i="3"/>
  <c r="BM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s="1"/>
  <c r="BK106" i="3"/>
  <c r="BJ106" i="3"/>
  <c r="BI106" i="3"/>
  <c r="BH106" i="3"/>
  <c r="BG106" i="3"/>
  <c r="BF106" i="3"/>
  <c r="BE106" i="3"/>
  <c r="BD106" i="3"/>
  <c r="BC106" i="3"/>
  <c r="BB106" i="3"/>
  <c r="BA106" i="3" s="1"/>
  <c r="AX106" i="3"/>
  <c r="AW106" i="3"/>
  <c r="AV106" i="3"/>
  <c r="AC106" i="3"/>
  <c r="H106" i="3"/>
  <c r="G106" i="3" s="1"/>
  <c r="BT105" i="3"/>
  <c r="BS105" i="3"/>
  <c r="BR105" i="3"/>
  <c r="BQ105" i="3"/>
  <c r="BP105" i="3"/>
  <c r="BO105" i="3"/>
  <c r="BN105" i="3"/>
  <c r="BM105" i="3"/>
  <c r="BL105" i="3" s="1"/>
  <c r="BK105" i="3"/>
  <c r="BJ105" i="3"/>
  <c r="BI105" i="3"/>
  <c r="BH105" i="3"/>
  <c r="BG105" i="3"/>
  <c r="BF105" i="3"/>
  <c r="BE105" i="3"/>
  <c r="BD105" i="3"/>
  <c r="BC105" i="3"/>
  <c r="BB105" i="3"/>
  <c r="AX105" i="3"/>
  <c r="AW105" i="3"/>
  <c r="AV105" i="3"/>
  <c r="AC105" i="3"/>
  <c r="H105" i="3"/>
  <c r="G105" i="3" s="1"/>
  <c r="BT104" i="3"/>
  <c r="BS104" i="3"/>
  <c r="BR104" i="3"/>
  <c r="BQ104" i="3"/>
  <c r="BP104" i="3"/>
  <c r="BO104" i="3"/>
  <c r="BN104" i="3"/>
  <c r="BM104" i="3"/>
  <c r="BL104" i="3" s="1"/>
  <c r="BK104" i="3"/>
  <c r="BJ104" i="3"/>
  <c r="BI104" i="3"/>
  <c r="BH104" i="3"/>
  <c r="BG104" i="3"/>
  <c r="BF104" i="3"/>
  <c r="BE104" i="3"/>
  <c r="BD104" i="3"/>
  <c r="BC104" i="3"/>
  <c r="BB104" i="3"/>
  <c r="AX104" i="3"/>
  <c r="AW104" i="3"/>
  <c r="AV104" i="3"/>
  <c r="AC104" i="3"/>
  <c r="H104" i="3"/>
  <c r="G104" i="3" s="1"/>
  <c r="BT103" i="3"/>
  <c r="BS103" i="3"/>
  <c r="BR103" i="3"/>
  <c r="BQ103" i="3"/>
  <c r="BP103" i="3"/>
  <c r="BO103" i="3"/>
  <c r="BN103" i="3"/>
  <c r="BM103" i="3"/>
  <c r="BK103" i="3"/>
  <c r="BJ103" i="3"/>
  <c r="BI103" i="3"/>
  <c r="BH103" i="3"/>
  <c r="BG103" i="3"/>
  <c r="BF103" i="3"/>
  <c r="BE103" i="3"/>
  <c r="BD103" i="3"/>
  <c r="BC103" i="3"/>
  <c r="BB103" i="3"/>
  <c r="BA103" i="3"/>
  <c r="AX103" i="3"/>
  <c r="AW103" i="3"/>
  <c r="AV103" i="3"/>
  <c r="AC103" i="3"/>
  <c r="H103" i="3"/>
  <c r="BT102" i="3"/>
  <c r="BS102" i="3"/>
  <c r="BR102" i="3"/>
  <c r="BQ102" i="3"/>
  <c r="BP102" i="3"/>
  <c r="BO102" i="3"/>
  <c r="BN102" i="3"/>
  <c r="BM102" i="3"/>
  <c r="BL102" i="3"/>
  <c r="BK102" i="3"/>
  <c r="BJ102" i="3"/>
  <c r="BI102" i="3"/>
  <c r="BH102" i="3"/>
  <c r="BG102" i="3"/>
  <c r="BF102" i="3"/>
  <c r="BE102" i="3"/>
  <c r="BD102" i="3"/>
  <c r="BC102" i="3"/>
  <c r="BB102" i="3"/>
  <c r="BA102" i="3" s="1"/>
  <c r="AX102" i="3"/>
  <c r="AW102" i="3"/>
  <c r="AV102" i="3"/>
  <c r="AC102" i="3"/>
  <c r="H102" i="3"/>
  <c r="BT101" i="3"/>
  <c r="BS101" i="3"/>
  <c r="BR101" i="3"/>
  <c r="BQ101" i="3"/>
  <c r="BP101" i="3"/>
  <c r="BO101" i="3"/>
  <c r="BN101" i="3"/>
  <c r="BM101" i="3"/>
  <c r="BL101" i="3"/>
  <c r="BK101" i="3"/>
  <c r="BJ101" i="3"/>
  <c r="BI101" i="3"/>
  <c r="BH101" i="3"/>
  <c r="BG101" i="3"/>
  <c r="BF101" i="3"/>
  <c r="BE101" i="3"/>
  <c r="BD101" i="3"/>
  <c r="BC101" i="3"/>
  <c r="BB101" i="3"/>
  <c r="BA101" i="3" s="1"/>
  <c r="AX101" i="3"/>
  <c r="AW101" i="3"/>
  <c r="AV101" i="3"/>
  <c r="AC101" i="3"/>
  <c r="H101" i="3"/>
  <c r="BT100" i="3"/>
  <c r="BS100" i="3"/>
  <c r="BR100" i="3"/>
  <c r="BQ100" i="3"/>
  <c r="BP100" i="3"/>
  <c r="BO100" i="3"/>
  <c r="BN100" i="3"/>
  <c r="BM100" i="3"/>
  <c r="BL100" i="3"/>
  <c r="BK100" i="3"/>
  <c r="BJ100" i="3"/>
  <c r="BI100" i="3"/>
  <c r="BH100" i="3"/>
  <c r="BG100" i="3"/>
  <c r="BF100" i="3"/>
  <c r="BE100" i="3"/>
  <c r="BD100" i="3"/>
  <c r="BC100" i="3"/>
  <c r="BB100" i="3"/>
  <c r="BA100" i="3" s="1"/>
  <c r="AZ100" i="3" s="1"/>
  <c r="AX100" i="3"/>
  <c r="AW100" i="3"/>
  <c r="AV100" i="3"/>
  <c r="AC100" i="3"/>
  <c r="H100" i="3"/>
  <c r="G100" i="3"/>
  <c r="BT99" i="3"/>
  <c r="BS99" i="3"/>
  <c r="BR99" i="3"/>
  <c r="BQ99" i="3"/>
  <c r="BP99" i="3"/>
  <c r="BO99" i="3"/>
  <c r="BN99" i="3"/>
  <c r="BM99" i="3"/>
  <c r="BL99" i="3" s="1"/>
  <c r="BK99" i="3"/>
  <c r="BJ99" i="3"/>
  <c r="BI99" i="3"/>
  <c r="BH99" i="3"/>
  <c r="BG99" i="3"/>
  <c r="BF99" i="3"/>
  <c r="BE99" i="3"/>
  <c r="BD99" i="3"/>
  <c r="BC99" i="3"/>
  <c r="BB99" i="3"/>
  <c r="BA99" i="3" s="1"/>
  <c r="AX99" i="3"/>
  <c r="AW99" i="3"/>
  <c r="AV99" i="3"/>
  <c r="AC99" i="3"/>
  <c r="H99" i="3"/>
  <c r="G99" i="3" s="1"/>
  <c r="BT98" i="3"/>
  <c r="BS98" i="3"/>
  <c r="BR98" i="3"/>
  <c r="BQ98" i="3"/>
  <c r="BP98" i="3"/>
  <c r="BO98" i="3"/>
  <c r="BN98" i="3"/>
  <c r="BM98" i="3"/>
  <c r="BL98" i="3" s="1"/>
  <c r="BK98" i="3"/>
  <c r="BJ98" i="3"/>
  <c r="BI98" i="3"/>
  <c r="BH98" i="3"/>
  <c r="BG98" i="3"/>
  <c r="BF98" i="3"/>
  <c r="BE98" i="3"/>
  <c r="BD98" i="3"/>
  <c r="BC98" i="3"/>
  <c r="BB98" i="3"/>
  <c r="AX98" i="3"/>
  <c r="AW98" i="3"/>
  <c r="AV98" i="3"/>
  <c r="AC98" i="3"/>
  <c r="H98" i="3"/>
  <c r="G98" i="3" s="1"/>
  <c r="BT97" i="3"/>
  <c r="BS97" i="3"/>
  <c r="BR97" i="3"/>
  <c r="BQ97" i="3"/>
  <c r="BP97" i="3"/>
  <c r="BO97" i="3"/>
  <c r="BN97" i="3"/>
  <c r="BM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s="1"/>
  <c r="BK96" i="3"/>
  <c r="BJ96" i="3"/>
  <c r="BI96" i="3"/>
  <c r="BH96" i="3"/>
  <c r="BG96" i="3"/>
  <c r="BF96" i="3"/>
  <c r="BE96" i="3"/>
  <c r="BD96" i="3"/>
  <c r="BC96" i="3"/>
  <c r="BB96" i="3"/>
  <c r="BA96" i="3" s="1"/>
  <c r="AX96" i="3"/>
  <c r="AW96" i="3"/>
  <c r="AV96" i="3"/>
  <c r="AC96" i="3"/>
  <c r="H96" i="3"/>
  <c r="G96" i="3" s="1"/>
  <c r="BT95" i="3"/>
  <c r="BS95" i="3"/>
  <c r="BR95" i="3"/>
  <c r="BQ95" i="3"/>
  <c r="BP95" i="3"/>
  <c r="BO95" i="3"/>
  <c r="BN95" i="3"/>
  <c r="BM95" i="3"/>
  <c r="BL95" i="3" s="1"/>
  <c r="BK95" i="3"/>
  <c r="BJ95" i="3"/>
  <c r="BI95" i="3"/>
  <c r="BH95" i="3"/>
  <c r="BG95" i="3"/>
  <c r="BF95" i="3"/>
  <c r="BE95" i="3"/>
  <c r="BD95" i="3"/>
  <c r="BC95" i="3"/>
  <c r="BB95" i="3"/>
  <c r="AX95" i="3"/>
  <c r="AW95" i="3"/>
  <c r="AV95" i="3"/>
  <c r="AC95" i="3"/>
  <c r="H95" i="3"/>
  <c r="G95" i="3" s="1"/>
  <c r="BT94" i="3"/>
  <c r="BS94" i="3"/>
  <c r="BR94" i="3"/>
  <c r="BQ94" i="3"/>
  <c r="BP94" i="3"/>
  <c r="BO94" i="3"/>
  <c r="BN94" i="3"/>
  <c r="BM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s="1"/>
  <c r="BK93" i="3"/>
  <c r="BJ93" i="3"/>
  <c r="BI93" i="3"/>
  <c r="BH93" i="3"/>
  <c r="BG93" i="3"/>
  <c r="BF93" i="3"/>
  <c r="BE93" i="3"/>
  <c r="BD93" i="3"/>
  <c r="BC93" i="3"/>
  <c r="BB93" i="3"/>
  <c r="BA93" i="3" s="1"/>
  <c r="AX93" i="3"/>
  <c r="AW93" i="3"/>
  <c r="AV93" i="3"/>
  <c r="AC93" i="3"/>
  <c r="H93" i="3"/>
  <c r="G93" i="3" s="1"/>
  <c r="BT92" i="3"/>
  <c r="BS92" i="3"/>
  <c r="BR92" i="3"/>
  <c r="BQ92" i="3"/>
  <c r="BP92" i="3"/>
  <c r="BO92" i="3"/>
  <c r="BN92" i="3"/>
  <c r="BM92" i="3"/>
  <c r="BK92" i="3"/>
  <c r="BJ92" i="3"/>
  <c r="BI92" i="3"/>
  <c r="BH92" i="3"/>
  <c r="BG92" i="3"/>
  <c r="BF92" i="3"/>
  <c r="BE92" i="3"/>
  <c r="BD92" i="3"/>
  <c r="BC92" i="3"/>
  <c r="BB92" i="3"/>
  <c r="BA92" i="3"/>
  <c r="AX92" i="3"/>
  <c r="AW92" i="3"/>
  <c r="AV92" i="3"/>
  <c r="AC92" i="3"/>
  <c r="H92" i="3"/>
  <c r="BT91" i="3"/>
  <c r="BS91" i="3"/>
  <c r="BR91" i="3"/>
  <c r="BQ91" i="3"/>
  <c r="BP91" i="3"/>
  <c r="BO91" i="3"/>
  <c r="BN91" i="3"/>
  <c r="BM91" i="3"/>
  <c r="BL91" i="3"/>
  <c r="BK91" i="3"/>
  <c r="BJ91" i="3"/>
  <c r="BI91" i="3"/>
  <c r="BH91" i="3"/>
  <c r="BG91" i="3"/>
  <c r="BF91" i="3"/>
  <c r="BE91" i="3"/>
  <c r="BD91" i="3"/>
  <c r="BC91" i="3"/>
  <c r="BB91" i="3"/>
  <c r="BA91" i="3" s="1"/>
  <c r="AZ91" i="3" s="1"/>
  <c r="AX91" i="3"/>
  <c r="AW91" i="3"/>
  <c r="AV91" i="3"/>
  <c r="AC91" i="3"/>
  <c r="H91" i="3"/>
  <c r="G91" i="3"/>
  <c r="BT90" i="3"/>
  <c r="BS90" i="3"/>
  <c r="BR90" i="3"/>
  <c r="BQ90" i="3"/>
  <c r="BP90" i="3"/>
  <c r="BO90" i="3"/>
  <c r="BN90" i="3"/>
  <c r="BM90" i="3"/>
  <c r="BL90" i="3" s="1"/>
  <c r="BK90" i="3"/>
  <c r="BJ90" i="3"/>
  <c r="BI90" i="3"/>
  <c r="BH90" i="3"/>
  <c r="BG90" i="3"/>
  <c r="BF90" i="3"/>
  <c r="BE90" i="3"/>
  <c r="BD90" i="3"/>
  <c r="BC90" i="3"/>
  <c r="BB90" i="3"/>
  <c r="BA90" i="3" s="1"/>
  <c r="AX90" i="3"/>
  <c r="AW90" i="3"/>
  <c r="AV90" i="3"/>
  <c r="AC90" i="3"/>
  <c r="H90" i="3"/>
  <c r="G90" i="3" s="1"/>
  <c r="BT89" i="3"/>
  <c r="BS89" i="3"/>
  <c r="BR89" i="3"/>
  <c r="BQ89" i="3"/>
  <c r="BP89" i="3"/>
  <c r="BO89" i="3"/>
  <c r="BN89" i="3"/>
  <c r="BM89" i="3"/>
  <c r="BL89" i="3" s="1"/>
  <c r="BK89" i="3"/>
  <c r="BJ89" i="3"/>
  <c r="BI89" i="3"/>
  <c r="BH89" i="3"/>
  <c r="BG89" i="3"/>
  <c r="BF89" i="3"/>
  <c r="BE89" i="3"/>
  <c r="BD89" i="3"/>
  <c r="BC89" i="3"/>
  <c r="BB89" i="3"/>
  <c r="AX89" i="3"/>
  <c r="AW89" i="3"/>
  <c r="AV89" i="3"/>
  <c r="AC89" i="3"/>
  <c r="H89" i="3"/>
  <c r="G89" i="3" s="1"/>
  <c r="BT88" i="3"/>
  <c r="BS88" i="3"/>
  <c r="BR88" i="3"/>
  <c r="BQ88" i="3"/>
  <c r="BP88" i="3"/>
  <c r="BO88" i="3"/>
  <c r="BN88" i="3"/>
  <c r="BM88" i="3"/>
  <c r="BL88" i="3" s="1"/>
  <c r="BK88" i="3"/>
  <c r="BJ88" i="3"/>
  <c r="BI88" i="3"/>
  <c r="BH88" i="3"/>
  <c r="BG88" i="3"/>
  <c r="BF88" i="3"/>
  <c r="BE88" i="3"/>
  <c r="BD88" i="3"/>
  <c r="BC88" i="3"/>
  <c r="BB88" i="3"/>
  <c r="AX88" i="3"/>
  <c r="AW88" i="3"/>
  <c r="AV88" i="3"/>
  <c r="AC88" i="3"/>
  <c r="H88" i="3"/>
  <c r="G88" i="3" s="1"/>
  <c r="BT87" i="3"/>
  <c r="BS87" i="3"/>
  <c r="BR87" i="3"/>
  <c r="BQ87" i="3"/>
  <c r="BP87" i="3"/>
  <c r="BO87" i="3"/>
  <c r="BN87" i="3"/>
  <c r="BM87" i="3"/>
  <c r="BL87" i="3" s="1"/>
  <c r="BK87" i="3"/>
  <c r="BJ87" i="3"/>
  <c r="BI87" i="3"/>
  <c r="BH87" i="3"/>
  <c r="BG87" i="3"/>
  <c r="BF87" i="3"/>
  <c r="BE87" i="3"/>
  <c r="BD87" i="3"/>
  <c r="BC87" i="3"/>
  <c r="BB87" i="3"/>
  <c r="AX87" i="3"/>
  <c r="AW87" i="3"/>
  <c r="AV87" i="3"/>
  <c r="AC87" i="3"/>
  <c r="H87" i="3"/>
  <c r="G87" i="3" s="1"/>
  <c r="BT86" i="3"/>
  <c r="BS86" i="3"/>
  <c r="BR86" i="3"/>
  <c r="BQ86" i="3"/>
  <c r="BP86" i="3"/>
  <c r="BO86" i="3"/>
  <c r="BN86" i="3"/>
  <c r="BM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s="1"/>
  <c r="BK85" i="3"/>
  <c r="BJ85" i="3"/>
  <c r="BI85" i="3"/>
  <c r="BH85" i="3"/>
  <c r="BG85" i="3"/>
  <c r="BF85" i="3"/>
  <c r="BE85" i="3"/>
  <c r="BD85" i="3"/>
  <c r="BC85" i="3"/>
  <c r="BB85" i="3"/>
  <c r="BA85" i="3" s="1"/>
  <c r="AX85" i="3"/>
  <c r="AW85" i="3"/>
  <c r="AV85" i="3"/>
  <c r="AC85" i="3"/>
  <c r="H85" i="3"/>
  <c r="G85" i="3" s="1"/>
  <c r="BT84" i="3"/>
  <c r="BS84" i="3"/>
  <c r="BR84" i="3"/>
  <c r="BQ84" i="3"/>
  <c r="BP84" i="3"/>
  <c r="BO84" i="3"/>
  <c r="BN84" i="3"/>
  <c r="BM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s="1"/>
  <c r="BK83" i="3"/>
  <c r="BJ83" i="3"/>
  <c r="BI83" i="3"/>
  <c r="BH83" i="3"/>
  <c r="BG83" i="3"/>
  <c r="BF83" i="3"/>
  <c r="BE83" i="3"/>
  <c r="BD83" i="3"/>
  <c r="BC83" i="3"/>
  <c r="BB83" i="3"/>
  <c r="BA83" i="3" s="1"/>
  <c r="AX83" i="3"/>
  <c r="AW83" i="3"/>
  <c r="AV83" i="3"/>
  <c r="AC83" i="3"/>
  <c r="H83" i="3"/>
  <c r="G83" i="3" s="1"/>
  <c r="BT82" i="3"/>
  <c r="BS82" i="3"/>
  <c r="BR82" i="3"/>
  <c r="BQ82" i="3"/>
  <c r="BP82" i="3"/>
  <c r="BO82" i="3"/>
  <c r="BN82" i="3"/>
  <c r="BM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s="1"/>
  <c r="BK81" i="3"/>
  <c r="BJ81" i="3"/>
  <c r="BI81" i="3"/>
  <c r="BH81" i="3"/>
  <c r="BG81" i="3"/>
  <c r="BF81" i="3"/>
  <c r="BE81" i="3"/>
  <c r="BD81" i="3"/>
  <c r="BC81" i="3"/>
  <c r="BB81" i="3"/>
  <c r="BA81" i="3" s="1"/>
  <c r="AX81" i="3"/>
  <c r="AW81" i="3"/>
  <c r="AV81" i="3"/>
  <c r="AC81" i="3"/>
  <c r="H81" i="3"/>
  <c r="G81" i="3" s="1"/>
  <c r="BT80" i="3"/>
  <c r="BS80" i="3"/>
  <c r="BR80" i="3"/>
  <c r="BQ80" i="3"/>
  <c r="BP80" i="3"/>
  <c r="BO80" i="3"/>
  <c r="BN80" i="3"/>
  <c r="BM80" i="3"/>
  <c r="BL80" i="3" s="1"/>
  <c r="BK80" i="3"/>
  <c r="BJ80" i="3"/>
  <c r="BI80" i="3"/>
  <c r="BH80" i="3"/>
  <c r="BG80" i="3"/>
  <c r="BF80" i="3"/>
  <c r="BE80" i="3"/>
  <c r="BD80" i="3"/>
  <c r="BC80" i="3"/>
  <c r="BB80" i="3"/>
  <c r="AX80" i="3"/>
  <c r="AW80" i="3"/>
  <c r="AV80" i="3"/>
  <c r="AC80" i="3"/>
  <c r="H80" i="3"/>
  <c r="G80" i="3" s="1"/>
  <c r="BT79" i="3"/>
  <c r="BS79" i="3"/>
  <c r="BR79" i="3"/>
  <c r="BQ79" i="3"/>
  <c r="BP79" i="3"/>
  <c r="BO79" i="3"/>
  <c r="BN79" i="3"/>
  <c r="BM79" i="3"/>
  <c r="BL79" i="3" s="1"/>
  <c r="BK79" i="3"/>
  <c r="BJ79" i="3"/>
  <c r="BI79" i="3"/>
  <c r="BH79" i="3"/>
  <c r="BG79" i="3"/>
  <c r="BF79" i="3"/>
  <c r="BE79" i="3"/>
  <c r="BD79" i="3"/>
  <c r="BC79" i="3"/>
  <c r="BB79" i="3"/>
  <c r="AX79" i="3"/>
  <c r="AW79" i="3"/>
  <c r="AV79" i="3"/>
  <c r="AC79" i="3"/>
  <c r="H79" i="3"/>
  <c r="G79" i="3" s="1"/>
  <c r="BT78" i="3"/>
  <c r="BS78" i="3"/>
  <c r="BR78" i="3"/>
  <c r="BQ78" i="3"/>
  <c r="BP78" i="3"/>
  <c r="BO78" i="3"/>
  <c r="BN78" i="3"/>
  <c r="BM78" i="3"/>
  <c r="BL78" i="3" s="1"/>
  <c r="BK78" i="3"/>
  <c r="BJ78" i="3"/>
  <c r="BI78" i="3"/>
  <c r="BH78" i="3"/>
  <c r="BG78" i="3"/>
  <c r="BF78" i="3"/>
  <c r="BE78" i="3"/>
  <c r="BD78" i="3"/>
  <c r="BC78" i="3"/>
  <c r="BB78" i="3"/>
  <c r="AX78" i="3"/>
  <c r="AW78" i="3"/>
  <c r="AV78" i="3"/>
  <c r="AC78" i="3"/>
  <c r="H78" i="3"/>
  <c r="G78" i="3" s="1"/>
  <c r="BT77" i="3"/>
  <c r="BS77" i="3"/>
  <c r="BR77" i="3"/>
  <c r="BQ77" i="3"/>
  <c r="BP77" i="3"/>
  <c r="BO77" i="3"/>
  <c r="BN77" i="3"/>
  <c r="BM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s="1"/>
  <c r="BK76" i="3"/>
  <c r="BJ76" i="3"/>
  <c r="BI76" i="3"/>
  <c r="BH76" i="3"/>
  <c r="BG76" i="3"/>
  <c r="BF76" i="3"/>
  <c r="BE76" i="3"/>
  <c r="BD76" i="3"/>
  <c r="BC76" i="3"/>
  <c r="BB76" i="3"/>
  <c r="BA76" i="3" s="1"/>
  <c r="AX76" i="3"/>
  <c r="AW76" i="3"/>
  <c r="AV76" i="3"/>
  <c r="AC76" i="3"/>
  <c r="H76" i="3"/>
  <c r="G76" i="3" s="1"/>
  <c r="BT75" i="3"/>
  <c r="BS75" i="3"/>
  <c r="BR75" i="3"/>
  <c r="BQ75" i="3"/>
  <c r="BP75" i="3"/>
  <c r="BO75" i="3"/>
  <c r="BN75" i="3"/>
  <c r="BM75" i="3"/>
  <c r="BL75" i="3" s="1"/>
  <c r="BK75" i="3"/>
  <c r="BJ75" i="3"/>
  <c r="BI75" i="3"/>
  <c r="BH75" i="3"/>
  <c r="BG75" i="3"/>
  <c r="BF75" i="3"/>
  <c r="BE75" i="3"/>
  <c r="BD75" i="3"/>
  <c r="BC75" i="3"/>
  <c r="BB75" i="3"/>
  <c r="AX75" i="3"/>
  <c r="AW75" i="3"/>
  <c r="AV75" i="3"/>
  <c r="AC75" i="3"/>
  <c r="H75" i="3"/>
  <c r="G75" i="3" s="1"/>
  <c r="BT74" i="3"/>
  <c r="BS74" i="3"/>
  <c r="BR74" i="3"/>
  <c r="BQ74" i="3"/>
  <c r="BP74" i="3"/>
  <c r="BO74" i="3"/>
  <c r="BN74" i="3"/>
  <c r="BM74" i="3"/>
  <c r="BL74" i="3" s="1"/>
  <c r="BK74" i="3"/>
  <c r="BJ74" i="3"/>
  <c r="BI74" i="3"/>
  <c r="BH74" i="3"/>
  <c r="BG74" i="3"/>
  <c r="BF74" i="3"/>
  <c r="BE74" i="3"/>
  <c r="BD74" i="3"/>
  <c r="BC74" i="3"/>
  <c r="BB74" i="3"/>
  <c r="AX74" i="3"/>
  <c r="AW74" i="3"/>
  <c r="AV74" i="3"/>
  <c r="AC74" i="3"/>
  <c r="H74" i="3"/>
  <c r="G74" i="3" s="1"/>
  <c r="BT73" i="3"/>
  <c r="BS73" i="3"/>
  <c r="BR73" i="3"/>
  <c r="BQ73" i="3"/>
  <c r="BP73" i="3"/>
  <c r="BO73" i="3"/>
  <c r="BN73" i="3"/>
  <c r="BM73" i="3"/>
  <c r="BL73" i="3" s="1"/>
  <c r="BK73" i="3"/>
  <c r="BJ73" i="3"/>
  <c r="BI73" i="3"/>
  <c r="BH73" i="3"/>
  <c r="BG73" i="3"/>
  <c r="BF73" i="3"/>
  <c r="BE73" i="3"/>
  <c r="BD73" i="3"/>
  <c r="BC73" i="3"/>
  <c r="BB73" i="3"/>
  <c r="AX73" i="3"/>
  <c r="AW73" i="3"/>
  <c r="AV73" i="3"/>
  <c r="AC73" i="3"/>
  <c r="H73" i="3"/>
  <c r="G73" i="3" s="1"/>
  <c r="BT72" i="3"/>
  <c r="BS72" i="3"/>
  <c r="BR72" i="3"/>
  <c r="BQ72" i="3"/>
  <c r="BP72" i="3"/>
  <c r="BO72" i="3"/>
  <c r="BN72" i="3"/>
  <c r="BM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s="1"/>
  <c r="BK71" i="3"/>
  <c r="BJ71" i="3"/>
  <c r="BI71" i="3"/>
  <c r="BH71" i="3"/>
  <c r="BG71" i="3"/>
  <c r="BF71" i="3"/>
  <c r="BE71" i="3"/>
  <c r="BD71" i="3"/>
  <c r="BC71" i="3"/>
  <c r="BB71" i="3"/>
  <c r="BA71" i="3" s="1"/>
  <c r="AX71" i="3"/>
  <c r="AW71" i="3"/>
  <c r="AV71" i="3"/>
  <c r="AC71" i="3"/>
  <c r="H71" i="3"/>
  <c r="G71" i="3" s="1"/>
  <c r="BT70" i="3"/>
  <c r="BS70" i="3"/>
  <c r="BR70" i="3"/>
  <c r="BQ70" i="3"/>
  <c r="BP70" i="3"/>
  <c r="BO70" i="3"/>
  <c r="BN70" i="3"/>
  <c r="BM70" i="3"/>
  <c r="BK70" i="3"/>
  <c r="BJ70" i="3"/>
  <c r="BI70" i="3"/>
  <c r="BH70" i="3"/>
  <c r="BG70" i="3"/>
  <c r="BF70" i="3"/>
  <c r="BE70" i="3"/>
  <c r="BD70" i="3"/>
  <c r="BC70" i="3"/>
  <c r="BB70" i="3"/>
  <c r="BA70" i="3"/>
  <c r="AX70" i="3"/>
  <c r="AW70" i="3"/>
  <c r="AV70" i="3"/>
  <c r="AC70" i="3"/>
  <c r="H70" i="3"/>
  <c r="BT69" i="3"/>
  <c r="BS69" i="3"/>
  <c r="BR69" i="3"/>
  <c r="BQ69" i="3"/>
  <c r="BP69" i="3"/>
  <c r="BO69" i="3"/>
  <c r="BN69" i="3"/>
  <c r="BM69" i="3"/>
  <c r="BL69" i="3"/>
  <c r="BK69" i="3"/>
  <c r="BJ69" i="3"/>
  <c r="BI69" i="3"/>
  <c r="BH69" i="3"/>
  <c r="BG69" i="3"/>
  <c r="BF69" i="3"/>
  <c r="BE69" i="3"/>
  <c r="BD69" i="3"/>
  <c r="BC69" i="3"/>
  <c r="BB69" i="3"/>
  <c r="BA69" i="3" s="1"/>
  <c r="AX69" i="3"/>
  <c r="AW69" i="3"/>
  <c r="AV69" i="3"/>
  <c r="AC69" i="3"/>
  <c r="H69" i="3"/>
  <c r="BT68" i="3"/>
  <c r="BS68" i="3"/>
  <c r="BR68" i="3"/>
  <c r="BQ68" i="3"/>
  <c r="BP68" i="3"/>
  <c r="BO68" i="3"/>
  <c r="BN68" i="3"/>
  <c r="BM68" i="3"/>
  <c r="BL68" i="3"/>
  <c r="BK68" i="3"/>
  <c r="BJ68" i="3"/>
  <c r="BI68" i="3"/>
  <c r="BH68" i="3"/>
  <c r="BG68" i="3"/>
  <c r="BF68" i="3"/>
  <c r="BE68" i="3"/>
  <c r="BD68" i="3"/>
  <c r="BC68" i="3"/>
  <c r="BB68" i="3"/>
  <c r="BA68" i="3" s="1"/>
  <c r="AZ68" i="3" s="1"/>
  <c r="AX68" i="3"/>
  <c r="AW68" i="3"/>
  <c r="AV68" i="3"/>
  <c r="AC68" i="3"/>
  <c r="H68" i="3"/>
  <c r="G68" i="3"/>
  <c r="BT67" i="3"/>
  <c r="BS67" i="3"/>
  <c r="BR67" i="3"/>
  <c r="BQ67" i="3"/>
  <c r="BP67" i="3"/>
  <c r="BO67" i="3"/>
  <c r="BN67" i="3"/>
  <c r="BM67" i="3"/>
  <c r="BL67" i="3" s="1"/>
  <c r="BK67" i="3"/>
  <c r="BJ67" i="3"/>
  <c r="BI67" i="3"/>
  <c r="BH67" i="3"/>
  <c r="BG67" i="3"/>
  <c r="BF67" i="3"/>
  <c r="BE67" i="3"/>
  <c r="BD67" i="3"/>
  <c r="BC67" i="3"/>
  <c r="BB67" i="3"/>
  <c r="BA67" i="3" s="1"/>
  <c r="AX67" i="3"/>
  <c r="AW67" i="3"/>
  <c r="AV67" i="3"/>
  <c r="AC67" i="3"/>
  <c r="H67" i="3"/>
  <c r="G67" i="3" s="1"/>
  <c r="BT66" i="3"/>
  <c r="BS66" i="3"/>
  <c r="BR66" i="3"/>
  <c r="BQ66" i="3"/>
  <c r="BP66" i="3"/>
  <c r="BO66" i="3"/>
  <c r="BN66" i="3"/>
  <c r="BM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s="1"/>
  <c r="BK65" i="3"/>
  <c r="BJ65" i="3"/>
  <c r="BI65" i="3"/>
  <c r="BH65" i="3"/>
  <c r="BG65" i="3"/>
  <c r="BF65" i="3"/>
  <c r="BE65" i="3"/>
  <c r="BD65" i="3"/>
  <c r="BC65" i="3"/>
  <c r="BB65" i="3"/>
  <c r="BA65" i="3" s="1"/>
  <c r="AX65" i="3"/>
  <c r="AW65" i="3"/>
  <c r="AV65" i="3"/>
  <c r="AC65" i="3"/>
  <c r="H65" i="3"/>
  <c r="G65" i="3" s="1"/>
  <c r="BT64" i="3"/>
  <c r="BS64" i="3"/>
  <c r="BR64" i="3"/>
  <c r="BQ64" i="3"/>
  <c r="BP64" i="3"/>
  <c r="BO64" i="3"/>
  <c r="BN64" i="3"/>
  <c r="BM64" i="3"/>
  <c r="BL64" i="3" s="1"/>
  <c r="BK64" i="3"/>
  <c r="BJ64" i="3"/>
  <c r="BI64" i="3"/>
  <c r="BH64" i="3"/>
  <c r="BG64" i="3"/>
  <c r="BF64" i="3"/>
  <c r="BE64" i="3"/>
  <c r="BD64" i="3"/>
  <c r="BC64" i="3"/>
  <c r="BB64" i="3"/>
  <c r="AX64" i="3"/>
  <c r="AW64" i="3"/>
  <c r="AV64" i="3"/>
  <c r="AC64" i="3"/>
  <c r="H64" i="3"/>
  <c r="G64" i="3" s="1"/>
  <c r="BT63" i="3"/>
  <c r="BS63" i="3"/>
  <c r="BR63" i="3"/>
  <c r="BQ63" i="3"/>
  <c r="BP63" i="3"/>
  <c r="BO63" i="3"/>
  <c r="BN63" i="3"/>
  <c r="BM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s="1"/>
  <c r="BK62" i="3"/>
  <c r="BJ62" i="3"/>
  <c r="BI62" i="3"/>
  <c r="BH62" i="3"/>
  <c r="BG62" i="3"/>
  <c r="BF62" i="3"/>
  <c r="BE62" i="3"/>
  <c r="BD62" i="3"/>
  <c r="BC62" i="3"/>
  <c r="BB62" i="3"/>
  <c r="BA62" i="3" s="1"/>
  <c r="AX62" i="3"/>
  <c r="AW62" i="3"/>
  <c r="AV62" i="3"/>
  <c r="AC62" i="3"/>
  <c r="H62" i="3"/>
  <c r="G62" i="3" s="1"/>
  <c r="BT61" i="3"/>
  <c r="BS61" i="3"/>
  <c r="BR61" i="3"/>
  <c r="BQ61" i="3"/>
  <c r="BP61" i="3"/>
  <c r="BO61" i="3"/>
  <c r="BN61" i="3"/>
  <c r="BM61" i="3"/>
  <c r="BL61" i="3" s="1"/>
  <c r="BK61" i="3"/>
  <c r="BJ61" i="3"/>
  <c r="BI61" i="3"/>
  <c r="BH61" i="3"/>
  <c r="BG61" i="3"/>
  <c r="BF61" i="3"/>
  <c r="BE61" i="3"/>
  <c r="BD61" i="3"/>
  <c r="BC61" i="3"/>
  <c r="BB61" i="3"/>
  <c r="AX61" i="3"/>
  <c r="AW61" i="3"/>
  <c r="AV61" i="3"/>
  <c r="AC61" i="3"/>
  <c r="H61" i="3"/>
  <c r="G61" i="3" s="1"/>
  <c r="BT60" i="3"/>
  <c r="BS60" i="3"/>
  <c r="BR60" i="3"/>
  <c r="BQ60" i="3"/>
  <c r="BP60" i="3"/>
  <c r="BO60" i="3"/>
  <c r="BN60" i="3"/>
  <c r="BM60" i="3"/>
  <c r="BL60" i="3" s="1"/>
  <c r="BK60" i="3"/>
  <c r="BJ60" i="3"/>
  <c r="BI60" i="3"/>
  <c r="BH60" i="3"/>
  <c r="BG60" i="3"/>
  <c r="BF60" i="3"/>
  <c r="BE60" i="3"/>
  <c r="BD60" i="3"/>
  <c r="BC60" i="3"/>
  <c r="BB60" i="3"/>
  <c r="AX60" i="3"/>
  <c r="AW60" i="3"/>
  <c r="AV60" i="3"/>
  <c r="AC60" i="3"/>
  <c r="H60" i="3"/>
  <c r="G60" i="3" s="1"/>
  <c r="BT59" i="3"/>
  <c r="BS59" i="3"/>
  <c r="BR59" i="3"/>
  <c r="BQ59" i="3"/>
  <c r="BP59" i="3"/>
  <c r="BO59" i="3"/>
  <c r="BN59" i="3"/>
  <c r="BM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s="1"/>
  <c r="BK58" i="3"/>
  <c r="BJ58" i="3"/>
  <c r="BI58" i="3"/>
  <c r="BH58" i="3"/>
  <c r="BG58" i="3"/>
  <c r="BF58" i="3"/>
  <c r="BE58" i="3"/>
  <c r="BD58" i="3"/>
  <c r="BC58" i="3"/>
  <c r="BB58" i="3"/>
  <c r="BA58" i="3" s="1"/>
  <c r="AX58" i="3"/>
  <c r="AW58" i="3"/>
  <c r="AV58" i="3"/>
  <c r="AC58" i="3"/>
  <c r="H58" i="3"/>
  <c r="G58" i="3" s="1"/>
  <c r="BT57" i="3"/>
  <c r="BS57" i="3"/>
  <c r="BR57" i="3"/>
  <c r="BQ57" i="3"/>
  <c r="BP57" i="3"/>
  <c r="BO57" i="3"/>
  <c r="BN57" i="3"/>
  <c r="BM57" i="3"/>
  <c r="BK57" i="3"/>
  <c r="BJ57" i="3"/>
  <c r="BI57" i="3"/>
  <c r="BH57" i="3"/>
  <c r="BG57" i="3"/>
  <c r="BF57" i="3"/>
  <c r="BE57" i="3"/>
  <c r="BD57" i="3"/>
  <c r="BC57" i="3"/>
  <c r="BB57" i="3"/>
  <c r="BA57" i="3"/>
  <c r="AX57" i="3"/>
  <c r="AW57" i="3"/>
  <c r="AV57" i="3"/>
  <c r="AC57" i="3"/>
  <c r="H57" i="3"/>
  <c r="BT56" i="3"/>
  <c r="BS56" i="3"/>
  <c r="BR56" i="3"/>
  <c r="BQ56" i="3"/>
  <c r="BP56" i="3"/>
  <c r="BO56" i="3"/>
  <c r="BN56" i="3"/>
  <c r="BM56" i="3"/>
  <c r="BL56" i="3"/>
  <c r="BK56" i="3"/>
  <c r="BJ56" i="3"/>
  <c r="BI56" i="3"/>
  <c r="BH56" i="3"/>
  <c r="BG56" i="3"/>
  <c r="BF56" i="3"/>
  <c r="BE56" i="3"/>
  <c r="BD56" i="3"/>
  <c r="BC56" i="3"/>
  <c r="BB56" i="3"/>
  <c r="BA56" i="3" s="1"/>
  <c r="AZ56" i="3" s="1"/>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BA55" i="3" s="1"/>
  <c r="AX55" i="3"/>
  <c r="AW55" i="3"/>
  <c r="AV55" i="3"/>
  <c r="AC55" i="3"/>
  <c r="H55" i="3"/>
  <c r="G55" i="3" s="1"/>
  <c r="BT54" i="3"/>
  <c r="BS54" i="3"/>
  <c r="BR54" i="3"/>
  <c r="BQ54" i="3"/>
  <c r="BP54" i="3"/>
  <c r="BO54" i="3"/>
  <c r="BN54" i="3"/>
  <c r="BM54" i="3"/>
  <c r="BK54" i="3"/>
  <c r="BJ54" i="3"/>
  <c r="BI54" i="3"/>
  <c r="BH54" i="3"/>
  <c r="BG54" i="3"/>
  <c r="BF54" i="3"/>
  <c r="BE54" i="3"/>
  <c r="BD54" i="3"/>
  <c r="BC54" i="3"/>
  <c r="BB54" i="3"/>
  <c r="BA54" i="3"/>
  <c r="AX54" i="3"/>
  <c r="AW54" i="3"/>
  <c r="AV54" i="3"/>
  <c r="AC54" i="3"/>
  <c r="H54" i="3"/>
  <c r="BT53" i="3"/>
  <c r="BS53" i="3"/>
  <c r="BR53" i="3"/>
  <c r="BQ53" i="3"/>
  <c r="BP53" i="3"/>
  <c r="BO53" i="3"/>
  <c r="BN53" i="3"/>
  <c r="BM53" i="3"/>
  <c r="BL53" i="3"/>
  <c r="BK53" i="3"/>
  <c r="BJ53" i="3"/>
  <c r="BI53" i="3"/>
  <c r="BH53" i="3"/>
  <c r="BG53" i="3"/>
  <c r="BF53" i="3"/>
  <c r="BE53" i="3"/>
  <c r="BD53" i="3"/>
  <c r="BC53" i="3"/>
  <c r="BB53" i="3"/>
  <c r="BA53" i="3" s="1"/>
  <c r="AX53" i="3"/>
  <c r="AW53" i="3"/>
  <c r="AV53" i="3"/>
  <c r="AC53" i="3"/>
  <c r="H53" i="3"/>
  <c r="BT52" i="3"/>
  <c r="BS52" i="3"/>
  <c r="BR52" i="3"/>
  <c r="BQ52" i="3"/>
  <c r="BP52" i="3"/>
  <c r="BO52" i="3"/>
  <c r="BN52" i="3"/>
  <c r="BM52" i="3"/>
  <c r="BL52" i="3"/>
  <c r="BK52" i="3"/>
  <c r="BJ52" i="3"/>
  <c r="BI52" i="3"/>
  <c r="BH52" i="3"/>
  <c r="BG52" i="3"/>
  <c r="BF52" i="3"/>
  <c r="BE52" i="3"/>
  <c r="BD52" i="3"/>
  <c r="BC52" i="3"/>
  <c r="BB52" i="3"/>
  <c r="BA52" i="3" s="1"/>
  <c r="AZ52" i="3" s="1"/>
  <c r="AX52" i="3"/>
  <c r="AW52" i="3"/>
  <c r="AV52" i="3"/>
  <c r="AC52" i="3"/>
  <c r="H52" i="3"/>
  <c r="G52" i="3"/>
  <c r="BT51" i="3"/>
  <c r="BS51" i="3"/>
  <c r="BR51" i="3"/>
  <c r="BQ51" i="3"/>
  <c r="BP51" i="3"/>
  <c r="BO51" i="3"/>
  <c r="BN51" i="3"/>
  <c r="BM51" i="3"/>
  <c r="BL51" i="3" s="1"/>
  <c r="BK51" i="3"/>
  <c r="BJ51" i="3"/>
  <c r="BI51" i="3"/>
  <c r="BH51" i="3"/>
  <c r="BG51" i="3"/>
  <c r="BF51" i="3"/>
  <c r="BE51" i="3"/>
  <c r="BD51" i="3"/>
  <c r="BC51" i="3"/>
  <c r="BB51" i="3"/>
  <c r="BA51" i="3" s="1"/>
  <c r="AX51" i="3"/>
  <c r="AW51" i="3"/>
  <c r="AV51" i="3"/>
  <c r="AC51" i="3"/>
  <c r="H51" i="3"/>
  <c r="G51" i="3" s="1"/>
  <c r="BT50" i="3"/>
  <c r="BS50" i="3"/>
  <c r="BR50" i="3"/>
  <c r="BQ50" i="3"/>
  <c r="BP50" i="3"/>
  <c r="BO50" i="3"/>
  <c r="BN50" i="3"/>
  <c r="BM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s="1"/>
  <c r="BK49" i="3"/>
  <c r="BJ49" i="3"/>
  <c r="BI49" i="3"/>
  <c r="BH49" i="3"/>
  <c r="BG49" i="3"/>
  <c r="BF49" i="3"/>
  <c r="BE49" i="3"/>
  <c r="BD49" i="3"/>
  <c r="BC49" i="3"/>
  <c r="BB49" i="3"/>
  <c r="BA49" i="3" s="1"/>
  <c r="AX49" i="3"/>
  <c r="AW49" i="3"/>
  <c r="AV49" i="3"/>
  <c r="AC49" i="3"/>
  <c r="H49" i="3"/>
  <c r="G49" i="3" s="1"/>
  <c r="BT48" i="3"/>
  <c r="BS48" i="3"/>
  <c r="BR48" i="3"/>
  <c r="BQ48" i="3"/>
  <c r="BP48" i="3"/>
  <c r="BO48" i="3"/>
  <c r="BN48" i="3"/>
  <c r="BM48" i="3"/>
  <c r="BL48" i="3" s="1"/>
  <c r="BK48" i="3"/>
  <c r="BJ48" i="3"/>
  <c r="BI48" i="3"/>
  <c r="BH48" i="3"/>
  <c r="BG48" i="3"/>
  <c r="BF48" i="3"/>
  <c r="BE48" i="3"/>
  <c r="BD48" i="3"/>
  <c r="BC48" i="3"/>
  <c r="BB48" i="3"/>
  <c r="AX48" i="3"/>
  <c r="AW48" i="3"/>
  <c r="AV48" i="3"/>
  <c r="AC48" i="3"/>
  <c r="H48" i="3"/>
  <c r="G48" i="3" s="1"/>
  <c r="BT47" i="3"/>
  <c r="BS47" i="3"/>
  <c r="BR47" i="3"/>
  <c r="BQ47" i="3"/>
  <c r="BP47" i="3"/>
  <c r="BO47" i="3"/>
  <c r="BN47" i="3"/>
  <c r="BM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s="1"/>
  <c r="BK46" i="3"/>
  <c r="BJ46" i="3"/>
  <c r="BI46" i="3"/>
  <c r="BH46" i="3"/>
  <c r="BG46" i="3"/>
  <c r="BF46" i="3"/>
  <c r="BE46" i="3"/>
  <c r="BD46" i="3"/>
  <c r="BC46" i="3"/>
  <c r="BB46" i="3"/>
  <c r="BA46" i="3" s="1"/>
  <c r="AX46" i="3"/>
  <c r="AW46" i="3"/>
  <c r="AV46" i="3"/>
  <c r="AC46" i="3"/>
  <c r="H46" i="3"/>
  <c r="G46" i="3" s="1"/>
  <c r="BT45" i="3"/>
  <c r="BS45" i="3"/>
  <c r="BR45" i="3"/>
  <c r="BQ45" i="3"/>
  <c r="BP45" i="3"/>
  <c r="BO45" i="3"/>
  <c r="BN45" i="3"/>
  <c r="BM45" i="3"/>
  <c r="BL45" i="3" s="1"/>
  <c r="BK45" i="3"/>
  <c r="BJ45" i="3"/>
  <c r="BI45" i="3"/>
  <c r="BH45" i="3"/>
  <c r="BG45" i="3"/>
  <c r="BF45" i="3"/>
  <c r="BE45" i="3"/>
  <c r="BD45" i="3"/>
  <c r="BC45" i="3"/>
  <c r="BB45" i="3"/>
  <c r="AX45" i="3"/>
  <c r="AW45" i="3"/>
  <c r="AV45" i="3"/>
  <c r="AC45" i="3"/>
  <c r="H45" i="3"/>
  <c r="G45" i="3" s="1"/>
  <c r="BT44" i="3"/>
  <c r="BS44" i="3"/>
  <c r="BR44" i="3"/>
  <c r="BQ44" i="3"/>
  <c r="BP44" i="3"/>
  <c r="BO44" i="3"/>
  <c r="BN44" i="3"/>
  <c r="BM44" i="3"/>
  <c r="BL44" i="3" s="1"/>
  <c r="BK44" i="3"/>
  <c r="BJ44" i="3"/>
  <c r="BI44" i="3"/>
  <c r="BH44" i="3"/>
  <c r="BG44" i="3"/>
  <c r="BF44" i="3"/>
  <c r="BE44" i="3"/>
  <c r="BD44" i="3"/>
  <c r="BC44" i="3"/>
  <c r="BB44" i="3"/>
  <c r="AX44" i="3"/>
  <c r="AW44" i="3"/>
  <c r="AV44" i="3"/>
  <c r="AC44" i="3"/>
  <c r="H44" i="3"/>
  <c r="G44" i="3" s="1"/>
  <c r="BT43" i="3"/>
  <c r="BS43" i="3"/>
  <c r="BR43" i="3"/>
  <c r="BQ43" i="3"/>
  <c r="BP43" i="3"/>
  <c r="BO43" i="3"/>
  <c r="BN43" i="3"/>
  <c r="BM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s="1"/>
  <c r="BK42" i="3"/>
  <c r="BJ42" i="3"/>
  <c r="BI42" i="3"/>
  <c r="BH42" i="3"/>
  <c r="BG42" i="3"/>
  <c r="BF42" i="3"/>
  <c r="BE42" i="3"/>
  <c r="BD42" i="3"/>
  <c r="BC42" i="3"/>
  <c r="BB42" i="3"/>
  <c r="BA42" i="3" s="1"/>
  <c r="AX42" i="3"/>
  <c r="AW42" i="3"/>
  <c r="AV42" i="3"/>
  <c r="AC42" i="3"/>
  <c r="H42" i="3"/>
  <c r="G42" i="3" s="1"/>
  <c r="BT41" i="3"/>
  <c r="BS41" i="3"/>
  <c r="BR41" i="3"/>
  <c r="BQ41" i="3"/>
  <c r="BP41" i="3"/>
  <c r="BO41" i="3"/>
  <c r="BN41" i="3"/>
  <c r="BM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s="1"/>
  <c r="BK40" i="3"/>
  <c r="BJ40" i="3"/>
  <c r="BI40" i="3"/>
  <c r="BH40" i="3"/>
  <c r="BG40" i="3"/>
  <c r="BF40" i="3"/>
  <c r="BE40" i="3"/>
  <c r="BD40" i="3"/>
  <c r="BC40" i="3"/>
  <c r="BB40" i="3"/>
  <c r="BA40" i="3" s="1"/>
  <c r="AX40" i="3"/>
  <c r="AW40" i="3"/>
  <c r="AV40" i="3"/>
  <c r="AC40" i="3"/>
  <c r="H40" i="3"/>
  <c r="G40" i="3" s="1"/>
  <c r="BT39" i="3"/>
  <c r="BS39" i="3"/>
  <c r="BR39" i="3"/>
  <c r="BQ39" i="3"/>
  <c r="BP39" i="3"/>
  <c r="BO39" i="3"/>
  <c r="BN39" i="3"/>
  <c r="BM39" i="3"/>
  <c r="BL39" i="3" s="1"/>
  <c r="BK39" i="3"/>
  <c r="BJ39" i="3"/>
  <c r="BI39" i="3"/>
  <c r="BH39" i="3"/>
  <c r="BG39" i="3"/>
  <c r="BF39" i="3"/>
  <c r="BE39" i="3"/>
  <c r="BD39" i="3"/>
  <c r="BC39" i="3"/>
  <c r="BB39" i="3"/>
  <c r="AX39" i="3"/>
  <c r="AW39" i="3"/>
  <c r="AV39" i="3"/>
  <c r="AC39" i="3"/>
  <c r="H39" i="3"/>
  <c r="G39" i="3" s="1"/>
  <c r="BT38" i="3"/>
  <c r="BS38" i="3"/>
  <c r="BR38" i="3"/>
  <c r="BQ38" i="3"/>
  <c r="BP38" i="3"/>
  <c r="BO38" i="3"/>
  <c r="BN38" i="3"/>
  <c r="BM38" i="3"/>
  <c r="BL38" i="3" s="1"/>
  <c r="BK38" i="3"/>
  <c r="BJ38" i="3"/>
  <c r="BI38" i="3"/>
  <c r="BH38" i="3"/>
  <c r="BG38" i="3"/>
  <c r="BF38" i="3"/>
  <c r="BE38" i="3"/>
  <c r="BD38" i="3"/>
  <c r="BC38" i="3"/>
  <c r="BB38" i="3"/>
  <c r="AX38" i="3"/>
  <c r="AW38" i="3"/>
  <c r="AV38" i="3"/>
  <c r="AC38" i="3"/>
  <c r="H38" i="3"/>
  <c r="G38" i="3" s="1"/>
  <c r="BT37" i="3"/>
  <c r="BS37" i="3"/>
  <c r="BR37" i="3"/>
  <c r="BQ37" i="3"/>
  <c r="BP37" i="3"/>
  <c r="BO37" i="3"/>
  <c r="BN37" i="3"/>
  <c r="BM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s="1"/>
  <c r="BK36" i="3"/>
  <c r="BJ36" i="3"/>
  <c r="BI36" i="3"/>
  <c r="BH36" i="3"/>
  <c r="BG36" i="3"/>
  <c r="BF36" i="3"/>
  <c r="BE36" i="3"/>
  <c r="BD36" i="3"/>
  <c r="BC36" i="3"/>
  <c r="BB36" i="3"/>
  <c r="BA36" i="3" s="1"/>
  <c r="AX36" i="3"/>
  <c r="AW36" i="3"/>
  <c r="AV36" i="3"/>
  <c r="AC36" i="3"/>
  <c r="H36" i="3"/>
  <c r="G36" i="3" s="1"/>
  <c r="BT35" i="3"/>
  <c r="BS35" i="3"/>
  <c r="BR35" i="3"/>
  <c r="BQ35" i="3"/>
  <c r="BP35" i="3"/>
  <c r="BO35" i="3"/>
  <c r="BN35" i="3"/>
  <c r="BM35" i="3"/>
  <c r="BL35" i="3" s="1"/>
  <c r="BK35" i="3"/>
  <c r="BJ35" i="3"/>
  <c r="BI35" i="3"/>
  <c r="BH35" i="3"/>
  <c r="BG35" i="3"/>
  <c r="BF35" i="3"/>
  <c r="BE35" i="3"/>
  <c r="BD35" i="3"/>
  <c r="BC35" i="3"/>
  <c r="BB35" i="3"/>
  <c r="AX35" i="3"/>
  <c r="AW35" i="3"/>
  <c r="AV35" i="3"/>
  <c r="AC35" i="3"/>
  <c r="H35" i="3"/>
  <c r="G35" i="3" s="1"/>
  <c r="BT34" i="3"/>
  <c r="BS34" i="3"/>
  <c r="BR34" i="3"/>
  <c r="BQ34" i="3"/>
  <c r="BP34" i="3"/>
  <c r="BO34" i="3"/>
  <c r="BN34" i="3"/>
  <c r="BM34" i="3"/>
  <c r="BL34" i="3" s="1"/>
  <c r="BK34" i="3"/>
  <c r="BJ34" i="3"/>
  <c r="BI34" i="3"/>
  <c r="BH34" i="3"/>
  <c r="BG34" i="3"/>
  <c r="BF34" i="3"/>
  <c r="BE34" i="3"/>
  <c r="BD34" i="3"/>
  <c r="BC34" i="3"/>
  <c r="BB34" i="3"/>
  <c r="AX34" i="3"/>
  <c r="AW34" i="3"/>
  <c r="AV34" i="3"/>
  <c r="AC34" i="3"/>
  <c r="H34" i="3"/>
  <c r="G34" i="3" s="1"/>
  <c r="BT33" i="3"/>
  <c r="BS33" i="3"/>
  <c r="BR33" i="3"/>
  <c r="BQ33" i="3"/>
  <c r="BP33" i="3"/>
  <c r="BO33" i="3"/>
  <c r="BN33" i="3"/>
  <c r="BM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s="1"/>
  <c r="BK32" i="3"/>
  <c r="BJ32" i="3"/>
  <c r="BI32" i="3"/>
  <c r="BH32" i="3"/>
  <c r="BG32" i="3"/>
  <c r="BF32" i="3"/>
  <c r="BE32" i="3"/>
  <c r="BD32" i="3"/>
  <c r="BC32" i="3"/>
  <c r="BB32" i="3"/>
  <c r="BA32" i="3" s="1"/>
  <c r="AX32" i="3"/>
  <c r="AW32" i="3"/>
  <c r="AV32" i="3"/>
  <c r="AC32" i="3"/>
  <c r="H32" i="3"/>
  <c r="G32" i="3" s="1"/>
  <c r="BT31" i="3"/>
  <c r="BS31" i="3"/>
  <c r="BR31" i="3"/>
  <c r="BQ31" i="3"/>
  <c r="BP31" i="3"/>
  <c r="BO31" i="3"/>
  <c r="BN31" i="3"/>
  <c r="BM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s="1"/>
  <c r="BK30" i="3"/>
  <c r="BJ30" i="3"/>
  <c r="BI30" i="3"/>
  <c r="BH30" i="3"/>
  <c r="BG30" i="3"/>
  <c r="BF30" i="3"/>
  <c r="BE30" i="3"/>
  <c r="BD30" i="3"/>
  <c r="BC30" i="3"/>
  <c r="BB30" i="3"/>
  <c r="BA30" i="3" s="1"/>
  <c r="AX30" i="3"/>
  <c r="AW30" i="3"/>
  <c r="AV30" i="3"/>
  <c r="AC30" i="3"/>
  <c r="H30" i="3"/>
  <c r="G30" i="3" s="1"/>
  <c r="BT29" i="3"/>
  <c r="BS29" i="3"/>
  <c r="BR29" i="3"/>
  <c r="BQ29" i="3"/>
  <c r="BP29" i="3"/>
  <c r="BO29" i="3"/>
  <c r="BN29" i="3"/>
  <c r="BM29" i="3"/>
  <c r="BL29" i="3" s="1"/>
  <c r="BK29" i="3"/>
  <c r="BJ29" i="3"/>
  <c r="BI29" i="3"/>
  <c r="BH29" i="3"/>
  <c r="BG29" i="3"/>
  <c r="BF29" i="3"/>
  <c r="BE29" i="3"/>
  <c r="BD29" i="3"/>
  <c r="BC29" i="3"/>
  <c r="BB29" i="3"/>
  <c r="AX29" i="3"/>
  <c r="AW29" i="3"/>
  <c r="AV29" i="3"/>
  <c r="AC29" i="3"/>
  <c r="H29" i="3"/>
  <c r="G29" i="3" s="1"/>
  <c r="BT28" i="3"/>
  <c r="BS28" i="3"/>
  <c r="BR28" i="3"/>
  <c r="BQ28" i="3"/>
  <c r="BP28" i="3"/>
  <c r="BO28" i="3"/>
  <c r="BN28" i="3"/>
  <c r="BM28" i="3"/>
  <c r="BL28" i="3" s="1"/>
  <c r="BK28" i="3"/>
  <c r="BJ28" i="3"/>
  <c r="BI28" i="3"/>
  <c r="BH28" i="3"/>
  <c r="BG28" i="3"/>
  <c r="BF28" i="3"/>
  <c r="BE28" i="3"/>
  <c r="BD28" i="3"/>
  <c r="BC28" i="3"/>
  <c r="BB28" i="3"/>
  <c r="AX28" i="3"/>
  <c r="AW28" i="3"/>
  <c r="AV28" i="3"/>
  <c r="AC28" i="3"/>
  <c r="H28" i="3"/>
  <c r="G28" i="3" s="1"/>
  <c r="BT27" i="3"/>
  <c r="BS27" i="3"/>
  <c r="BR27" i="3"/>
  <c r="BQ27" i="3"/>
  <c r="BP27" i="3"/>
  <c r="BO27" i="3"/>
  <c r="BN27" i="3"/>
  <c r="BM27" i="3"/>
  <c r="BL27" i="3" s="1"/>
  <c r="BK27" i="3"/>
  <c r="BJ27" i="3"/>
  <c r="BI27" i="3"/>
  <c r="BH27" i="3"/>
  <c r="BG27" i="3"/>
  <c r="BF27" i="3"/>
  <c r="BE27" i="3"/>
  <c r="BD27" i="3"/>
  <c r="BC27" i="3"/>
  <c r="BB27" i="3"/>
  <c r="AX27" i="3"/>
  <c r="AW27" i="3"/>
  <c r="AV27" i="3"/>
  <c r="AC27" i="3"/>
  <c r="H27" i="3"/>
  <c r="G27" i="3" s="1"/>
  <c r="BT26" i="3"/>
  <c r="BS26" i="3"/>
  <c r="BR26" i="3"/>
  <c r="BQ26" i="3"/>
  <c r="BP26" i="3"/>
  <c r="BO26" i="3"/>
  <c r="BN26" i="3"/>
  <c r="BM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s="1"/>
  <c r="BK25" i="3"/>
  <c r="BJ25" i="3"/>
  <c r="BI25" i="3"/>
  <c r="BH25" i="3"/>
  <c r="BG25" i="3"/>
  <c r="BF25" i="3"/>
  <c r="BE25" i="3"/>
  <c r="BD25" i="3"/>
  <c r="BC25" i="3"/>
  <c r="BB25" i="3"/>
  <c r="BA25" i="3" s="1"/>
  <c r="AX25" i="3"/>
  <c r="AW25" i="3"/>
  <c r="AV25" i="3"/>
  <c r="AC25" i="3"/>
  <c r="H25" i="3"/>
  <c r="G25" i="3" s="1"/>
  <c r="BT24" i="3"/>
  <c r="BS24" i="3"/>
  <c r="BR24" i="3"/>
  <c r="BQ24" i="3"/>
  <c r="BP24" i="3"/>
  <c r="BO24" i="3"/>
  <c r="BN24" i="3"/>
  <c r="BM24" i="3"/>
  <c r="BL24" i="3" s="1"/>
  <c r="BK24" i="3"/>
  <c r="BJ24" i="3"/>
  <c r="BI24" i="3"/>
  <c r="BH24" i="3"/>
  <c r="BG24" i="3"/>
  <c r="BF24" i="3"/>
  <c r="BE24" i="3"/>
  <c r="BD24" i="3"/>
  <c r="BC24" i="3"/>
  <c r="BB24" i="3"/>
  <c r="AX24" i="3"/>
  <c r="AW24" i="3"/>
  <c r="AV24" i="3"/>
  <c r="AC24" i="3"/>
  <c r="H24" i="3"/>
  <c r="G24" i="3" s="1"/>
  <c r="BT23" i="3"/>
  <c r="BS23" i="3"/>
  <c r="BR23" i="3"/>
  <c r="BQ23" i="3"/>
  <c r="BP23" i="3"/>
  <c r="BO23" i="3"/>
  <c r="BN23" i="3"/>
  <c r="BM23" i="3"/>
  <c r="BL23" i="3" s="1"/>
  <c r="BK23" i="3"/>
  <c r="BJ23" i="3"/>
  <c r="BI23" i="3"/>
  <c r="BH23" i="3"/>
  <c r="BG23" i="3"/>
  <c r="BF23" i="3"/>
  <c r="BE23" i="3"/>
  <c r="BD23" i="3"/>
  <c r="BC23" i="3"/>
  <c r="BB23" i="3"/>
  <c r="AX23" i="3"/>
  <c r="AW23" i="3"/>
  <c r="AV23" i="3"/>
  <c r="AC23" i="3"/>
  <c r="H23" i="3"/>
  <c r="G23" i="3" s="1"/>
  <c r="BT22" i="3"/>
  <c r="BS22" i="3"/>
  <c r="BR22" i="3"/>
  <c r="BQ22" i="3"/>
  <c r="BP22" i="3"/>
  <c r="BO22" i="3"/>
  <c r="BN22" i="3"/>
  <c r="BM22" i="3"/>
  <c r="BK22" i="3"/>
  <c r="BJ22" i="3"/>
  <c r="BI22" i="3"/>
  <c r="BH22" i="3"/>
  <c r="BG22" i="3"/>
  <c r="BF22" i="3"/>
  <c r="BE22" i="3"/>
  <c r="BD22" i="3"/>
  <c r="BC22" i="3"/>
  <c r="BB22" i="3"/>
  <c r="BA22" i="3"/>
  <c r="AX22" i="3"/>
  <c r="AW22" i="3"/>
  <c r="AV22" i="3"/>
  <c r="AC22" i="3"/>
  <c r="H22" i="3"/>
  <c r="BT21" i="3"/>
  <c r="BS21" i="3"/>
  <c r="BR21" i="3"/>
  <c r="BQ21" i="3"/>
  <c r="BP21" i="3"/>
  <c r="BO21" i="3"/>
  <c r="BN21" i="3"/>
  <c r="BM21" i="3"/>
  <c r="BL21" i="3"/>
  <c r="BK21" i="3"/>
  <c r="BJ21" i="3"/>
  <c r="BI21" i="3"/>
  <c r="BH21" i="3"/>
  <c r="BG21" i="3"/>
  <c r="BF21" i="3"/>
  <c r="BE21" i="3"/>
  <c r="BD21" i="3"/>
  <c r="BC21" i="3"/>
  <c r="BB21" i="3"/>
  <c r="BA21" i="3" s="1"/>
  <c r="AX21" i="3"/>
  <c r="AW21" i="3"/>
  <c r="AV21" i="3"/>
  <c r="AC21" i="3"/>
  <c r="H21" i="3"/>
  <c r="BT20" i="3"/>
  <c r="BS20" i="3"/>
  <c r="BR20" i="3"/>
  <c r="BQ20" i="3"/>
  <c r="BP20" i="3"/>
  <c r="BO20" i="3"/>
  <c r="BN20" i="3"/>
  <c r="BM20" i="3"/>
  <c r="BL20" i="3"/>
  <c r="BK20" i="3"/>
  <c r="BJ20" i="3"/>
  <c r="BI20" i="3"/>
  <c r="BH20" i="3"/>
  <c r="BG20" i="3"/>
  <c r="BF20" i="3"/>
  <c r="BE20" i="3"/>
  <c r="BD20" i="3"/>
  <c r="BC20" i="3"/>
  <c r="BB20" i="3"/>
  <c r="BA20" i="3" s="1"/>
  <c r="AX20" i="3"/>
  <c r="AW20" i="3"/>
  <c r="AV20" i="3"/>
  <c r="AC20" i="3"/>
  <c r="H20" i="3"/>
  <c r="BT19" i="3"/>
  <c r="BS19" i="3"/>
  <c r="BR19" i="3"/>
  <c r="BQ19" i="3"/>
  <c r="BP19" i="3"/>
  <c r="BO19" i="3"/>
  <c r="BN19" i="3"/>
  <c r="BM19" i="3"/>
  <c r="BL19" i="3"/>
  <c r="BK19" i="3"/>
  <c r="BJ19" i="3"/>
  <c r="BI19" i="3"/>
  <c r="BH19" i="3"/>
  <c r="BG19" i="3"/>
  <c r="BF19" i="3"/>
  <c r="BE19" i="3"/>
  <c r="BD19" i="3"/>
  <c r="BC19" i="3"/>
  <c r="BB19" i="3"/>
  <c r="BA19" i="3" s="1"/>
  <c r="AX19" i="3"/>
  <c r="AW19" i="3"/>
  <c r="AV19" i="3"/>
  <c r="AC19" i="3"/>
  <c r="H19" i="3"/>
  <c r="BT18" i="3"/>
  <c r="BS18" i="3"/>
  <c r="BR18" i="3"/>
  <c r="BQ18" i="3"/>
  <c r="BP18" i="3"/>
  <c r="BO18" i="3"/>
  <c r="BN18" i="3"/>
  <c r="BM18" i="3"/>
  <c r="BL18" i="3"/>
  <c r="BK18" i="3"/>
  <c r="BJ18" i="3"/>
  <c r="BI18" i="3"/>
  <c r="BH18" i="3"/>
  <c r="BG18" i="3"/>
  <c r="BF18" i="3"/>
  <c r="BE18" i="3"/>
  <c r="BD18" i="3"/>
  <c r="BC18" i="3"/>
  <c r="BB18" i="3"/>
  <c r="BA18" i="3" s="1"/>
  <c r="AZ18" i="3" s="1"/>
  <c r="AX18" i="3"/>
  <c r="AW18" i="3"/>
  <c r="AV18" i="3"/>
  <c r="AC18" i="3"/>
  <c r="H18" i="3"/>
  <c r="G18" i="3"/>
  <c r="BT207" i="3"/>
  <c r="BS207" i="3"/>
  <c r="BR207" i="3"/>
  <c r="BQ207" i="3"/>
  <c r="BP207" i="3"/>
  <c r="BO207" i="3"/>
  <c r="BN207" i="3"/>
  <c r="BM207" i="3"/>
  <c r="BL207" i="3" s="1"/>
  <c r="BK207" i="3"/>
  <c r="BJ207" i="3"/>
  <c r="BI207" i="3"/>
  <c r="BH207" i="3"/>
  <c r="BG207" i="3"/>
  <c r="BF207" i="3"/>
  <c r="BE207" i="3"/>
  <c r="BD207" i="3"/>
  <c r="BC207" i="3"/>
  <c r="BB207" i="3"/>
  <c r="BA207" i="3" s="1"/>
  <c r="AX207" i="3"/>
  <c r="AW207" i="3"/>
  <c r="AV207" i="3"/>
  <c r="AC207" i="3"/>
  <c r="H207" i="3"/>
  <c r="G207" i="3" s="1"/>
  <c r="BT206" i="3"/>
  <c r="BS206" i="3"/>
  <c r="BR206" i="3"/>
  <c r="BQ206" i="3"/>
  <c r="BP206" i="3"/>
  <c r="BO206" i="3"/>
  <c r="BN206" i="3"/>
  <c r="BM206" i="3"/>
  <c r="BL206" i="3" s="1"/>
  <c r="BK206" i="3"/>
  <c r="BJ206" i="3"/>
  <c r="BI206" i="3"/>
  <c r="BH206" i="3"/>
  <c r="BG206" i="3"/>
  <c r="BF206" i="3"/>
  <c r="BE206" i="3"/>
  <c r="BD206" i="3"/>
  <c r="BC206" i="3"/>
  <c r="BB206" i="3"/>
  <c r="AX206" i="3"/>
  <c r="AW206" i="3"/>
  <c r="AV206" i="3"/>
  <c r="AC206" i="3"/>
  <c r="H206" i="3"/>
  <c r="G206" i="3" s="1"/>
  <c r="BT205" i="3"/>
  <c r="BS205" i="3"/>
  <c r="BR205" i="3"/>
  <c r="BQ205" i="3"/>
  <c r="BP205" i="3"/>
  <c r="BO205" i="3"/>
  <c r="BN205" i="3"/>
  <c r="BM205" i="3"/>
  <c r="BL205" i="3" s="1"/>
  <c r="BK205" i="3"/>
  <c r="BJ205" i="3"/>
  <c r="BI205" i="3"/>
  <c r="BH205" i="3"/>
  <c r="BG205" i="3"/>
  <c r="BF205" i="3"/>
  <c r="BE205" i="3"/>
  <c r="BD205" i="3"/>
  <c r="BC205" i="3"/>
  <c r="BB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H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s="1"/>
  <c r="BK202" i="3"/>
  <c r="BJ202" i="3"/>
  <c r="BI202" i="3"/>
  <c r="BH202" i="3"/>
  <c r="BG202" i="3"/>
  <c r="BF202" i="3"/>
  <c r="BE202" i="3"/>
  <c r="BD202" i="3"/>
  <c r="BC202" i="3"/>
  <c r="BB202" i="3"/>
  <c r="BA202" i="3" s="1"/>
  <c r="AX202" i="3"/>
  <c r="AW202" i="3"/>
  <c r="AV202" i="3"/>
  <c r="AC202" i="3"/>
  <c r="H202" i="3"/>
  <c r="G202" i="3" s="1"/>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G200" i="3" s="1"/>
  <c r="BT199" i="3"/>
  <c r="BS199" i="3"/>
  <c r="BR199" i="3"/>
  <c r="BQ199" i="3"/>
  <c r="BP199" i="3"/>
  <c r="BO199" i="3"/>
  <c r="BN199" i="3"/>
  <c r="BM199" i="3"/>
  <c r="BL199" i="3" s="1"/>
  <c r="BK199" i="3"/>
  <c r="BJ199" i="3"/>
  <c r="BI199" i="3"/>
  <c r="BH199" i="3"/>
  <c r="BG199" i="3"/>
  <c r="BF199" i="3"/>
  <c r="BE199" i="3"/>
  <c r="BD199" i="3"/>
  <c r="BC199" i="3"/>
  <c r="BB199" i="3"/>
  <c r="AX199" i="3"/>
  <c r="AW199" i="3"/>
  <c r="AV199" i="3"/>
  <c r="AC199" i="3"/>
  <c r="H199" i="3"/>
  <c r="G199" i="3" s="1"/>
  <c r="BT198" i="3"/>
  <c r="BS198" i="3"/>
  <c r="BR198" i="3"/>
  <c r="BQ198" i="3"/>
  <c r="BP198" i="3"/>
  <c r="BO198" i="3"/>
  <c r="BN198" i="3"/>
  <c r="BM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s="1"/>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s="1"/>
  <c r="AX196" i="3"/>
  <c r="AW196" i="3"/>
  <c r="AV196" i="3"/>
  <c r="AC196" i="3"/>
  <c r="H196" i="3"/>
  <c r="G196" i="3" s="1"/>
  <c r="BT195" i="3"/>
  <c r="BS195" i="3"/>
  <c r="BR195" i="3"/>
  <c r="BQ195" i="3"/>
  <c r="BP195" i="3"/>
  <c r="BO195" i="3"/>
  <c r="BN195" i="3"/>
  <c r="BM195" i="3"/>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L194" i="3" s="1"/>
  <c r="BK194" i="3"/>
  <c r="BJ194" i="3"/>
  <c r="BI194" i="3"/>
  <c r="BH194" i="3"/>
  <c r="BG194" i="3"/>
  <c r="BF194" i="3"/>
  <c r="BE194" i="3"/>
  <c r="BD194" i="3"/>
  <c r="BC194" i="3"/>
  <c r="BB194" i="3"/>
  <c r="AX194" i="3"/>
  <c r="AW194" i="3"/>
  <c r="AV194" i="3"/>
  <c r="AC194" i="3"/>
  <c r="H194" i="3"/>
  <c r="G194" i="3" s="1"/>
  <c r="BT193" i="3"/>
  <c r="BS193" i="3"/>
  <c r="BR193" i="3"/>
  <c r="BQ193" i="3"/>
  <c r="BP193" i="3"/>
  <c r="BO193" i="3"/>
  <c r="BN193" i="3"/>
  <c r="BM193" i="3"/>
  <c r="BL193" i="3" s="1"/>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G192" i="3" s="1"/>
  <c r="BT191" i="3"/>
  <c r="BS191" i="3"/>
  <c r="BR191" i="3"/>
  <c r="BQ191" i="3"/>
  <c r="BP191" i="3"/>
  <c r="BO191" i="3"/>
  <c r="BN191" i="3"/>
  <c r="BM191" i="3"/>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L190" i="3" s="1"/>
  <c r="BK190" i="3"/>
  <c r="BJ190" i="3"/>
  <c r="BI190" i="3"/>
  <c r="BH190" i="3"/>
  <c r="BG190" i="3"/>
  <c r="BF190" i="3"/>
  <c r="BE190" i="3"/>
  <c r="BD190" i="3"/>
  <c r="BC190" i="3"/>
  <c r="BB190" i="3"/>
  <c r="AX190" i="3"/>
  <c r="AW190" i="3"/>
  <c r="AV190" i="3"/>
  <c r="AC190" i="3"/>
  <c r="H190" i="3"/>
  <c r="G190" i="3" s="1"/>
  <c r="BT189" i="3"/>
  <c r="BS189" i="3"/>
  <c r="BR189" i="3"/>
  <c r="BQ189" i="3"/>
  <c r="BP189" i="3"/>
  <c r="BO189" i="3"/>
  <c r="BN189" i="3"/>
  <c r="BM189" i="3"/>
  <c r="BL189" i="3" s="1"/>
  <c r="BK189" i="3"/>
  <c r="BJ189" i="3"/>
  <c r="BI189" i="3"/>
  <c r="BH189" i="3"/>
  <c r="BG189" i="3"/>
  <c r="BF189" i="3"/>
  <c r="BE189" i="3"/>
  <c r="BD189" i="3"/>
  <c r="BC189" i="3"/>
  <c r="BB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s="1"/>
  <c r="AX188" i="3"/>
  <c r="AW188" i="3"/>
  <c r="AV188" i="3"/>
  <c r="AC188" i="3"/>
  <c r="H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s="1"/>
  <c r="BK186" i="3"/>
  <c r="BJ186" i="3"/>
  <c r="BI186" i="3"/>
  <c r="BH186" i="3"/>
  <c r="BG186" i="3"/>
  <c r="BF186" i="3"/>
  <c r="BE186" i="3"/>
  <c r="BD186" i="3"/>
  <c r="BC186" i="3"/>
  <c r="BB186" i="3"/>
  <c r="BA186" i="3" s="1"/>
  <c r="AX186" i="3"/>
  <c r="AW186" i="3"/>
  <c r="AV186" i="3"/>
  <c r="AC186" i="3"/>
  <c r="H186" i="3"/>
  <c r="G186" i="3" s="1"/>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s="1"/>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s="1"/>
  <c r="BK181" i="3"/>
  <c r="BJ181" i="3"/>
  <c r="BI181" i="3"/>
  <c r="BH181" i="3"/>
  <c r="BG181" i="3"/>
  <c r="BF181" i="3"/>
  <c r="BE181" i="3"/>
  <c r="BD181" i="3"/>
  <c r="BC181" i="3"/>
  <c r="BB181" i="3"/>
  <c r="BA181" i="3" s="1"/>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s="1"/>
  <c r="AX180" i="3"/>
  <c r="AW180" i="3"/>
  <c r="AV180" i="3"/>
  <c r="AC180" i="3"/>
  <c r="H180" i="3"/>
  <c r="G180" i="3" s="1"/>
  <c r="BT179" i="3"/>
  <c r="BS179" i="3"/>
  <c r="BR179" i="3"/>
  <c r="BQ179" i="3"/>
  <c r="BP179" i="3"/>
  <c r="BO179" i="3"/>
  <c r="BN179" i="3"/>
  <c r="BM179" i="3"/>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L178" i="3" s="1"/>
  <c r="BK178" i="3"/>
  <c r="BJ178" i="3"/>
  <c r="BI178" i="3"/>
  <c r="BH178" i="3"/>
  <c r="BG178" i="3"/>
  <c r="BF178" i="3"/>
  <c r="BE178" i="3"/>
  <c r="BD178" i="3"/>
  <c r="BC178" i="3"/>
  <c r="BB178" i="3"/>
  <c r="AX178" i="3"/>
  <c r="AW178" i="3"/>
  <c r="AV178" i="3"/>
  <c r="AC178" i="3"/>
  <c r="H178" i="3"/>
  <c r="G178" i="3" s="1"/>
  <c r="BT177" i="3"/>
  <c r="BS177" i="3"/>
  <c r="BR177" i="3"/>
  <c r="BQ177" i="3"/>
  <c r="BP177" i="3"/>
  <c r="BO177" i="3"/>
  <c r="BN177" i="3"/>
  <c r="BM177" i="3"/>
  <c r="BL177" i="3" s="1"/>
  <c r="BK177" i="3"/>
  <c r="BJ177" i="3"/>
  <c r="BI177" i="3"/>
  <c r="BH177" i="3"/>
  <c r="BG177" i="3"/>
  <c r="BF177" i="3"/>
  <c r="BE177" i="3"/>
  <c r="BD177" i="3"/>
  <c r="BC177" i="3"/>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s="1"/>
  <c r="AX176" i="3"/>
  <c r="AW176" i="3"/>
  <c r="AV176" i="3"/>
  <c r="AC176" i="3"/>
  <c r="H176" i="3"/>
  <c r="G176" i="3" s="1"/>
  <c r="BT175" i="3"/>
  <c r="BS175" i="3"/>
  <c r="BR175" i="3"/>
  <c r="BQ175" i="3"/>
  <c r="BP175" i="3"/>
  <c r="BO175" i="3"/>
  <c r="BN175" i="3"/>
  <c r="BM175" i="3"/>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L174" i="3" s="1"/>
  <c r="BK174" i="3"/>
  <c r="BJ174" i="3"/>
  <c r="BI174" i="3"/>
  <c r="BH174" i="3"/>
  <c r="BG174" i="3"/>
  <c r="BF174" i="3"/>
  <c r="BE174" i="3"/>
  <c r="BD174" i="3"/>
  <c r="BC174" i="3"/>
  <c r="BB174" i="3"/>
  <c r="AX174" i="3"/>
  <c r="AW174" i="3"/>
  <c r="AV174" i="3"/>
  <c r="AC174" i="3"/>
  <c r="H174" i="3"/>
  <c r="G174" i="3" s="1"/>
  <c r="BT173" i="3"/>
  <c r="BS173" i="3"/>
  <c r="BR173" i="3"/>
  <c r="BQ173" i="3"/>
  <c r="BP173" i="3"/>
  <c r="BO173" i="3"/>
  <c r="BN173" i="3"/>
  <c r="BM173" i="3"/>
  <c r="BL173" i="3" s="1"/>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s="1"/>
  <c r="AX172" i="3"/>
  <c r="AW172" i="3"/>
  <c r="AV172" i="3"/>
  <c r="AC172" i="3"/>
  <c r="H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L170" i="3"/>
  <c r="BK170" i="3"/>
  <c r="BJ170" i="3"/>
  <c r="BI170" i="3"/>
  <c r="BH170" i="3"/>
  <c r="BG170" i="3"/>
  <c r="BF170" i="3"/>
  <c r="BE170" i="3"/>
  <c r="BD170" i="3"/>
  <c r="BC170" i="3"/>
  <c r="BB170" i="3"/>
  <c r="BA170" i="3" s="1"/>
  <c r="AX170" i="3"/>
  <c r="AW170" i="3"/>
  <c r="AV170" i="3"/>
  <c r="AC170" i="3"/>
  <c r="H170" i="3"/>
  <c r="BT169" i="3"/>
  <c r="BS169" i="3"/>
  <c r="BR169" i="3"/>
  <c r="BQ169" i="3"/>
  <c r="BP169" i="3"/>
  <c r="BO169" i="3"/>
  <c r="BN169" i="3"/>
  <c r="BM169" i="3"/>
  <c r="BL169" i="3"/>
  <c r="BK169" i="3"/>
  <c r="BJ169" i="3"/>
  <c r="BI169" i="3"/>
  <c r="BH169" i="3"/>
  <c r="BG169" i="3"/>
  <c r="BF169" i="3"/>
  <c r="BE169" i="3"/>
  <c r="BD169" i="3"/>
  <c r="BC169" i="3"/>
  <c r="BB169" i="3"/>
  <c r="BA169" i="3" s="1"/>
  <c r="AZ169" i="3" s="1"/>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s="1"/>
  <c r="AX168" i="3"/>
  <c r="AW168" i="3"/>
  <c r="AV168" i="3"/>
  <c r="AC168" i="3"/>
  <c r="H168" i="3"/>
  <c r="G168" i="3" s="1"/>
  <c r="BT167" i="3"/>
  <c r="BS167" i="3"/>
  <c r="BR167" i="3"/>
  <c r="BQ167" i="3"/>
  <c r="BP167" i="3"/>
  <c r="BO167" i="3"/>
  <c r="BN167" i="3"/>
  <c r="BM167" i="3"/>
  <c r="BK167" i="3"/>
  <c r="BJ167" i="3"/>
  <c r="BI167" i="3"/>
  <c r="BH167" i="3"/>
  <c r="BG167" i="3"/>
  <c r="BF167" i="3"/>
  <c r="BE167" i="3"/>
  <c r="BD167" i="3"/>
  <c r="BC167" i="3"/>
  <c r="BB167" i="3"/>
  <c r="AX167" i="3"/>
  <c r="AW167" i="3"/>
  <c r="AV167" i="3"/>
  <c r="AC167" i="3"/>
  <c r="H167" i="3"/>
  <c r="G167" i="3" s="1"/>
  <c r="BT166" i="3"/>
  <c r="BS166" i="3"/>
  <c r="BR166" i="3"/>
  <c r="BQ166" i="3"/>
  <c r="BP166" i="3"/>
  <c r="BO166" i="3"/>
  <c r="BN166" i="3"/>
  <c r="BM166" i="3"/>
  <c r="BL166" i="3" s="1"/>
  <c r="BK166" i="3"/>
  <c r="BJ166" i="3"/>
  <c r="BI166" i="3"/>
  <c r="BH166" i="3"/>
  <c r="BG166" i="3"/>
  <c r="BF166" i="3"/>
  <c r="BE166" i="3"/>
  <c r="BD166" i="3"/>
  <c r="BC166" i="3"/>
  <c r="BB166" i="3"/>
  <c r="AX166" i="3"/>
  <c r="AW166" i="3"/>
  <c r="AV166" i="3"/>
  <c r="AC166" i="3"/>
  <c r="H166" i="3"/>
  <c r="G166" i="3" s="1"/>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s="1"/>
  <c r="AX164" i="3"/>
  <c r="AW164" i="3"/>
  <c r="AV164" i="3"/>
  <c r="AC164" i="3"/>
  <c r="H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s="1"/>
  <c r="BK162" i="3"/>
  <c r="BJ162" i="3"/>
  <c r="BI162" i="3"/>
  <c r="BH162" i="3"/>
  <c r="BG162" i="3"/>
  <c r="BF162" i="3"/>
  <c r="BE162" i="3"/>
  <c r="BD162" i="3"/>
  <c r="BC162" i="3"/>
  <c r="BB162" i="3"/>
  <c r="BA162" i="3" s="1"/>
  <c r="AX162" i="3"/>
  <c r="AW162" i="3"/>
  <c r="AV162" i="3"/>
  <c r="AC162" i="3"/>
  <c r="H162" i="3"/>
  <c r="G162" i="3" s="1"/>
  <c r="BT161" i="3"/>
  <c r="BS161" i="3"/>
  <c r="BR161" i="3"/>
  <c r="BQ161" i="3"/>
  <c r="BP161" i="3"/>
  <c r="BO161" i="3"/>
  <c r="BN161" i="3"/>
  <c r="BM161" i="3"/>
  <c r="BK161" i="3"/>
  <c r="BJ161" i="3"/>
  <c r="BI161" i="3"/>
  <c r="BH161" i="3"/>
  <c r="BG161" i="3"/>
  <c r="BF161" i="3"/>
  <c r="BE161" i="3"/>
  <c r="BD161" i="3"/>
  <c r="BC161" i="3"/>
  <c r="BB161" i="3"/>
  <c r="BA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G160" i="3" s="1"/>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s="1"/>
  <c r="BK157" i="3"/>
  <c r="BJ157" i="3"/>
  <c r="BI157" i="3"/>
  <c r="BH157" i="3"/>
  <c r="BG157" i="3"/>
  <c r="BF157" i="3"/>
  <c r="BE157" i="3"/>
  <c r="BD157" i="3"/>
  <c r="BC157" i="3"/>
  <c r="BB157" i="3"/>
  <c r="BA157" i="3" s="1"/>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s="1"/>
  <c r="AX156" i="3"/>
  <c r="AW156" i="3"/>
  <c r="AV156" i="3"/>
  <c r="AC156" i="3"/>
  <c r="H156" i="3"/>
  <c r="G156" i="3" s="1"/>
  <c r="BT155" i="3"/>
  <c r="BS155" i="3"/>
  <c r="BR155" i="3"/>
  <c r="BQ155" i="3"/>
  <c r="BP155" i="3"/>
  <c r="BO155" i="3"/>
  <c r="BN155" i="3"/>
  <c r="BM155" i="3"/>
  <c r="BK155" i="3"/>
  <c r="BJ155" i="3"/>
  <c r="BI155" i="3"/>
  <c r="BH155" i="3"/>
  <c r="BG155" i="3"/>
  <c r="BF155" i="3"/>
  <c r="BE155" i="3"/>
  <c r="BD155" i="3"/>
  <c r="BC155" i="3"/>
  <c r="BB155" i="3"/>
  <c r="AX155" i="3"/>
  <c r="AW155" i="3"/>
  <c r="AV155" i="3"/>
  <c r="AC155" i="3"/>
  <c r="H155" i="3"/>
  <c r="G155" i="3" s="1"/>
  <c r="BT154" i="3"/>
  <c r="BS154" i="3"/>
  <c r="BR154" i="3"/>
  <c r="BQ154" i="3"/>
  <c r="BP154" i="3"/>
  <c r="BO154" i="3"/>
  <c r="BN154" i="3"/>
  <c r="BM154" i="3"/>
  <c r="BL154" i="3" s="1"/>
  <c r="BK154" i="3"/>
  <c r="BJ154" i="3"/>
  <c r="BI154" i="3"/>
  <c r="BH154" i="3"/>
  <c r="BG154" i="3"/>
  <c r="BF154" i="3"/>
  <c r="BE154" i="3"/>
  <c r="BD154" i="3"/>
  <c r="BC154" i="3"/>
  <c r="BB154" i="3"/>
  <c r="AX154" i="3"/>
  <c r="AW154" i="3"/>
  <c r="AV154" i="3"/>
  <c r="AC154" i="3"/>
  <c r="H154" i="3"/>
  <c r="G154" i="3" s="1"/>
  <c r="BT153" i="3"/>
  <c r="BS153" i="3"/>
  <c r="BR153" i="3"/>
  <c r="BQ153" i="3"/>
  <c r="BP153" i="3"/>
  <c r="BO153" i="3"/>
  <c r="BN153" i="3"/>
  <c r="BM153" i="3"/>
  <c r="BL153" i="3" s="1"/>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s="1"/>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L150" i="3"/>
  <c r="BK150" i="3"/>
  <c r="BJ150" i="3"/>
  <c r="BI150" i="3"/>
  <c r="BH150" i="3"/>
  <c r="BG150" i="3"/>
  <c r="BF150" i="3"/>
  <c r="BE150" i="3"/>
  <c r="BD150" i="3"/>
  <c r="BC150" i="3"/>
  <c r="BB150" i="3"/>
  <c r="BA150" i="3" s="1"/>
  <c r="AX150" i="3"/>
  <c r="AW150" i="3"/>
  <c r="AV150" i="3"/>
  <c r="AC150" i="3"/>
  <c r="H150" i="3"/>
  <c r="BT149" i="3"/>
  <c r="BS149" i="3"/>
  <c r="BR149" i="3"/>
  <c r="BQ149" i="3"/>
  <c r="BP149" i="3"/>
  <c r="BO149" i="3"/>
  <c r="BN149" i="3"/>
  <c r="BM149" i="3"/>
  <c r="BL149" i="3"/>
  <c r="BK149" i="3"/>
  <c r="BJ149" i="3"/>
  <c r="BI149" i="3"/>
  <c r="BH149" i="3"/>
  <c r="BG149" i="3"/>
  <c r="BF149" i="3"/>
  <c r="BE149" i="3"/>
  <c r="BD149" i="3"/>
  <c r="BC149" i="3"/>
  <c r="BB149" i="3"/>
  <c r="BA149" i="3" s="1"/>
  <c r="AX149" i="3"/>
  <c r="AW149" i="3"/>
  <c r="AV149" i="3"/>
  <c r="AC149" i="3"/>
  <c r="H149" i="3"/>
  <c r="BT148" i="3"/>
  <c r="BS148" i="3"/>
  <c r="BR148" i="3"/>
  <c r="BQ148" i="3"/>
  <c r="BP148" i="3"/>
  <c r="BO148" i="3"/>
  <c r="BN148" i="3"/>
  <c r="BM148" i="3"/>
  <c r="BK148" i="3"/>
  <c r="BJ148" i="3"/>
  <c r="BI148" i="3"/>
  <c r="BH148" i="3"/>
  <c r="BG148" i="3"/>
  <c r="BF148" i="3"/>
  <c r="BE148" i="3"/>
  <c r="BD148" i="3"/>
  <c r="BC148" i="3"/>
  <c r="BB148" i="3"/>
  <c r="AX148" i="3"/>
  <c r="AW148" i="3"/>
  <c r="AV148" i="3"/>
  <c r="AC148" i="3"/>
  <c r="H148" i="3"/>
  <c r="G148" i="3" s="1"/>
  <c r="BT147" i="3"/>
  <c r="BS147" i="3"/>
  <c r="BR147" i="3"/>
  <c r="BQ147" i="3"/>
  <c r="BP147" i="3"/>
  <c r="BO147" i="3"/>
  <c r="BN147" i="3"/>
  <c r="BM147" i="3"/>
  <c r="BL147" i="3" s="1"/>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s="1"/>
  <c r="BK145" i="3"/>
  <c r="BJ145" i="3"/>
  <c r="BI145" i="3"/>
  <c r="BH145" i="3"/>
  <c r="BG145" i="3"/>
  <c r="BF145" i="3"/>
  <c r="BE145" i="3"/>
  <c r="BD145" i="3"/>
  <c r="BC145" i="3"/>
  <c r="BB145" i="3"/>
  <c r="BA145" i="3" s="1"/>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s="1"/>
  <c r="AX144" i="3"/>
  <c r="AW144" i="3"/>
  <c r="AV144" i="3"/>
  <c r="AC144" i="3"/>
  <c r="H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s="1"/>
  <c r="BK142" i="3"/>
  <c r="BJ142" i="3"/>
  <c r="BI142" i="3"/>
  <c r="BH142" i="3"/>
  <c r="BG142" i="3"/>
  <c r="BF142" i="3"/>
  <c r="BE142" i="3"/>
  <c r="BD142" i="3"/>
  <c r="BC142" i="3"/>
  <c r="BB142" i="3"/>
  <c r="BA142" i="3" s="1"/>
  <c r="AX142" i="3"/>
  <c r="AW142" i="3"/>
  <c r="AV142" i="3"/>
  <c r="AC142" i="3"/>
  <c r="H142" i="3"/>
  <c r="G142" i="3" s="1"/>
  <c r="BT141" i="3"/>
  <c r="BS141" i="3"/>
  <c r="BR141" i="3"/>
  <c r="BQ141" i="3"/>
  <c r="BP141" i="3"/>
  <c r="BO141" i="3"/>
  <c r="BN141" i="3"/>
  <c r="BM141" i="3"/>
  <c r="BK141" i="3"/>
  <c r="BJ141" i="3"/>
  <c r="BI141" i="3"/>
  <c r="BH141" i="3"/>
  <c r="BG141" i="3"/>
  <c r="BF141" i="3"/>
  <c r="BE141" i="3"/>
  <c r="BD141" i="3"/>
  <c r="BC141" i="3"/>
  <c r="BB141" i="3"/>
  <c r="BA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G140" i="3" s="1"/>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G139" i="3" s="1"/>
  <c r="BT138" i="3"/>
  <c r="BS138" i="3"/>
  <c r="BR138" i="3"/>
  <c r="BQ138" i="3"/>
  <c r="BP138" i="3"/>
  <c r="BO138" i="3"/>
  <c r="BN138" i="3"/>
  <c r="BM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s="1"/>
  <c r="BK137" i="3"/>
  <c r="BJ137" i="3"/>
  <c r="BI137" i="3"/>
  <c r="BH137" i="3"/>
  <c r="BG137" i="3"/>
  <c r="BF137" i="3"/>
  <c r="BE137" i="3"/>
  <c r="BD137" i="3"/>
  <c r="BC137" i="3"/>
  <c r="BB137" i="3"/>
  <c r="BA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s="1"/>
  <c r="AX136" i="3"/>
  <c r="AW136" i="3"/>
  <c r="AV136" i="3"/>
  <c r="AC136" i="3"/>
  <c r="H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BA134" i="3" s="1"/>
  <c r="AX134" i="3"/>
  <c r="AW134" i="3"/>
  <c r="AV134" i="3"/>
  <c r="AC134" i="3"/>
  <c r="H134" i="3"/>
  <c r="G134" i="3" s="1"/>
  <c r="BT133" i="3"/>
  <c r="BS133" i="3"/>
  <c r="BR133" i="3"/>
  <c r="BQ133" i="3"/>
  <c r="BP133" i="3"/>
  <c r="BO133" i="3"/>
  <c r="BN133" i="3"/>
  <c r="BM133" i="3"/>
  <c r="BL133" i="3" s="1"/>
  <c r="BK133" i="3"/>
  <c r="BJ133" i="3"/>
  <c r="BI133" i="3"/>
  <c r="BH133" i="3"/>
  <c r="BG133" i="3"/>
  <c r="BF133" i="3"/>
  <c r="BE133" i="3"/>
  <c r="BD133" i="3"/>
  <c r="BC133" i="3"/>
  <c r="BB133" i="3"/>
  <c r="BA133" i="3" s="1"/>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s="1"/>
  <c r="AX132" i="3"/>
  <c r="AW132" i="3"/>
  <c r="AV132" i="3"/>
  <c r="AC132" i="3"/>
  <c r="H132" i="3"/>
  <c r="G132" i="3" s="1"/>
  <c r="BT131" i="3"/>
  <c r="BS131" i="3"/>
  <c r="BR131" i="3"/>
  <c r="BQ131" i="3"/>
  <c r="BP131" i="3"/>
  <c r="BO131" i="3"/>
  <c r="BN131" i="3"/>
  <c r="BM131" i="3"/>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M130" i="3"/>
  <c r="BL130" i="3" s="1"/>
  <c r="BK130" i="3"/>
  <c r="BJ130" i="3"/>
  <c r="BI130" i="3"/>
  <c r="BH130" i="3"/>
  <c r="BG130" i="3"/>
  <c r="BF130" i="3"/>
  <c r="BE130" i="3"/>
  <c r="BD130" i="3"/>
  <c r="BC130" i="3"/>
  <c r="BB130" i="3"/>
  <c r="AX130" i="3"/>
  <c r="AW130" i="3"/>
  <c r="AV130" i="3"/>
  <c r="AC130" i="3"/>
  <c r="H130" i="3"/>
  <c r="G130" i="3" s="1"/>
  <c r="BT129" i="3"/>
  <c r="BS129" i="3"/>
  <c r="BR129" i="3"/>
  <c r="BQ129" i="3"/>
  <c r="BP129" i="3"/>
  <c r="BO129" i="3"/>
  <c r="BN129" i="3"/>
  <c r="BM129" i="3"/>
  <c r="BL129" i="3" s="1"/>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s="1"/>
  <c r="AX128" i="3"/>
  <c r="AW128" i="3"/>
  <c r="AV128" i="3"/>
  <c r="AC128" i="3"/>
  <c r="H128" i="3"/>
  <c r="G128" i="3" s="1"/>
  <c r="BT127" i="3"/>
  <c r="BS127" i="3"/>
  <c r="BR127" i="3"/>
  <c r="BQ127" i="3"/>
  <c r="BP127" i="3"/>
  <c r="BO127" i="3"/>
  <c r="BN127" i="3"/>
  <c r="BM127" i="3"/>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L126" i="3" s="1"/>
  <c r="BK126" i="3"/>
  <c r="BJ126" i="3"/>
  <c r="BI126" i="3"/>
  <c r="BH126" i="3"/>
  <c r="BG126" i="3"/>
  <c r="BF126" i="3"/>
  <c r="BE126" i="3"/>
  <c r="BD126" i="3"/>
  <c r="BC126" i="3"/>
  <c r="BB126" i="3"/>
  <c r="AX126" i="3"/>
  <c r="AW126" i="3"/>
  <c r="AV126" i="3"/>
  <c r="AC126" i="3"/>
  <c r="H126" i="3"/>
  <c r="G126" i="3" s="1"/>
  <c r="BT125" i="3"/>
  <c r="BS125" i="3"/>
  <c r="BR125" i="3"/>
  <c r="BQ125" i="3"/>
  <c r="BP125" i="3"/>
  <c r="BO125" i="3"/>
  <c r="BN125" i="3"/>
  <c r="BM125" i="3"/>
  <c r="BK125" i="3"/>
  <c r="BJ125" i="3"/>
  <c r="BI125" i="3"/>
  <c r="BH125" i="3"/>
  <c r="BG125" i="3"/>
  <c r="BF125" i="3"/>
  <c r="BE125" i="3"/>
  <c r="BD125" i="3"/>
  <c r="BC125" i="3"/>
  <c r="BB125" i="3"/>
  <c r="BA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G124" i="3" s="1"/>
  <c r="BT123" i="3"/>
  <c r="BS123" i="3"/>
  <c r="BR123" i="3"/>
  <c r="BQ123" i="3"/>
  <c r="BP123" i="3"/>
  <c r="BO123" i="3"/>
  <c r="BN123" i="3"/>
  <c r="BM123" i="3"/>
  <c r="BL123" i="3" s="1"/>
  <c r="BK123" i="3"/>
  <c r="BJ123" i="3"/>
  <c r="BI123" i="3"/>
  <c r="BH123" i="3"/>
  <c r="BG123" i="3"/>
  <c r="BF123" i="3"/>
  <c r="BE123" i="3"/>
  <c r="BD123" i="3"/>
  <c r="BC123" i="3"/>
  <c r="BB123" i="3"/>
  <c r="AX123" i="3"/>
  <c r="AW123" i="3"/>
  <c r="AV123" i="3"/>
  <c r="AC123" i="3"/>
  <c r="H123" i="3"/>
  <c r="G123" i="3" s="1"/>
  <c r="BT122" i="3"/>
  <c r="BS122" i="3"/>
  <c r="BR122" i="3"/>
  <c r="BQ122" i="3"/>
  <c r="BP122" i="3"/>
  <c r="BO122" i="3"/>
  <c r="BN122" i="3"/>
  <c r="BM122" i="3"/>
  <c r="BK122" i="3"/>
  <c r="BJ122" i="3"/>
  <c r="BI122" i="3"/>
  <c r="BH122" i="3"/>
  <c r="BG122" i="3"/>
  <c r="BF122" i="3"/>
  <c r="BE122" i="3"/>
  <c r="BD122" i="3"/>
  <c r="BC122" i="3"/>
  <c r="BB122" i="3"/>
  <c r="BA122" i="3"/>
  <c r="AX122" i="3"/>
  <c r="AW122" i="3"/>
  <c r="AV122" i="3"/>
  <c r="AC122" i="3"/>
  <c r="H122" i="3"/>
  <c r="BT121" i="3"/>
  <c r="BS121" i="3"/>
  <c r="BR121" i="3"/>
  <c r="BQ121" i="3"/>
  <c r="BP121" i="3"/>
  <c r="BO121" i="3"/>
  <c r="BN121" i="3"/>
  <c r="BM121" i="3"/>
  <c r="BL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s="1"/>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L118" i="3"/>
  <c r="BK118" i="3"/>
  <c r="BJ118" i="3"/>
  <c r="BI118" i="3"/>
  <c r="BH118" i="3"/>
  <c r="BG118" i="3"/>
  <c r="BF118" i="3"/>
  <c r="BE118" i="3"/>
  <c r="BD118" i="3"/>
  <c r="BC118" i="3"/>
  <c r="BB118" i="3"/>
  <c r="BA118" i="3" s="1"/>
  <c r="AZ118" i="3" s="1"/>
  <c r="AX118" i="3"/>
  <c r="AW118" i="3"/>
  <c r="AV118" i="3"/>
  <c r="AC118" i="3"/>
  <c r="H118" i="3"/>
  <c r="G118" i="3"/>
  <c r="BT117" i="3"/>
  <c r="BS117" i="3"/>
  <c r="BR117" i="3"/>
  <c r="BQ117" i="3"/>
  <c r="BP117" i="3"/>
  <c r="BO117" i="3"/>
  <c r="BN117" i="3"/>
  <c r="BM117" i="3"/>
  <c r="BL117" i="3" s="1"/>
  <c r="BK117" i="3"/>
  <c r="BJ117" i="3"/>
  <c r="BI117" i="3"/>
  <c r="BH117" i="3"/>
  <c r="BG117" i="3"/>
  <c r="BF117" i="3"/>
  <c r="BE117" i="3"/>
  <c r="BD117" i="3"/>
  <c r="BC117" i="3"/>
  <c r="BB117" i="3"/>
  <c r="BA117" i="3" s="1"/>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s="1"/>
  <c r="AX116" i="3"/>
  <c r="AW116" i="3"/>
  <c r="AV116" i="3"/>
  <c r="AC116" i="3"/>
  <c r="H116" i="3"/>
  <c r="G116" i="3" s="1"/>
  <c r="BT115" i="3"/>
  <c r="BS115" i="3"/>
  <c r="BR115" i="3"/>
  <c r="BQ115" i="3"/>
  <c r="BP115" i="3"/>
  <c r="BO115" i="3"/>
  <c r="BN115" i="3"/>
  <c r="BM115" i="3"/>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L114" i="3" s="1"/>
  <c r="BK114" i="3"/>
  <c r="BJ114" i="3"/>
  <c r="BI114" i="3"/>
  <c r="BH114" i="3"/>
  <c r="BG114" i="3"/>
  <c r="BF114" i="3"/>
  <c r="BE114" i="3"/>
  <c r="BD114" i="3"/>
  <c r="BC114" i="3"/>
  <c r="BB114" i="3"/>
  <c r="AX114" i="3"/>
  <c r="AW114" i="3"/>
  <c r="AV114" i="3"/>
  <c r="AC114" i="3"/>
  <c r="H114" i="3"/>
  <c r="G114" i="3" s="1"/>
  <c r="BT113" i="3"/>
  <c r="BS113" i="3"/>
  <c r="BR113" i="3"/>
  <c r="BQ113" i="3"/>
  <c r="BP113" i="3"/>
  <c r="BO113" i="3"/>
  <c r="BN113" i="3"/>
  <c r="BM113" i="3"/>
  <c r="BL113" i="3" s="1"/>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L302" i="3" s="1"/>
  <c r="BK302" i="3"/>
  <c r="BJ302" i="3"/>
  <c r="BI302" i="3"/>
  <c r="BH302" i="3"/>
  <c r="BG302" i="3"/>
  <c r="BF302" i="3"/>
  <c r="BE302" i="3"/>
  <c r="BD302" i="3"/>
  <c r="BC302" i="3"/>
  <c r="BB302" i="3"/>
  <c r="AX302" i="3"/>
  <c r="AW302" i="3"/>
  <c r="AV302" i="3"/>
  <c r="AC302" i="3"/>
  <c r="H302" i="3"/>
  <c r="G302" i="3" s="1"/>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BT300" i="3"/>
  <c r="BS300" i="3"/>
  <c r="BR300" i="3"/>
  <c r="BQ300" i="3"/>
  <c r="BP300" i="3"/>
  <c r="BO300" i="3"/>
  <c r="BN300" i="3"/>
  <c r="BM300" i="3"/>
  <c r="BL300" i="3"/>
  <c r="BK300" i="3"/>
  <c r="BJ300" i="3"/>
  <c r="BI300" i="3"/>
  <c r="BH300" i="3"/>
  <c r="BG300" i="3"/>
  <c r="BF300" i="3"/>
  <c r="BE300" i="3"/>
  <c r="BD300" i="3"/>
  <c r="BC300" i="3"/>
  <c r="BB300" i="3"/>
  <c r="BA300" i="3" s="1"/>
  <c r="AZ300" i="3" s="1"/>
  <c r="AX300" i="3"/>
  <c r="AW300" i="3"/>
  <c r="AV300" i="3"/>
  <c r="AC300" i="3"/>
  <c r="H300" i="3"/>
  <c r="G300" i="3"/>
  <c r="BT299" i="3"/>
  <c r="BS299" i="3"/>
  <c r="BR299" i="3"/>
  <c r="BQ299" i="3"/>
  <c r="BP299" i="3"/>
  <c r="BO299" i="3"/>
  <c r="BN299" i="3"/>
  <c r="BM299" i="3"/>
  <c r="BL299" i="3" s="1"/>
  <c r="BK299" i="3"/>
  <c r="BJ299" i="3"/>
  <c r="BI299" i="3"/>
  <c r="BH299" i="3"/>
  <c r="BG299" i="3"/>
  <c r="BF299" i="3"/>
  <c r="BE299" i="3"/>
  <c r="BD299" i="3"/>
  <c r="BC299" i="3"/>
  <c r="BB299" i="3"/>
  <c r="BA299" i="3" s="1"/>
  <c r="AX299" i="3"/>
  <c r="AW299" i="3"/>
  <c r="AV299" i="3"/>
  <c r="AC299" i="3"/>
  <c r="H299" i="3"/>
  <c r="G299" i="3" s="1"/>
  <c r="BT298" i="3"/>
  <c r="BS298" i="3"/>
  <c r="BR298" i="3"/>
  <c r="BQ298" i="3"/>
  <c r="BP298" i="3"/>
  <c r="BO298" i="3"/>
  <c r="BN298" i="3"/>
  <c r="BM298" i="3"/>
  <c r="BK298" i="3"/>
  <c r="BJ298" i="3"/>
  <c r="BI298" i="3"/>
  <c r="BH298" i="3"/>
  <c r="BG298" i="3"/>
  <c r="BF298" i="3"/>
  <c r="BE298" i="3"/>
  <c r="BD298" i="3"/>
  <c r="BC298" i="3"/>
  <c r="BB298" i="3"/>
  <c r="BA298" i="3"/>
  <c r="AX298" i="3"/>
  <c r="AW298" i="3"/>
  <c r="AV298" i="3"/>
  <c r="AC298" i="3"/>
  <c r="H298" i="3"/>
  <c r="BT297" i="3"/>
  <c r="BS297" i="3"/>
  <c r="BR297" i="3"/>
  <c r="BQ297" i="3"/>
  <c r="BP297" i="3"/>
  <c r="BO297" i="3"/>
  <c r="BN297" i="3"/>
  <c r="BM297" i="3"/>
  <c r="BL297" i="3"/>
  <c r="BK297" i="3"/>
  <c r="BJ297" i="3"/>
  <c r="BI297" i="3"/>
  <c r="BH297" i="3"/>
  <c r="BG297" i="3"/>
  <c r="BF297" i="3"/>
  <c r="BE297" i="3"/>
  <c r="BD297" i="3"/>
  <c r="BC297" i="3"/>
  <c r="BB297" i="3"/>
  <c r="BA297" i="3" s="1"/>
  <c r="AX297" i="3"/>
  <c r="AW297" i="3"/>
  <c r="AV297" i="3"/>
  <c r="AC297" i="3"/>
  <c r="H297" i="3"/>
  <c r="BT296" i="3"/>
  <c r="BS296" i="3"/>
  <c r="BR296" i="3"/>
  <c r="BQ296" i="3"/>
  <c r="BP296" i="3"/>
  <c r="BO296" i="3"/>
  <c r="BN296" i="3"/>
  <c r="BM296" i="3"/>
  <c r="BL296" i="3"/>
  <c r="BK296" i="3"/>
  <c r="BJ296" i="3"/>
  <c r="BI296" i="3"/>
  <c r="BH296" i="3"/>
  <c r="BG296" i="3"/>
  <c r="BF296" i="3"/>
  <c r="BE296" i="3"/>
  <c r="BD296" i="3"/>
  <c r="BC296" i="3"/>
  <c r="BB296" i="3"/>
  <c r="BA296" i="3" s="1"/>
  <c r="AX296" i="3"/>
  <c r="AW296" i="3"/>
  <c r="AV296" i="3"/>
  <c r="AC296" i="3"/>
  <c r="H296" i="3"/>
  <c r="BT295" i="3"/>
  <c r="BS295" i="3"/>
  <c r="BR295" i="3"/>
  <c r="BQ295" i="3"/>
  <c r="BP295" i="3"/>
  <c r="BO295" i="3"/>
  <c r="BN295" i="3"/>
  <c r="BM295" i="3"/>
  <c r="BL295" i="3"/>
  <c r="BK295" i="3"/>
  <c r="BJ295" i="3"/>
  <c r="BI295" i="3"/>
  <c r="BH295" i="3"/>
  <c r="BG295" i="3"/>
  <c r="BF295" i="3"/>
  <c r="BE295" i="3"/>
  <c r="BD295" i="3"/>
  <c r="BC295" i="3"/>
  <c r="BB295" i="3"/>
  <c r="BA295" i="3" s="1"/>
  <c r="AX295" i="3"/>
  <c r="AW295" i="3"/>
  <c r="AV295" i="3"/>
  <c r="AC295" i="3"/>
  <c r="H295" i="3"/>
  <c r="BT294" i="3"/>
  <c r="BS294" i="3"/>
  <c r="BR294" i="3"/>
  <c r="BQ294" i="3"/>
  <c r="BP294" i="3"/>
  <c r="BO294" i="3"/>
  <c r="BN294" i="3"/>
  <c r="BM294" i="3"/>
  <c r="BL294" i="3"/>
  <c r="BK294" i="3"/>
  <c r="BJ294" i="3"/>
  <c r="BI294" i="3"/>
  <c r="BH294" i="3"/>
  <c r="BG294" i="3"/>
  <c r="BF294" i="3"/>
  <c r="BE294" i="3"/>
  <c r="BD294" i="3"/>
  <c r="BC294" i="3"/>
  <c r="BB294" i="3"/>
  <c r="BA294" i="3" s="1"/>
  <c r="AZ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s="1"/>
  <c r="AZ293" i="3" s="1"/>
  <c r="AX293" i="3"/>
  <c r="AW293" i="3"/>
  <c r="AV293" i="3"/>
  <c r="AC293" i="3"/>
  <c r="H293" i="3"/>
  <c r="G293" i="3" s="1"/>
  <c r="BT292" i="3"/>
  <c r="BS292" i="3"/>
  <c r="BR292" i="3"/>
  <c r="BQ292" i="3"/>
  <c r="BP292" i="3"/>
  <c r="BO292" i="3"/>
  <c r="BN292" i="3"/>
  <c r="BM292" i="3"/>
  <c r="BL292" i="3" s="1"/>
  <c r="BK292" i="3"/>
  <c r="BJ292" i="3"/>
  <c r="BI292" i="3"/>
  <c r="BH292" i="3"/>
  <c r="BG292" i="3"/>
  <c r="BF292" i="3"/>
  <c r="BE292" i="3"/>
  <c r="BD292" i="3"/>
  <c r="BC292" i="3"/>
  <c r="BB292" i="3"/>
  <c r="AX292" i="3"/>
  <c r="AW292" i="3"/>
  <c r="AV292" i="3"/>
  <c r="AC292" i="3"/>
  <c r="H292" i="3"/>
  <c r="G292" i="3" s="1"/>
  <c r="BT291" i="3"/>
  <c r="BS291" i="3"/>
  <c r="BR291" i="3"/>
  <c r="BQ291" i="3"/>
  <c r="BP291" i="3"/>
  <c r="BO291" i="3"/>
  <c r="BN291" i="3"/>
  <c r="BM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s="1"/>
  <c r="BK290" i="3"/>
  <c r="BJ290" i="3"/>
  <c r="BI290" i="3"/>
  <c r="BH290" i="3"/>
  <c r="BG290" i="3"/>
  <c r="BF290" i="3"/>
  <c r="BE290" i="3"/>
  <c r="BD290" i="3"/>
  <c r="BC290" i="3"/>
  <c r="BB290" i="3"/>
  <c r="BA290" i="3" s="1"/>
  <c r="AZ290" i="3" s="1"/>
  <c r="AX290" i="3"/>
  <c r="AW290" i="3"/>
  <c r="AV290" i="3"/>
  <c r="AC290" i="3"/>
  <c r="H290" i="3"/>
  <c r="G290" i="3" s="1"/>
  <c r="BT289" i="3"/>
  <c r="BS289" i="3"/>
  <c r="BR289" i="3"/>
  <c r="BQ289" i="3"/>
  <c r="BP289" i="3"/>
  <c r="BO289" i="3"/>
  <c r="BN289" i="3"/>
  <c r="BM289" i="3"/>
  <c r="BL289" i="3" s="1"/>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s="1"/>
  <c r="BK287" i="3"/>
  <c r="BJ287" i="3"/>
  <c r="BI287" i="3"/>
  <c r="BH287" i="3"/>
  <c r="BG287" i="3"/>
  <c r="BF287" i="3"/>
  <c r="BE287" i="3"/>
  <c r="BD287" i="3"/>
  <c r="BC287" i="3"/>
  <c r="BB287" i="3"/>
  <c r="BA287" i="3" s="1"/>
  <c r="AX287" i="3"/>
  <c r="AW287" i="3"/>
  <c r="AV287" i="3"/>
  <c r="AC287" i="3"/>
  <c r="H287" i="3"/>
  <c r="G287" i="3" s="1"/>
  <c r="BT286" i="3"/>
  <c r="BS286" i="3"/>
  <c r="BR286" i="3"/>
  <c r="BQ286" i="3"/>
  <c r="BP286" i="3"/>
  <c r="BO286" i="3"/>
  <c r="BN286" i="3"/>
  <c r="BM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s="1"/>
  <c r="BK285" i="3"/>
  <c r="BJ285" i="3"/>
  <c r="BI285" i="3"/>
  <c r="BH285" i="3"/>
  <c r="BG285" i="3"/>
  <c r="BF285" i="3"/>
  <c r="BE285" i="3"/>
  <c r="BD285" i="3"/>
  <c r="BC285" i="3"/>
  <c r="BB285" i="3"/>
  <c r="BA285" i="3" s="1"/>
  <c r="AZ285" i="3" s="1"/>
  <c r="AX285" i="3"/>
  <c r="AW285" i="3"/>
  <c r="AV285" i="3"/>
  <c r="AC285" i="3"/>
  <c r="H285" i="3"/>
  <c r="G285" i="3" s="1"/>
  <c r="BT284" i="3"/>
  <c r="BS284" i="3"/>
  <c r="BR284" i="3"/>
  <c r="BQ284" i="3"/>
  <c r="BP284" i="3"/>
  <c r="BO284" i="3"/>
  <c r="BN284" i="3"/>
  <c r="BM284" i="3"/>
  <c r="BL284" i="3" s="1"/>
  <c r="BK284" i="3"/>
  <c r="BJ284" i="3"/>
  <c r="BI284" i="3"/>
  <c r="BH284" i="3"/>
  <c r="BG284" i="3"/>
  <c r="BF284" i="3"/>
  <c r="BE284" i="3"/>
  <c r="BD284" i="3"/>
  <c r="BC284" i="3"/>
  <c r="BB284" i="3"/>
  <c r="AX284" i="3"/>
  <c r="AW284" i="3"/>
  <c r="AV284" i="3"/>
  <c r="AC284" i="3"/>
  <c r="H284" i="3"/>
  <c r="G284" i="3" s="1"/>
  <c r="BT283" i="3"/>
  <c r="BS283" i="3"/>
  <c r="BR283" i="3"/>
  <c r="BQ283" i="3"/>
  <c r="BP283" i="3"/>
  <c r="BO283" i="3"/>
  <c r="BN283" i="3"/>
  <c r="BM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s="1"/>
  <c r="BK282" i="3"/>
  <c r="BJ282" i="3"/>
  <c r="BI282" i="3"/>
  <c r="BH282" i="3"/>
  <c r="BG282" i="3"/>
  <c r="BF282" i="3"/>
  <c r="BE282" i="3"/>
  <c r="BD282" i="3"/>
  <c r="BC282" i="3"/>
  <c r="BB282" i="3"/>
  <c r="BA282" i="3" s="1"/>
  <c r="AZ282" i="3" s="1"/>
  <c r="AX282" i="3"/>
  <c r="AW282" i="3"/>
  <c r="AV282" i="3"/>
  <c r="AC282" i="3"/>
  <c r="H282" i="3"/>
  <c r="G282" i="3" s="1"/>
  <c r="BT281" i="3"/>
  <c r="BS281" i="3"/>
  <c r="BR281" i="3"/>
  <c r="BQ281" i="3"/>
  <c r="BP281" i="3"/>
  <c r="BO281" i="3"/>
  <c r="BN281" i="3"/>
  <c r="BM281" i="3"/>
  <c r="BL281" i="3" s="1"/>
  <c r="BK281" i="3"/>
  <c r="BJ281" i="3"/>
  <c r="BI281" i="3"/>
  <c r="BH281" i="3"/>
  <c r="BG281" i="3"/>
  <c r="BF281" i="3"/>
  <c r="BE281" i="3"/>
  <c r="BD281" i="3"/>
  <c r="BC281" i="3"/>
  <c r="BB281" i="3"/>
  <c r="AX281" i="3"/>
  <c r="AW281" i="3"/>
  <c r="AV281" i="3"/>
  <c r="AC281" i="3"/>
  <c r="H281" i="3"/>
  <c r="G281" i="3" s="1"/>
  <c r="BT280" i="3"/>
  <c r="BS280" i="3"/>
  <c r="BR280" i="3"/>
  <c r="BQ280" i="3"/>
  <c r="BP280" i="3"/>
  <c r="BO280" i="3"/>
  <c r="BN280" i="3"/>
  <c r="BM280" i="3"/>
  <c r="BL280" i="3" s="1"/>
  <c r="BK280" i="3"/>
  <c r="BJ280" i="3"/>
  <c r="BI280" i="3"/>
  <c r="BH280" i="3"/>
  <c r="BG280" i="3"/>
  <c r="BF280" i="3"/>
  <c r="BE280" i="3"/>
  <c r="BD280" i="3"/>
  <c r="BC280" i="3"/>
  <c r="BB280" i="3"/>
  <c r="AX280" i="3"/>
  <c r="AW280" i="3"/>
  <c r="AV280" i="3"/>
  <c r="AC280" i="3"/>
  <c r="H280" i="3"/>
  <c r="G280" i="3" s="1"/>
  <c r="BT279" i="3"/>
  <c r="BS279" i="3"/>
  <c r="BR279" i="3"/>
  <c r="BQ279" i="3"/>
  <c r="BP279" i="3"/>
  <c r="BO279" i="3"/>
  <c r="BN279" i="3"/>
  <c r="BM279" i="3"/>
  <c r="BL279" i="3" s="1"/>
  <c r="BK279" i="3"/>
  <c r="BJ279" i="3"/>
  <c r="BI279" i="3"/>
  <c r="BH279" i="3"/>
  <c r="BG279" i="3"/>
  <c r="BF279" i="3"/>
  <c r="BE279" i="3"/>
  <c r="BD279" i="3"/>
  <c r="BC279" i="3"/>
  <c r="BB279" i="3"/>
  <c r="AX279" i="3"/>
  <c r="AW279" i="3"/>
  <c r="AV279" i="3"/>
  <c r="AC279" i="3"/>
  <c r="H279" i="3"/>
  <c r="G279" i="3" s="1"/>
  <c r="BT278" i="3"/>
  <c r="BS278" i="3"/>
  <c r="BR278" i="3"/>
  <c r="BQ278" i="3"/>
  <c r="BP278" i="3"/>
  <c r="BO278" i="3"/>
  <c r="BN278" i="3"/>
  <c r="BM278" i="3"/>
  <c r="BL278" i="3" s="1"/>
  <c r="BK278" i="3"/>
  <c r="BJ278" i="3"/>
  <c r="BI278" i="3"/>
  <c r="BH278" i="3"/>
  <c r="BG278" i="3"/>
  <c r="BF278" i="3"/>
  <c r="BE278" i="3"/>
  <c r="BD278" i="3"/>
  <c r="BC278" i="3"/>
  <c r="BB278" i="3"/>
  <c r="AX278" i="3"/>
  <c r="AW278" i="3"/>
  <c r="AV278" i="3"/>
  <c r="AC278" i="3"/>
  <c r="H278" i="3"/>
  <c r="G278" i="3" s="1"/>
  <c r="BT277" i="3"/>
  <c r="BS277" i="3"/>
  <c r="BR277" i="3"/>
  <c r="BQ277" i="3"/>
  <c r="BP277" i="3"/>
  <c r="BO277" i="3"/>
  <c r="BN277" i="3"/>
  <c r="BM277" i="3"/>
  <c r="BK277" i="3"/>
  <c r="BJ277" i="3"/>
  <c r="BI277" i="3"/>
  <c r="BH277" i="3"/>
  <c r="BG277" i="3"/>
  <c r="BF277" i="3"/>
  <c r="BE277" i="3"/>
  <c r="BD277" i="3"/>
  <c r="BC277" i="3"/>
  <c r="BB277" i="3"/>
  <c r="BA277" i="3"/>
  <c r="AX277" i="3"/>
  <c r="AW277" i="3"/>
  <c r="AV277" i="3"/>
  <c r="AC277" i="3"/>
  <c r="H277" i="3"/>
  <c r="BT276" i="3"/>
  <c r="BS276" i="3"/>
  <c r="BR276" i="3"/>
  <c r="BQ276" i="3"/>
  <c r="BP276" i="3"/>
  <c r="BO276" i="3"/>
  <c r="BN276" i="3"/>
  <c r="BM276" i="3"/>
  <c r="BL276" i="3"/>
  <c r="BK276" i="3"/>
  <c r="BJ276" i="3"/>
  <c r="BI276" i="3"/>
  <c r="BH276" i="3"/>
  <c r="BG276" i="3"/>
  <c r="BF276" i="3"/>
  <c r="BE276" i="3"/>
  <c r="BD276" i="3"/>
  <c r="BC276" i="3"/>
  <c r="BB276" i="3"/>
  <c r="BA276" i="3" s="1"/>
  <c r="AZ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s="1"/>
  <c r="AX275" i="3"/>
  <c r="AW275" i="3"/>
  <c r="AV275" i="3"/>
  <c r="AC275" i="3"/>
  <c r="H275" i="3"/>
  <c r="G275" i="3" s="1"/>
  <c r="BT274" i="3"/>
  <c r="BS274" i="3"/>
  <c r="BR274" i="3"/>
  <c r="BQ274" i="3"/>
  <c r="BP274" i="3"/>
  <c r="BO274" i="3"/>
  <c r="BN274" i="3"/>
  <c r="BM274" i="3"/>
  <c r="BK274" i="3"/>
  <c r="BJ274" i="3"/>
  <c r="BI274" i="3"/>
  <c r="BH274" i="3"/>
  <c r="BG274" i="3"/>
  <c r="BF274" i="3"/>
  <c r="BE274" i="3"/>
  <c r="BD274" i="3"/>
  <c r="BC274" i="3"/>
  <c r="BB274" i="3"/>
  <c r="BA274" i="3"/>
  <c r="AX274" i="3"/>
  <c r="AW274" i="3"/>
  <c r="AV274" i="3"/>
  <c r="AC274" i="3"/>
  <c r="H274" i="3"/>
  <c r="BT273" i="3"/>
  <c r="BS273" i="3"/>
  <c r="BR273" i="3"/>
  <c r="BQ273" i="3"/>
  <c r="BP273" i="3"/>
  <c r="BO273" i="3"/>
  <c r="BN273" i="3"/>
  <c r="BM273" i="3"/>
  <c r="BL273" i="3"/>
  <c r="BK273" i="3"/>
  <c r="BJ273" i="3"/>
  <c r="BI273" i="3"/>
  <c r="BH273" i="3"/>
  <c r="BG273" i="3"/>
  <c r="BF273" i="3"/>
  <c r="BE273" i="3"/>
  <c r="BD273" i="3"/>
  <c r="BC273" i="3"/>
  <c r="BB273" i="3"/>
  <c r="BA273" i="3" s="1"/>
  <c r="AX273" i="3"/>
  <c r="AW273" i="3"/>
  <c r="AV273" i="3"/>
  <c r="AC273" i="3"/>
  <c r="H273" i="3"/>
  <c r="BT272" i="3"/>
  <c r="BS272" i="3"/>
  <c r="BR272" i="3"/>
  <c r="BQ272" i="3"/>
  <c r="BP272" i="3"/>
  <c r="BO272" i="3"/>
  <c r="BN272" i="3"/>
  <c r="BM272" i="3"/>
  <c r="BL272" i="3"/>
  <c r="BK272" i="3"/>
  <c r="BJ272" i="3"/>
  <c r="BI272" i="3"/>
  <c r="BH272" i="3"/>
  <c r="BG272" i="3"/>
  <c r="BF272" i="3"/>
  <c r="BE272" i="3"/>
  <c r="BD272" i="3"/>
  <c r="BC272" i="3"/>
  <c r="BB272" i="3"/>
  <c r="BA272" i="3" s="1"/>
  <c r="AZ272" i="3" s="1"/>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s="1"/>
  <c r="AX271" i="3"/>
  <c r="AW271" i="3"/>
  <c r="AV271" i="3"/>
  <c r="AC271" i="3"/>
  <c r="H271" i="3"/>
  <c r="G271" i="3" s="1"/>
  <c r="BT270" i="3"/>
  <c r="BS270" i="3"/>
  <c r="BR270" i="3"/>
  <c r="BQ270" i="3"/>
  <c r="BP270" i="3"/>
  <c r="BO270" i="3"/>
  <c r="BN270" i="3"/>
  <c r="BM270" i="3"/>
  <c r="BK270" i="3"/>
  <c r="BJ270" i="3"/>
  <c r="BI270" i="3"/>
  <c r="BH270" i="3"/>
  <c r="BG270" i="3"/>
  <c r="BF270" i="3"/>
  <c r="BE270" i="3"/>
  <c r="BD270" i="3"/>
  <c r="BC270" i="3"/>
  <c r="BB270" i="3"/>
  <c r="BA270" i="3"/>
  <c r="AX270" i="3"/>
  <c r="AW270" i="3"/>
  <c r="AV270" i="3"/>
  <c r="AC270" i="3"/>
  <c r="H270" i="3"/>
  <c r="BT269" i="3"/>
  <c r="BS269" i="3"/>
  <c r="BR269" i="3"/>
  <c r="BQ269" i="3"/>
  <c r="BP269" i="3"/>
  <c r="BO269" i="3"/>
  <c r="BN269" i="3"/>
  <c r="BM269" i="3"/>
  <c r="BL269" i="3"/>
  <c r="BK269" i="3"/>
  <c r="BJ269" i="3"/>
  <c r="BI269" i="3"/>
  <c r="BH269" i="3"/>
  <c r="BG269" i="3"/>
  <c r="BF269" i="3"/>
  <c r="BE269" i="3"/>
  <c r="BD269" i="3"/>
  <c r="BC269" i="3"/>
  <c r="BB269" i="3"/>
  <c r="BA269" i="3" s="1"/>
  <c r="AX269" i="3"/>
  <c r="AW269" i="3"/>
  <c r="AV269" i="3"/>
  <c r="AC269" i="3"/>
  <c r="H269" i="3"/>
  <c r="BT268" i="3"/>
  <c r="BS268" i="3"/>
  <c r="BR268" i="3"/>
  <c r="BQ268" i="3"/>
  <c r="BP268" i="3"/>
  <c r="BO268" i="3"/>
  <c r="BN268" i="3"/>
  <c r="BM268" i="3"/>
  <c r="BL268" i="3"/>
  <c r="BK268" i="3"/>
  <c r="BJ268" i="3"/>
  <c r="BI268" i="3"/>
  <c r="BH268" i="3"/>
  <c r="BG268" i="3"/>
  <c r="BF268" i="3"/>
  <c r="BE268" i="3"/>
  <c r="BD268" i="3"/>
  <c r="BC268" i="3"/>
  <c r="BB268" i="3"/>
  <c r="BA268" i="3" s="1"/>
  <c r="AX268" i="3"/>
  <c r="AW268" i="3"/>
  <c r="AV268" i="3"/>
  <c r="AC268" i="3"/>
  <c r="H268" i="3"/>
  <c r="BT267" i="3"/>
  <c r="BS267" i="3"/>
  <c r="BR267" i="3"/>
  <c r="BQ267" i="3"/>
  <c r="BP267" i="3"/>
  <c r="BO267" i="3"/>
  <c r="BN267" i="3"/>
  <c r="BM267" i="3"/>
  <c r="BL267" i="3"/>
  <c r="BK267" i="3"/>
  <c r="BJ267" i="3"/>
  <c r="BI267" i="3"/>
  <c r="BH267" i="3"/>
  <c r="BG267" i="3"/>
  <c r="BF267" i="3"/>
  <c r="BE267" i="3"/>
  <c r="BD267" i="3"/>
  <c r="BC267" i="3"/>
  <c r="BB267" i="3"/>
  <c r="BA267" i="3" s="1"/>
  <c r="AZ267" i="3" s="1"/>
  <c r="AX267" i="3"/>
  <c r="AW267" i="3"/>
  <c r="AV267" i="3"/>
  <c r="AC267" i="3"/>
  <c r="H267" i="3"/>
  <c r="G267" i="3" s="1"/>
  <c r="BT266" i="3"/>
  <c r="BS266" i="3"/>
  <c r="BR266" i="3"/>
  <c r="BQ266" i="3"/>
  <c r="BP266" i="3"/>
  <c r="BO266" i="3"/>
  <c r="BN266" i="3"/>
  <c r="BM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s="1"/>
  <c r="AX265" i="3"/>
  <c r="AW265" i="3"/>
  <c r="AV265" i="3"/>
  <c r="AC265" i="3"/>
  <c r="H265" i="3"/>
  <c r="G265" i="3" s="1"/>
  <c r="BT264" i="3"/>
  <c r="BS264" i="3"/>
  <c r="BR264" i="3"/>
  <c r="BQ264" i="3"/>
  <c r="BP264" i="3"/>
  <c r="BO264" i="3"/>
  <c r="BN264" i="3"/>
  <c r="BM264" i="3"/>
  <c r="BK264" i="3"/>
  <c r="BJ264" i="3"/>
  <c r="BI264" i="3"/>
  <c r="BH264" i="3"/>
  <c r="BG264" i="3"/>
  <c r="BF264" i="3"/>
  <c r="BE264" i="3"/>
  <c r="BD264" i="3"/>
  <c r="BC264" i="3"/>
  <c r="BB264" i="3"/>
  <c r="BA264" i="3"/>
  <c r="AX264" i="3"/>
  <c r="AW264" i="3"/>
  <c r="AV264" i="3"/>
  <c r="AC264" i="3"/>
  <c r="H264" i="3"/>
  <c r="BT263" i="3"/>
  <c r="BS263" i="3"/>
  <c r="BR263" i="3"/>
  <c r="BQ263" i="3"/>
  <c r="BP263" i="3"/>
  <c r="BO263" i="3"/>
  <c r="BN263" i="3"/>
  <c r="BM263" i="3"/>
  <c r="BL263" i="3"/>
  <c r="BK263" i="3"/>
  <c r="BJ263" i="3"/>
  <c r="BI263" i="3"/>
  <c r="BH263" i="3"/>
  <c r="BG263" i="3"/>
  <c r="BF263" i="3"/>
  <c r="BE263" i="3"/>
  <c r="BD263" i="3"/>
  <c r="BC263" i="3"/>
  <c r="BB263" i="3"/>
  <c r="BA263" i="3" s="1"/>
  <c r="AX263" i="3"/>
  <c r="AW263" i="3"/>
  <c r="AV263" i="3"/>
  <c r="AC263" i="3"/>
  <c r="H263" i="3"/>
  <c r="BT262" i="3"/>
  <c r="BS262" i="3"/>
  <c r="BR262" i="3"/>
  <c r="BQ262" i="3"/>
  <c r="BP262" i="3"/>
  <c r="BO262" i="3"/>
  <c r="BN262" i="3"/>
  <c r="BM262" i="3"/>
  <c r="BL262" i="3"/>
  <c r="BK262" i="3"/>
  <c r="BJ262" i="3"/>
  <c r="BI262" i="3"/>
  <c r="BH262" i="3"/>
  <c r="BG262" i="3"/>
  <c r="BF262" i="3"/>
  <c r="BE262" i="3"/>
  <c r="BD262" i="3"/>
  <c r="BC262" i="3"/>
  <c r="BB262" i="3"/>
  <c r="BA262" i="3" s="1"/>
  <c r="AZ262" i="3" s="1"/>
  <c r="AX262" i="3"/>
  <c r="AW262" i="3"/>
  <c r="AV262" i="3"/>
  <c r="AC262" i="3"/>
  <c r="H262" i="3"/>
  <c r="G262" i="3" s="1"/>
  <c r="BT261" i="3"/>
  <c r="BS261" i="3"/>
  <c r="BR261" i="3"/>
  <c r="BQ261" i="3"/>
  <c r="BP261" i="3"/>
  <c r="BO261" i="3"/>
  <c r="BN261" i="3"/>
  <c r="BM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s="1"/>
  <c r="AZ260" i="3" s="1"/>
  <c r="AX260" i="3"/>
  <c r="AW260" i="3"/>
  <c r="AV260" i="3"/>
  <c r="AC260" i="3"/>
  <c r="H260" i="3"/>
  <c r="G260" i="3" s="1"/>
  <c r="BT259" i="3"/>
  <c r="BS259" i="3"/>
  <c r="BR259" i="3"/>
  <c r="BQ259" i="3"/>
  <c r="BP259" i="3"/>
  <c r="BO259" i="3"/>
  <c r="BN259" i="3"/>
  <c r="BM259" i="3"/>
  <c r="BL259" i="3" s="1"/>
  <c r="BK259" i="3"/>
  <c r="BJ259" i="3"/>
  <c r="BI259" i="3"/>
  <c r="BH259" i="3"/>
  <c r="BG259" i="3"/>
  <c r="BF259" i="3"/>
  <c r="BE259" i="3"/>
  <c r="BD259" i="3"/>
  <c r="BC259" i="3"/>
  <c r="BB259" i="3"/>
  <c r="AX259" i="3"/>
  <c r="AW259" i="3"/>
  <c r="AV259" i="3"/>
  <c r="AC259" i="3"/>
  <c r="H259" i="3"/>
  <c r="G259" i="3" s="1"/>
  <c r="BT258" i="3"/>
  <c r="BS258" i="3"/>
  <c r="BR258" i="3"/>
  <c r="BQ258" i="3"/>
  <c r="BP258" i="3"/>
  <c r="BO258" i="3"/>
  <c r="BN258" i="3"/>
  <c r="BM258" i="3"/>
  <c r="BL258" i="3" s="1"/>
  <c r="BK258" i="3"/>
  <c r="BJ258" i="3"/>
  <c r="BI258" i="3"/>
  <c r="BH258" i="3"/>
  <c r="BG258" i="3"/>
  <c r="BF258" i="3"/>
  <c r="BE258" i="3"/>
  <c r="BD258" i="3"/>
  <c r="BC258" i="3"/>
  <c r="BB258" i="3"/>
  <c r="AX258" i="3"/>
  <c r="AW258" i="3"/>
  <c r="AV258" i="3"/>
  <c r="AC258" i="3"/>
  <c r="H258" i="3"/>
  <c r="G258" i="3" s="1"/>
  <c r="BT257" i="3"/>
  <c r="BS257" i="3"/>
  <c r="BR257" i="3"/>
  <c r="BQ257" i="3"/>
  <c r="BP257" i="3"/>
  <c r="BO257" i="3"/>
  <c r="BN257" i="3"/>
  <c r="BM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s="1"/>
  <c r="BK256" i="3"/>
  <c r="BJ256" i="3"/>
  <c r="BI256" i="3"/>
  <c r="BH256" i="3"/>
  <c r="BG256" i="3"/>
  <c r="BF256" i="3"/>
  <c r="BE256" i="3"/>
  <c r="BD256" i="3"/>
  <c r="BC256" i="3"/>
  <c r="BB256" i="3"/>
  <c r="BA256" i="3" s="1"/>
  <c r="AX256" i="3"/>
  <c r="AW256" i="3"/>
  <c r="AV256" i="3"/>
  <c r="AC256" i="3"/>
  <c r="H256" i="3"/>
  <c r="G256" i="3" s="1"/>
  <c r="BT255" i="3"/>
  <c r="BS255" i="3"/>
  <c r="BR255" i="3"/>
  <c r="BQ255" i="3"/>
  <c r="BP255" i="3"/>
  <c r="BO255" i="3"/>
  <c r="BN255" i="3"/>
  <c r="BM255" i="3"/>
  <c r="BK255" i="3"/>
  <c r="BJ255" i="3"/>
  <c r="BI255" i="3"/>
  <c r="BH255" i="3"/>
  <c r="BG255" i="3"/>
  <c r="BF255" i="3"/>
  <c r="BE255" i="3"/>
  <c r="BD255" i="3"/>
  <c r="BC255" i="3"/>
  <c r="BB255" i="3"/>
  <c r="BA255" i="3"/>
  <c r="AX255" i="3"/>
  <c r="AW255" i="3"/>
  <c r="AV255" i="3"/>
  <c r="AC255" i="3"/>
  <c r="H255" i="3"/>
  <c r="BT254" i="3"/>
  <c r="BS254" i="3"/>
  <c r="BR254" i="3"/>
  <c r="BQ254" i="3"/>
  <c r="BP254" i="3"/>
  <c r="BO254" i="3"/>
  <c r="BN254" i="3"/>
  <c r="BM254" i="3"/>
  <c r="BL254" i="3"/>
  <c r="BK254" i="3"/>
  <c r="BJ254" i="3"/>
  <c r="BI254" i="3"/>
  <c r="BH254" i="3"/>
  <c r="BG254" i="3"/>
  <c r="BF254" i="3"/>
  <c r="BE254" i="3"/>
  <c r="BD254" i="3"/>
  <c r="BC254" i="3"/>
  <c r="BB254" i="3"/>
  <c r="BA254" i="3" s="1"/>
  <c r="AX254" i="3"/>
  <c r="AW254" i="3"/>
  <c r="AV254" i="3"/>
  <c r="AC254" i="3"/>
  <c r="H254" i="3"/>
  <c r="BT253" i="3"/>
  <c r="BS253" i="3"/>
  <c r="BR253" i="3"/>
  <c r="BQ253" i="3"/>
  <c r="BP253" i="3"/>
  <c r="BO253" i="3"/>
  <c r="BN253" i="3"/>
  <c r="BM253" i="3"/>
  <c r="BL253" i="3"/>
  <c r="BK253" i="3"/>
  <c r="BJ253" i="3"/>
  <c r="BI253" i="3"/>
  <c r="BH253" i="3"/>
  <c r="BG253" i="3"/>
  <c r="BF253" i="3"/>
  <c r="BE253" i="3"/>
  <c r="BD253" i="3"/>
  <c r="BC253" i="3"/>
  <c r="BB253" i="3"/>
  <c r="BA253" i="3" s="1"/>
  <c r="AX253" i="3"/>
  <c r="AW253" i="3"/>
  <c r="AV253" i="3"/>
  <c r="AC253" i="3"/>
  <c r="H253" i="3"/>
  <c r="BT252" i="3"/>
  <c r="BS252" i="3"/>
  <c r="BR252" i="3"/>
  <c r="BQ252" i="3"/>
  <c r="BP252" i="3"/>
  <c r="BO252" i="3"/>
  <c r="BN252" i="3"/>
  <c r="BM252" i="3"/>
  <c r="BL252" i="3"/>
  <c r="BK252" i="3"/>
  <c r="BJ252" i="3"/>
  <c r="BI252" i="3"/>
  <c r="BH252" i="3"/>
  <c r="BG252" i="3"/>
  <c r="BF252" i="3"/>
  <c r="BE252" i="3"/>
  <c r="BD252" i="3"/>
  <c r="BC252" i="3"/>
  <c r="BB252" i="3"/>
  <c r="BA252" i="3" s="1"/>
  <c r="AZ252" i="3" s="1"/>
  <c r="AX252" i="3"/>
  <c r="AW252" i="3"/>
  <c r="AV252" i="3"/>
  <c r="AC252" i="3"/>
  <c r="H252" i="3"/>
  <c r="G252" i="3"/>
  <c r="BT251" i="3"/>
  <c r="BS251" i="3"/>
  <c r="BR251" i="3"/>
  <c r="BQ251" i="3"/>
  <c r="BP251" i="3"/>
  <c r="BO251" i="3"/>
  <c r="BN251" i="3"/>
  <c r="BM251" i="3"/>
  <c r="BL251" i="3" s="1"/>
  <c r="BK251" i="3"/>
  <c r="BJ251" i="3"/>
  <c r="BI251" i="3"/>
  <c r="BH251" i="3"/>
  <c r="BG251" i="3"/>
  <c r="BF251" i="3"/>
  <c r="BE251" i="3"/>
  <c r="BD251" i="3"/>
  <c r="BC251" i="3"/>
  <c r="BB251" i="3"/>
  <c r="BA251" i="3" s="1"/>
  <c r="AX251" i="3"/>
  <c r="AW251" i="3"/>
  <c r="AV251" i="3"/>
  <c r="AC251" i="3"/>
  <c r="H251" i="3"/>
  <c r="G251" i="3" s="1"/>
  <c r="BT250" i="3"/>
  <c r="BS250" i="3"/>
  <c r="BR250" i="3"/>
  <c r="BQ250" i="3"/>
  <c r="BP250" i="3"/>
  <c r="BO250" i="3"/>
  <c r="BN250" i="3"/>
  <c r="BM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s="1"/>
  <c r="BK249" i="3"/>
  <c r="BJ249" i="3"/>
  <c r="BI249" i="3"/>
  <c r="BH249" i="3"/>
  <c r="BG249" i="3"/>
  <c r="BF249" i="3"/>
  <c r="BE249" i="3"/>
  <c r="BD249" i="3"/>
  <c r="BC249" i="3"/>
  <c r="BB249" i="3"/>
  <c r="BA249" i="3" s="1"/>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s="1"/>
  <c r="BK247" i="3"/>
  <c r="BJ247" i="3"/>
  <c r="BI247" i="3"/>
  <c r="BH247" i="3"/>
  <c r="BG247" i="3"/>
  <c r="BF247" i="3"/>
  <c r="BE247" i="3"/>
  <c r="BD247" i="3"/>
  <c r="BC247" i="3"/>
  <c r="BB247" i="3"/>
  <c r="BA247" i="3" s="1"/>
  <c r="AZ247" i="3" s="1"/>
  <c r="AX247" i="3"/>
  <c r="AW247" i="3"/>
  <c r="AV247" i="3"/>
  <c r="AC247" i="3"/>
  <c r="H247" i="3"/>
  <c r="G247" i="3" s="1"/>
  <c r="BT246" i="3"/>
  <c r="BS246" i="3"/>
  <c r="BR246" i="3"/>
  <c r="BQ246" i="3"/>
  <c r="BP246" i="3"/>
  <c r="BO246" i="3"/>
  <c r="BN246" i="3"/>
  <c r="BM246" i="3"/>
  <c r="BL246" i="3" s="1"/>
  <c r="BK246" i="3"/>
  <c r="BJ246" i="3"/>
  <c r="BI246" i="3"/>
  <c r="BH246" i="3"/>
  <c r="BG246" i="3"/>
  <c r="BF246" i="3"/>
  <c r="BE246" i="3"/>
  <c r="BD246" i="3"/>
  <c r="BC246" i="3"/>
  <c r="BB246" i="3"/>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s="1"/>
  <c r="AX245" i="3"/>
  <c r="AW245" i="3"/>
  <c r="AV245" i="3"/>
  <c r="AC245" i="3"/>
  <c r="H245" i="3"/>
  <c r="G245" i="3" s="1"/>
  <c r="BT244" i="3"/>
  <c r="BS244" i="3"/>
  <c r="BR244" i="3"/>
  <c r="BQ244" i="3"/>
  <c r="BP244" i="3"/>
  <c r="BO244" i="3"/>
  <c r="BN244" i="3"/>
  <c r="BM244" i="3"/>
  <c r="BK244" i="3"/>
  <c r="BJ244" i="3"/>
  <c r="BI244" i="3"/>
  <c r="BH244" i="3"/>
  <c r="BG244" i="3"/>
  <c r="BF244" i="3"/>
  <c r="BE244" i="3"/>
  <c r="BD244" i="3"/>
  <c r="BC244" i="3"/>
  <c r="BB244" i="3"/>
  <c r="BA244" i="3"/>
  <c r="AX244" i="3"/>
  <c r="AW244" i="3"/>
  <c r="AV244" i="3"/>
  <c r="AC244" i="3"/>
  <c r="H244" i="3"/>
  <c r="BT243" i="3"/>
  <c r="BS243" i="3"/>
  <c r="BR243" i="3"/>
  <c r="BQ243" i="3"/>
  <c r="BP243" i="3"/>
  <c r="BO243" i="3"/>
  <c r="BN243" i="3"/>
  <c r="BM243" i="3"/>
  <c r="BL243" i="3"/>
  <c r="BK243" i="3"/>
  <c r="BJ243" i="3"/>
  <c r="BI243" i="3"/>
  <c r="BH243" i="3"/>
  <c r="BG243" i="3"/>
  <c r="BF243" i="3"/>
  <c r="BE243" i="3"/>
  <c r="BD243" i="3"/>
  <c r="BC243" i="3"/>
  <c r="BB243" i="3"/>
  <c r="BA243" i="3" s="1"/>
  <c r="AX243" i="3"/>
  <c r="AW243" i="3"/>
  <c r="AV243" i="3"/>
  <c r="AC243" i="3"/>
  <c r="H243" i="3"/>
  <c r="BT242" i="3"/>
  <c r="BS242" i="3"/>
  <c r="BR242" i="3"/>
  <c r="BQ242" i="3"/>
  <c r="BP242" i="3"/>
  <c r="BO242" i="3"/>
  <c r="BN242" i="3"/>
  <c r="BM242" i="3"/>
  <c r="BL242" i="3"/>
  <c r="BK242" i="3"/>
  <c r="BJ242" i="3"/>
  <c r="BI242" i="3"/>
  <c r="BH242" i="3"/>
  <c r="BG242" i="3"/>
  <c r="BF242" i="3"/>
  <c r="BE242" i="3"/>
  <c r="BD242" i="3"/>
  <c r="BC242" i="3"/>
  <c r="BB242" i="3"/>
  <c r="BA242" i="3" s="1"/>
  <c r="AZ242" i="3" s="1"/>
  <c r="AX242" i="3"/>
  <c r="AW242" i="3"/>
  <c r="AV242" i="3"/>
  <c r="AC242" i="3"/>
  <c r="H242" i="3"/>
  <c r="G242" i="3" s="1"/>
  <c r="BT241" i="3"/>
  <c r="BS241" i="3"/>
  <c r="BR241" i="3"/>
  <c r="BQ241" i="3"/>
  <c r="BP241" i="3"/>
  <c r="BO241" i="3"/>
  <c r="BN241" i="3"/>
  <c r="BM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s="1"/>
  <c r="AX240" i="3"/>
  <c r="AW240" i="3"/>
  <c r="AV240" i="3"/>
  <c r="AC240" i="3"/>
  <c r="H240" i="3"/>
  <c r="G240" i="3" s="1"/>
  <c r="BT239" i="3"/>
  <c r="BS239" i="3"/>
  <c r="BR239" i="3"/>
  <c r="BQ239" i="3"/>
  <c r="BP239" i="3"/>
  <c r="BO239" i="3"/>
  <c r="BN239" i="3"/>
  <c r="BM239" i="3"/>
  <c r="BK239" i="3"/>
  <c r="BJ239" i="3"/>
  <c r="BI239" i="3"/>
  <c r="BH239" i="3"/>
  <c r="BG239" i="3"/>
  <c r="BF239" i="3"/>
  <c r="BE239" i="3"/>
  <c r="BD239" i="3"/>
  <c r="BC239" i="3"/>
  <c r="BB239" i="3"/>
  <c r="BA239" i="3"/>
  <c r="AX239" i="3"/>
  <c r="AW239" i="3"/>
  <c r="AV239" i="3"/>
  <c r="AC239" i="3"/>
  <c r="H239" i="3"/>
  <c r="BT238" i="3"/>
  <c r="BS238" i="3"/>
  <c r="BR238" i="3"/>
  <c r="BQ238" i="3"/>
  <c r="BP238" i="3"/>
  <c r="BO238" i="3"/>
  <c r="BN238" i="3"/>
  <c r="BM238" i="3"/>
  <c r="BL238" i="3"/>
  <c r="BK238" i="3"/>
  <c r="BJ238" i="3"/>
  <c r="BI238" i="3"/>
  <c r="BH238" i="3"/>
  <c r="BG238" i="3"/>
  <c r="BF238" i="3"/>
  <c r="BE238" i="3"/>
  <c r="BD238" i="3"/>
  <c r="BC238" i="3"/>
  <c r="BB238" i="3"/>
  <c r="BA238" i="3" s="1"/>
  <c r="AX238" i="3"/>
  <c r="AW238" i="3"/>
  <c r="AV238" i="3"/>
  <c r="AC238" i="3"/>
  <c r="H238" i="3"/>
  <c r="BT237" i="3"/>
  <c r="BS237" i="3"/>
  <c r="BR237" i="3"/>
  <c r="BQ237" i="3"/>
  <c r="BP237" i="3"/>
  <c r="BO237" i="3"/>
  <c r="BN237" i="3"/>
  <c r="BM237" i="3"/>
  <c r="BL237" i="3"/>
  <c r="BK237" i="3"/>
  <c r="BJ237" i="3"/>
  <c r="BI237" i="3"/>
  <c r="BH237" i="3"/>
  <c r="BG237" i="3"/>
  <c r="BF237" i="3"/>
  <c r="BE237" i="3"/>
  <c r="BD237" i="3"/>
  <c r="BC237" i="3"/>
  <c r="BB237" i="3"/>
  <c r="BA237" i="3" s="1"/>
  <c r="AX237" i="3"/>
  <c r="AW237" i="3"/>
  <c r="AV237" i="3"/>
  <c r="AC237" i="3"/>
  <c r="H237" i="3"/>
  <c r="BT236" i="3"/>
  <c r="BS236" i="3"/>
  <c r="BR236" i="3"/>
  <c r="BQ236" i="3"/>
  <c r="BP236" i="3"/>
  <c r="BO236" i="3"/>
  <c r="BN236" i="3"/>
  <c r="BM236" i="3"/>
  <c r="BL236" i="3"/>
  <c r="BK236" i="3"/>
  <c r="BJ236" i="3"/>
  <c r="BI236" i="3"/>
  <c r="BH236" i="3"/>
  <c r="BG236" i="3"/>
  <c r="BF236" i="3"/>
  <c r="BE236" i="3"/>
  <c r="BD236" i="3"/>
  <c r="BC236" i="3"/>
  <c r="BB236" i="3"/>
  <c r="BA236" i="3" s="1"/>
  <c r="AZ236" i="3" s="1"/>
  <c r="AX236" i="3"/>
  <c r="AW236" i="3"/>
  <c r="AV236" i="3"/>
  <c r="AC236" i="3"/>
  <c r="H236" i="3"/>
  <c r="G236" i="3" s="1"/>
  <c r="BT235" i="3"/>
  <c r="BS235" i="3"/>
  <c r="BR235" i="3"/>
  <c r="BQ235" i="3"/>
  <c r="BP235" i="3"/>
  <c r="BO235" i="3"/>
  <c r="BN235" i="3"/>
  <c r="BM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s="1"/>
  <c r="BK234" i="3"/>
  <c r="BJ234" i="3"/>
  <c r="BI234" i="3"/>
  <c r="BH234" i="3"/>
  <c r="BG234" i="3"/>
  <c r="BF234" i="3"/>
  <c r="BE234" i="3"/>
  <c r="BD234" i="3"/>
  <c r="BC234" i="3"/>
  <c r="BB234" i="3"/>
  <c r="BA234" i="3" s="1"/>
  <c r="AX234" i="3"/>
  <c r="AW234" i="3"/>
  <c r="AV234" i="3"/>
  <c r="AC234" i="3"/>
  <c r="H234" i="3"/>
  <c r="G234" i="3" s="1"/>
  <c r="BT233" i="3"/>
  <c r="BS233" i="3"/>
  <c r="BR233" i="3"/>
  <c r="BQ233" i="3"/>
  <c r="BP233" i="3"/>
  <c r="BO233" i="3"/>
  <c r="BN233" i="3"/>
  <c r="BM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s="1"/>
  <c r="BK232" i="3"/>
  <c r="BJ232" i="3"/>
  <c r="BI232" i="3"/>
  <c r="BH232" i="3"/>
  <c r="BG232" i="3"/>
  <c r="BF232" i="3"/>
  <c r="BE232" i="3"/>
  <c r="BD232" i="3"/>
  <c r="BC232" i="3"/>
  <c r="BB232" i="3"/>
  <c r="BA232" i="3" s="1"/>
  <c r="AX232" i="3"/>
  <c r="AW232" i="3"/>
  <c r="AV232" i="3"/>
  <c r="AC232" i="3"/>
  <c r="H232" i="3"/>
  <c r="G232" i="3" s="1"/>
  <c r="BT231" i="3"/>
  <c r="BS231" i="3"/>
  <c r="BR231" i="3"/>
  <c r="BQ231" i="3"/>
  <c r="BP231" i="3"/>
  <c r="BO231" i="3"/>
  <c r="BN231" i="3"/>
  <c r="BM231" i="3"/>
  <c r="BK231" i="3"/>
  <c r="BJ231" i="3"/>
  <c r="BI231" i="3"/>
  <c r="BH231" i="3"/>
  <c r="BG231" i="3"/>
  <c r="BF231" i="3"/>
  <c r="BE231" i="3"/>
  <c r="BD231" i="3"/>
  <c r="BC231" i="3"/>
  <c r="BB231" i="3"/>
  <c r="BA231" i="3"/>
  <c r="AX231" i="3"/>
  <c r="AW231" i="3"/>
  <c r="AV231" i="3"/>
  <c r="AC231" i="3"/>
  <c r="H231" i="3"/>
  <c r="BT230" i="3"/>
  <c r="BS230" i="3"/>
  <c r="BR230" i="3"/>
  <c r="BQ230" i="3"/>
  <c r="BP230" i="3"/>
  <c r="BO230" i="3"/>
  <c r="BN230" i="3"/>
  <c r="BM230" i="3"/>
  <c r="BL230" i="3"/>
  <c r="BK230" i="3"/>
  <c r="BJ230" i="3"/>
  <c r="BI230" i="3"/>
  <c r="BH230" i="3"/>
  <c r="BG230" i="3"/>
  <c r="BF230" i="3"/>
  <c r="BE230" i="3"/>
  <c r="BD230" i="3"/>
  <c r="BC230" i="3"/>
  <c r="BB230" i="3"/>
  <c r="BA230" i="3" s="1"/>
  <c r="AZ230" i="3" s="1"/>
  <c r="AX230" i="3"/>
  <c r="AW230" i="3"/>
  <c r="AV230" i="3"/>
  <c r="AC230" i="3"/>
  <c r="H230" i="3"/>
  <c r="G230" i="3" s="1"/>
  <c r="BT229" i="3"/>
  <c r="BS229" i="3"/>
  <c r="BR229" i="3"/>
  <c r="BQ229" i="3"/>
  <c r="BP229" i="3"/>
  <c r="BO229" i="3"/>
  <c r="BN229" i="3"/>
  <c r="BM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s="1"/>
  <c r="AZ228" i="3" s="1"/>
  <c r="AX228" i="3"/>
  <c r="AW228" i="3"/>
  <c r="AV228" i="3"/>
  <c r="AC228" i="3"/>
  <c r="H228" i="3"/>
  <c r="G228" i="3" s="1"/>
  <c r="BT227" i="3"/>
  <c r="BS227" i="3"/>
  <c r="BR227" i="3"/>
  <c r="BQ227" i="3"/>
  <c r="BP227" i="3"/>
  <c r="BO227" i="3"/>
  <c r="BN227" i="3"/>
  <c r="BM227" i="3"/>
  <c r="BL227" i="3" s="1"/>
  <c r="BK227" i="3"/>
  <c r="BJ227" i="3"/>
  <c r="BI227" i="3"/>
  <c r="BH227" i="3"/>
  <c r="BG227" i="3"/>
  <c r="BF227" i="3"/>
  <c r="BE227" i="3"/>
  <c r="BD227" i="3"/>
  <c r="BC227" i="3"/>
  <c r="BB227" i="3"/>
  <c r="AX227" i="3"/>
  <c r="AW227" i="3"/>
  <c r="AV227" i="3"/>
  <c r="AC227" i="3"/>
  <c r="H227" i="3"/>
  <c r="G227" i="3" s="1"/>
  <c r="BT226" i="3"/>
  <c r="BS226" i="3"/>
  <c r="BR226" i="3"/>
  <c r="BQ226" i="3"/>
  <c r="BP226" i="3"/>
  <c r="BO226" i="3"/>
  <c r="BN226" i="3"/>
  <c r="BM226" i="3"/>
  <c r="BL226" i="3" s="1"/>
  <c r="BK226" i="3"/>
  <c r="BJ226" i="3"/>
  <c r="BI226" i="3"/>
  <c r="BH226" i="3"/>
  <c r="BG226" i="3"/>
  <c r="BF226" i="3"/>
  <c r="BE226" i="3"/>
  <c r="BD226" i="3"/>
  <c r="BC226" i="3"/>
  <c r="BB226" i="3"/>
  <c r="AX226" i="3"/>
  <c r="AW226" i="3"/>
  <c r="AV226" i="3"/>
  <c r="AC226" i="3"/>
  <c r="H226" i="3"/>
  <c r="G226" i="3" s="1"/>
  <c r="BT225" i="3"/>
  <c r="BS225" i="3"/>
  <c r="BR225" i="3"/>
  <c r="BQ225" i="3"/>
  <c r="BP225" i="3"/>
  <c r="BO225" i="3"/>
  <c r="BN225" i="3"/>
  <c r="BM225" i="3"/>
  <c r="BK225" i="3"/>
  <c r="BJ225" i="3"/>
  <c r="BI225" i="3"/>
  <c r="BH225" i="3"/>
  <c r="BG225" i="3"/>
  <c r="BF225" i="3"/>
  <c r="BE225" i="3"/>
  <c r="BD225" i="3"/>
  <c r="BC225" i="3"/>
  <c r="BB225" i="3"/>
  <c r="BA225" i="3"/>
  <c r="AX225" i="3"/>
  <c r="AW225" i="3"/>
  <c r="AV225" i="3"/>
  <c r="AC225" i="3"/>
  <c r="H225" i="3"/>
  <c r="BT224" i="3"/>
  <c r="BS224" i="3"/>
  <c r="BR224" i="3"/>
  <c r="BQ224" i="3"/>
  <c r="BP224" i="3"/>
  <c r="BO224" i="3"/>
  <c r="BN224" i="3"/>
  <c r="BM224" i="3"/>
  <c r="BL224" i="3"/>
  <c r="BK224" i="3"/>
  <c r="BJ224" i="3"/>
  <c r="BI224" i="3"/>
  <c r="BH224" i="3"/>
  <c r="BG224" i="3"/>
  <c r="BF224" i="3"/>
  <c r="BE224" i="3"/>
  <c r="BD224" i="3"/>
  <c r="BC224" i="3"/>
  <c r="BB224" i="3"/>
  <c r="BA224" i="3" s="1"/>
  <c r="AX224" i="3"/>
  <c r="AW224" i="3"/>
  <c r="AV224" i="3"/>
  <c r="AC224" i="3"/>
  <c r="H224" i="3"/>
  <c r="BT223" i="3"/>
  <c r="BS223" i="3"/>
  <c r="BR223" i="3"/>
  <c r="BQ223" i="3"/>
  <c r="BP223" i="3"/>
  <c r="BO223" i="3"/>
  <c r="BN223" i="3"/>
  <c r="BM223" i="3"/>
  <c r="BL223" i="3"/>
  <c r="BK223" i="3"/>
  <c r="BJ223" i="3"/>
  <c r="BI223" i="3"/>
  <c r="BH223" i="3"/>
  <c r="BG223" i="3"/>
  <c r="BF223" i="3"/>
  <c r="BE223" i="3"/>
  <c r="BD223" i="3"/>
  <c r="BC223" i="3"/>
  <c r="BB223" i="3"/>
  <c r="BA223" i="3" s="1"/>
  <c r="AX223" i="3"/>
  <c r="AW223" i="3"/>
  <c r="AV223" i="3"/>
  <c r="AC223" i="3"/>
  <c r="H223" i="3"/>
  <c r="BT222" i="3"/>
  <c r="BS222" i="3"/>
  <c r="BR222" i="3"/>
  <c r="BQ222" i="3"/>
  <c r="BP222" i="3"/>
  <c r="BO222" i="3"/>
  <c r="BN222" i="3"/>
  <c r="BM222" i="3"/>
  <c r="BL222" i="3"/>
  <c r="BK222" i="3"/>
  <c r="BJ222" i="3"/>
  <c r="BI222" i="3"/>
  <c r="BH222" i="3"/>
  <c r="BG222" i="3"/>
  <c r="BF222" i="3"/>
  <c r="BE222" i="3"/>
  <c r="BD222" i="3"/>
  <c r="BC222" i="3"/>
  <c r="BB222" i="3"/>
  <c r="BA222" i="3" s="1"/>
  <c r="AX222" i="3"/>
  <c r="AW222" i="3"/>
  <c r="AV222" i="3"/>
  <c r="AC222" i="3"/>
  <c r="H222" i="3"/>
  <c r="BT221" i="3"/>
  <c r="BS221" i="3"/>
  <c r="BR221" i="3"/>
  <c r="BQ221" i="3"/>
  <c r="BP221" i="3"/>
  <c r="BO221" i="3"/>
  <c r="BN221" i="3"/>
  <c r="BM221" i="3"/>
  <c r="BL221" i="3"/>
  <c r="BK221" i="3"/>
  <c r="BJ221" i="3"/>
  <c r="BI221" i="3"/>
  <c r="BH221" i="3"/>
  <c r="BG221" i="3"/>
  <c r="BF221" i="3"/>
  <c r="BE221" i="3"/>
  <c r="BD221" i="3"/>
  <c r="BC221" i="3"/>
  <c r="BB221" i="3"/>
  <c r="BA221" i="3" s="1"/>
  <c r="AZ221" i="3" s="1"/>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s="1"/>
  <c r="AX220" i="3"/>
  <c r="AW220" i="3"/>
  <c r="AV220" i="3"/>
  <c r="AC220" i="3"/>
  <c r="H220" i="3"/>
  <c r="G220" i="3" s="1"/>
  <c r="BT219" i="3"/>
  <c r="BS219" i="3"/>
  <c r="BR219" i="3"/>
  <c r="BQ219" i="3"/>
  <c r="BP219" i="3"/>
  <c r="BO219" i="3"/>
  <c r="BN219" i="3"/>
  <c r="BM219" i="3"/>
  <c r="BL219" i="3" s="1"/>
  <c r="BK219" i="3"/>
  <c r="BJ219" i="3"/>
  <c r="BI219" i="3"/>
  <c r="BH219" i="3"/>
  <c r="BG219" i="3"/>
  <c r="BF219" i="3"/>
  <c r="BE219" i="3"/>
  <c r="BD219" i="3"/>
  <c r="BC219" i="3"/>
  <c r="BB219" i="3"/>
  <c r="BA219" i="3" s="1"/>
  <c r="AZ219" i="3" s="1"/>
  <c r="AX219" i="3"/>
  <c r="AW219" i="3"/>
  <c r="AV219" i="3"/>
  <c r="AC219" i="3"/>
  <c r="H219" i="3"/>
  <c r="G219" i="3" s="1"/>
  <c r="BT218" i="3"/>
  <c r="BS218" i="3"/>
  <c r="BR218" i="3"/>
  <c r="BQ218" i="3"/>
  <c r="BP218" i="3"/>
  <c r="BO218" i="3"/>
  <c r="BN218" i="3"/>
  <c r="BM218" i="3"/>
  <c r="BL218" i="3" s="1"/>
  <c r="BK218" i="3"/>
  <c r="BJ218" i="3"/>
  <c r="BI218" i="3"/>
  <c r="BH218" i="3"/>
  <c r="BG218" i="3"/>
  <c r="BF218" i="3"/>
  <c r="BE218" i="3"/>
  <c r="BD218" i="3"/>
  <c r="BC218" i="3"/>
  <c r="BB218" i="3"/>
  <c r="AX218" i="3"/>
  <c r="AW218" i="3"/>
  <c r="AV218" i="3"/>
  <c r="AC218" i="3"/>
  <c r="H218" i="3"/>
  <c r="G218" i="3" s="1"/>
  <c r="BT217" i="3"/>
  <c r="BS217" i="3"/>
  <c r="BR217" i="3"/>
  <c r="BQ217" i="3"/>
  <c r="BP217" i="3"/>
  <c r="BO217" i="3"/>
  <c r="BN217" i="3"/>
  <c r="BM217" i="3"/>
  <c r="BL217" i="3" s="1"/>
  <c r="BK217" i="3"/>
  <c r="BJ217" i="3"/>
  <c r="BI217" i="3"/>
  <c r="BH217" i="3"/>
  <c r="BG217" i="3"/>
  <c r="BF217" i="3"/>
  <c r="BE217" i="3"/>
  <c r="BD217" i="3"/>
  <c r="BC217" i="3"/>
  <c r="BB217" i="3"/>
  <c r="AX217" i="3"/>
  <c r="AW217" i="3"/>
  <c r="AV217" i="3"/>
  <c r="AC217" i="3"/>
  <c r="H217" i="3"/>
  <c r="G217" i="3" s="1"/>
  <c r="BT216" i="3"/>
  <c r="BS216" i="3"/>
  <c r="BR216" i="3"/>
  <c r="BQ216" i="3"/>
  <c r="BP216" i="3"/>
  <c r="BO216" i="3"/>
  <c r="BN216" i="3"/>
  <c r="BM216" i="3"/>
  <c r="BK216" i="3"/>
  <c r="BJ216" i="3"/>
  <c r="BI216" i="3"/>
  <c r="BH216" i="3"/>
  <c r="BG216" i="3"/>
  <c r="BF216" i="3"/>
  <c r="BE216" i="3"/>
  <c r="BD216" i="3"/>
  <c r="BC216" i="3"/>
  <c r="BB216" i="3"/>
  <c r="BA216" i="3"/>
  <c r="AX216" i="3"/>
  <c r="AW216" i="3"/>
  <c r="AV216" i="3"/>
  <c r="AC216" i="3"/>
  <c r="H216" i="3"/>
  <c r="BT215" i="3"/>
  <c r="BS215" i="3"/>
  <c r="BR215" i="3"/>
  <c r="BQ215" i="3"/>
  <c r="BP215" i="3"/>
  <c r="BO215" i="3"/>
  <c r="BN215" i="3"/>
  <c r="BM215" i="3"/>
  <c r="BL215" i="3"/>
  <c r="BK215" i="3"/>
  <c r="BJ215" i="3"/>
  <c r="BI215" i="3"/>
  <c r="BH215" i="3"/>
  <c r="BG215" i="3"/>
  <c r="BF215" i="3"/>
  <c r="BE215" i="3"/>
  <c r="BD215" i="3"/>
  <c r="BC215" i="3"/>
  <c r="BB215" i="3"/>
  <c r="BA215" i="3" s="1"/>
  <c r="AX215" i="3"/>
  <c r="AW215" i="3"/>
  <c r="AV215" i="3"/>
  <c r="AC215" i="3"/>
  <c r="H215" i="3"/>
  <c r="BT214" i="3"/>
  <c r="BS214" i="3"/>
  <c r="BR214" i="3"/>
  <c r="BQ214" i="3"/>
  <c r="BP214" i="3"/>
  <c r="BO214" i="3"/>
  <c r="BN214" i="3"/>
  <c r="BM214" i="3"/>
  <c r="BL214" i="3"/>
  <c r="BK214" i="3"/>
  <c r="BJ214" i="3"/>
  <c r="BI214" i="3"/>
  <c r="BH214" i="3"/>
  <c r="BG214" i="3"/>
  <c r="BF214" i="3"/>
  <c r="BE214" i="3"/>
  <c r="BD214" i="3"/>
  <c r="BC214" i="3"/>
  <c r="BB214" i="3"/>
  <c r="BA214" i="3" s="1"/>
  <c r="AX214" i="3"/>
  <c r="AW214" i="3"/>
  <c r="AV214" i="3"/>
  <c r="AC214" i="3"/>
  <c r="H214" i="3"/>
  <c r="BT213" i="3"/>
  <c r="BS213" i="3"/>
  <c r="BR213" i="3"/>
  <c r="BQ213" i="3"/>
  <c r="BP213" i="3"/>
  <c r="BO213" i="3"/>
  <c r="BN213" i="3"/>
  <c r="BM213" i="3"/>
  <c r="BL213" i="3"/>
  <c r="BK213" i="3"/>
  <c r="BJ213" i="3"/>
  <c r="BI213" i="3"/>
  <c r="BH213" i="3"/>
  <c r="BG213" i="3"/>
  <c r="BF213" i="3"/>
  <c r="BE213" i="3"/>
  <c r="BD213" i="3"/>
  <c r="BC213" i="3"/>
  <c r="BB213" i="3"/>
  <c r="BA213" i="3" s="1"/>
  <c r="AX213" i="3"/>
  <c r="AW213" i="3"/>
  <c r="AV213" i="3"/>
  <c r="AC213" i="3"/>
  <c r="H213" i="3"/>
  <c r="BT212" i="3"/>
  <c r="BS212" i="3"/>
  <c r="BR212" i="3"/>
  <c r="BQ212" i="3"/>
  <c r="BP212" i="3"/>
  <c r="BO212" i="3"/>
  <c r="BN212" i="3"/>
  <c r="BM212" i="3"/>
  <c r="BL212" i="3"/>
  <c r="BK212" i="3"/>
  <c r="BJ212" i="3"/>
  <c r="BI212" i="3"/>
  <c r="BH212" i="3"/>
  <c r="BG212" i="3"/>
  <c r="BF212" i="3"/>
  <c r="BE212" i="3"/>
  <c r="BD212" i="3"/>
  <c r="BC212" i="3"/>
  <c r="BB212" i="3"/>
  <c r="BA212" i="3" s="1"/>
  <c r="AZ212" i="3" s="1"/>
  <c r="AX212" i="3"/>
  <c r="AW212" i="3"/>
  <c r="AV212" i="3"/>
  <c r="AC212" i="3"/>
  <c r="H212" i="3"/>
  <c r="G212" i="3"/>
  <c r="BT211" i="3"/>
  <c r="BS211" i="3"/>
  <c r="BR211" i="3"/>
  <c r="BQ211" i="3"/>
  <c r="BP211" i="3"/>
  <c r="BO211" i="3"/>
  <c r="BN211" i="3"/>
  <c r="BM211" i="3"/>
  <c r="BL211" i="3" s="1"/>
  <c r="BK211" i="3"/>
  <c r="BJ211" i="3"/>
  <c r="BI211" i="3"/>
  <c r="BH211" i="3"/>
  <c r="BG211" i="3"/>
  <c r="BF211" i="3"/>
  <c r="BE211" i="3"/>
  <c r="BD211" i="3"/>
  <c r="BC211" i="3"/>
  <c r="BB211" i="3"/>
  <c r="BA211" i="3" s="1"/>
  <c r="AZ211" i="3" s="1"/>
  <c r="AX211" i="3"/>
  <c r="AW211" i="3"/>
  <c r="AV211" i="3"/>
  <c r="AC211" i="3"/>
  <c r="H211" i="3"/>
  <c r="G211" i="3" s="1"/>
  <c r="BT210" i="3"/>
  <c r="BS210" i="3"/>
  <c r="BR210" i="3"/>
  <c r="BQ210" i="3"/>
  <c r="BP210" i="3"/>
  <c r="BO210" i="3"/>
  <c r="BN210" i="3"/>
  <c r="BM210" i="3"/>
  <c r="BL210" i="3" s="1"/>
  <c r="BK210" i="3"/>
  <c r="BJ210" i="3"/>
  <c r="BI210" i="3"/>
  <c r="BH210" i="3"/>
  <c r="BG210" i="3"/>
  <c r="BF210" i="3"/>
  <c r="BE210" i="3"/>
  <c r="BD210" i="3"/>
  <c r="BC210" i="3"/>
  <c r="BB210" i="3"/>
  <c r="AX210" i="3"/>
  <c r="AW210" i="3"/>
  <c r="AV210" i="3"/>
  <c r="AC210" i="3"/>
  <c r="H210" i="3"/>
  <c r="G210" i="3" s="1"/>
  <c r="BT209" i="3"/>
  <c r="BS209" i="3"/>
  <c r="BR209" i="3"/>
  <c r="BQ209" i="3"/>
  <c r="BP209" i="3"/>
  <c r="BO209" i="3"/>
  <c r="BN209" i="3"/>
  <c r="BM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s="1"/>
  <c r="BK208" i="3"/>
  <c r="BJ208" i="3"/>
  <c r="BI208" i="3"/>
  <c r="BH208" i="3"/>
  <c r="BG208" i="3"/>
  <c r="BF208" i="3"/>
  <c r="BE208" i="3"/>
  <c r="BD208" i="3"/>
  <c r="BC208" i="3"/>
  <c r="BB208" i="3"/>
  <c r="BA208" i="3" s="1"/>
  <c r="AZ208" i="3" s="1"/>
  <c r="AX208" i="3"/>
  <c r="AW208" i="3"/>
  <c r="AV208" i="3"/>
  <c r="AC208" i="3"/>
  <c r="H208" i="3"/>
  <c r="G208" i="3" s="1"/>
  <c r="BT397" i="3"/>
  <c r="BS397" i="3"/>
  <c r="BR397" i="3"/>
  <c r="BQ397" i="3"/>
  <c r="BP397" i="3"/>
  <c r="BO397" i="3"/>
  <c r="BN397" i="3"/>
  <c r="BM397" i="3"/>
  <c r="BL397" i="3" s="1"/>
  <c r="BK397" i="3"/>
  <c r="BJ397" i="3"/>
  <c r="BI397" i="3"/>
  <c r="BH397" i="3"/>
  <c r="BG397" i="3"/>
  <c r="BF397" i="3"/>
  <c r="BE397" i="3"/>
  <c r="BD397" i="3"/>
  <c r="BC397" i="3"/>
  <c r="BB397" i="3"/>
  <c r="AX397" i="3"/>
  <c r="AW397" i="3"/>
  <c r="AV397" i="3"/>
  <c r="AC397" i="3"/>
  <c r="H397" i="3"/>
  <c r="G397" i="3" s="1"/>
  <c r="BT396" i="3"/>
  <c r="BS396" i="3"/>
  <c r="BR396" i="3"/>
  <c r="BQ396" i="3"/>
  <c r="BP396" i="3"/>
  <c r="BO396" i="3"/>
  <c r="BN396" i="3"/>
  <c r="BM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s="1"/>
  <c r="BK395" i="3"/>
  <c r="BJ395" i="3"/>
  <c r="BI395" i="3"/>
  <c r="BH395" i="3"/>
  <c r="BG395" i="3"/>
  <c r="BF395" i="3"/>
  <c r="BE395" i="3"/>
  <c r="BD395" i="3"/>
  <c r="BC395" i="3"/>
  <c r="BB395" i="3"/>
  <c r="BA395" i="3" s="1"/>
  <c r="AZ395" i="3" s="1"/>
  <c r="AX395" i="3"/>
  <c r="AW395" i="3"/>
  <c r="AV395" i="3"/>
  <c r="AC395" i="3"/>
  <c r="H395" i="3"/>
  <c r="G395" i="3" s="1"/>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s="1"/>
  <c r="AX392" i="3"/>
  <c r="AW392" i="3"/>
  <c r="AV392" i="3"/>
  <c r="AC392" i="3"/>
  <c r="H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s="1"/>
  <c r="AZ385" i="3" s="1"/>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s="1"/>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s="1"/>
  <c r="BT381" i="3"/>
  <c r="BS381" i="3"/>
  <c r="BR381" i="3"/>
  <c r="BQ381" i="3"/>
  <c r="BP381" i="3"/>
  <c r="BO381" i="3"/>
  <c r="BN381" i="3"/>
  <c r="BM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s="1"/>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s="1"/>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s="1"/>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s="1"/>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s="1"/>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s="1"/>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s="1"/>
  <c r="BK350" i="3"/>
  <c r="BJ350" i="3"/>
  <c r="BI350" i="3"/>
  <c r="BH350" i="3"/>
  <c r="BG350" i="3"/>
  <c r="BF350" i="3"/>
  <c r="BE350" i="3"/>
  <c r="BD350" i="3"/>
  <c r="BC350" i="3"/>
  <c r="BB350" i="3"/>
  <c r="BA350" i="3" s="1"/>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s="1"/>
  <c r="AX349" i="3"/>
  <c r="AW349" i="3"/>
  <c r="AV349" i="3"/>
  <c r="AC349" i="3"/>
  <c r="H349" i="3"/>
  <c r="G349" i="3" s="1"/>
  <c r="BT348" i="3"/>
  <c r="BS348" i="3"/>
  <c r="BR348" i="3"/>
  <c r="BQ348" i="3"/>
  <c r="BP348" i="3"/>
  <c r="BO348" i="3"/>
  <c r="BN348" i="3"/>
  <c r="BM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L346" i="3" s="1"/>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s="1"/>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G339" i="3" s="1"/>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s="1"/>
  <c r="BK333" i="3"/>
  <c r="BJ333" i="3"/>
  <c r="BI333" i="3"/>
  <c r="BH333" i="3"/>
  <c r="BG333" i="3"/>
  <c r="BF333" i="3"/>
  <c r="BE333" i="3"/>
  <c r="BD333" i="3"/>
  <c r="BC333" i="3"/>
  <c r="BB333" i="3"/>
  <c r="BA333" i="3" s="1"/>
  <c r="AX333" i="3"/>
  <c r="AW333" i="3"/>
  <c r="AV333" i="3"/>
  <c r="AC333" i="3"/>
  <c r="H333" i="3"/>
  <c r="BT332" i="3"/>
  <c r="BS332" i="3"/>
  <c r="BR332" i="3"/>
  <c r="BQ332" i="3"/>
  <c r="BP332" i="3"/>
  <c r="BO332" i="3"/>
  <c r="BN332" i="3"/>
  <c r="BM332" i="3"/>
  <c r="BL332" i="3" s="1"/>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s="1"/>
  <c r="AX331" i="3"/>
  <c r="AW331" i="3"/>
  <c r="AV331" i="3"/>
  <c r="AC331" i="3"/>
  <c r="H331" i="3"/>
  <c r="G331" i="3" s="1"/>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s="1"/>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s="1"/>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s="1"/>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s="1"/>
  <c r="AZ316" i="3" s="1"/>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s="1"/>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s="1"/>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492" i="3"/>
  <c r="BS492" i="3"/>
  <c r="BR492" i="3"/>
  <c r="BQ492" i="3"/>
  <c r="BP492" i="3"/>
  <c r="BO492" i="3"/>
  <c r="BN492" i="3"/>
  <c r="BM492" i="3"/>
  <c r="BL492" i="3" s="1"/>
  <c r="BK492" i="3"/>
  <c r="BJ492" i="3"/>
  <c r="BI492" i="3"/>
  <c r="BH492" i="3"/>
  <c r="BG492" i="3"/>
  <c r="BF492" i="3"/>
  <c r="BE492" i="3"/>
  <c r="BD492" i="3"/>
  <c r="BC492" i="3"/>
  <c r="BB492" i="3"/>
  <c r="BA492" i="3" s="1"/>
  <c r="AZ492" i="3" s="1"/>
  <c r="AX492" i="3"/>
  <c r="AW492" i="3"/>
  <c r="AV492" i="3"/>
  <c r="AC492" i="3"/>
  <c r="H492" i="3"/>
  <c r="G492" i="3" s="1"/>
  <c r="BT491" i="3"/>
  <c r="BS491" i="3"/>
  <c r="BR491" i="3"/>
  <c r="BQ491" i="3"/>
  <c r="BP491" i="3"/>
  <c r="BO491" i="3"/>
  <c r="BN491" i="3"/>
  <c r="BM491" i="3"/>
  <c r="BL491" i="3" s="1"/>
  <c r="BK491" i="3"/>
  <c r="BJ491" i="3"/>
  <c r="BI491" i="3"/>
  <c r="BH491" i="3"/>
  <c r="BG491" i="3"/>
  <c r="BF491" i="3"/>
  <c r="BE491" i="3"/>
  <c r="BD491" i="3"/>
  <c r="BC491" i="3"/>
  <c r="BB491" i="3"/>
  <c r="AX491" i="3"/>
  <c r="AW491" i="3"/>
  <c r="AV491" i="3"/>
  <c r="AC491" i="3"/>
  <c r="H491" i="3"/>
  <c r="G491" i="3" s="1"/>
  <c r="BT490" i="3"/>
  <c r="BS490" i="3"/>
  <c r="BR490" i="3"/>
  <c r="BQ490" i="3"/>
  <c r="BP490" i="3"/>
  <c r="BO490" i="3"/>
  <c r="BN490" i="3"/>
  <c r="BM490" i="3"/>
  <c r="BL490" i="3" s="1"/>
  <c r="BK490" i="3"/>
  <c r="BJ490" i="3"/>
  <c r="BI490" i="3"/>
  <c r="BH490" i="3"/>
  <c r="BG490" i="3"/>
  <c r="BF490" i="3"/>
  <c r="BE490" i="3"/>
  <c r="BD490" i="3"/>
  <c r="BC490" i="3"/>
  <c r="BB490" i="3"/>
  <c r="AX490" i="3"/>
  <c r="AW490" i="3"/>
  <c r="AV490" i="3"/>
  <c r="AC490" i="3"/>
  <c r="H490" i="3"/>
  <c r="G490" i="3" s="1"/>
  <c r="BT489" i="3"/>
  <c r="BS489" i="3"/>
  <c r="BR489" i="3"/>
  <c r="BQ489" i="3"/>
  <c r="BP489" i="3"/>
  <c r="BO489" i="3"/>
  <c r="BN489" i="3"/>
  <c r="BM489" i="3"/>
  <c r="BL489" i="3" s="1"/>
  <c r="BK489" i="3"/>
  <c r="BJ489" i="3"/>
  <c r="BI489" i="3"/>
  <c r="BH489" i="3"/>
  <c r="BG489" i="3"/>
  <c r="BF489" i="3"/>
  <c r="BE489" i="3"/>
  <c r="BD489" i="3"/>
  <c r="BC489" i="3"/>
  <c r="BB489" i="3"/>
  <c r="AX489" i="3"/>
  <c r="AW489" i="3"/>
  <c r="AV489" i="3"/>
  <c r="AC489" i="3"/>
  <c r="H489" i="3"/>
  <c r="G489" i="3" s="1"/>
  <c r="BT488" i="3"/>
  <c r="BS488" i="3"/>
  <c r="BR488" i="3"/>
  <c r="BQ488" i="3"/>
  <c r="BP488" i="3"/>
  <c r="BO488" i="3"/>
  <c r="BN488" i="3"/>
  <c r="BM488" i="3"/>
  <c r="BK488" i="3"/>
  <c r="BJ488" i="3"/>
  <c r="BI488" i="3"/>
  <c r="BH488" i="3"/>
  <c r="BG488" i="3"/>
  <c r="BF488" i="3"/>
  <c r="BE488" i="3"/>
  <c r="BD488" i="3"/>
  <c r="BC488" i="3"/>
  <c r="BB488" i="3"/>
  <c r="BA488" i="3"/>
  <c r="AX488" i="3"/>
  <c r="AW488" i="3"/>
  <c r="AV488" i="3"/>
  <c r="AC488" i="3"/>
  <c r="H488" i="3"/>
  <c r="BT487" i="3"/>
  <c r="BS487" i="3"/>
  <c r="BR487" i="3"/>
  <c r="BQ487" i="3"/>
  <c r="BP487" i="3"/>
  <c r="BO487" i="3"/>
  <c r="BN487" i="3"/>
  <c r="BM487" i="3"/>
  <c r="BL487" i="3"/>
  <c r="BK487" i="3"/>
  <c r="BJ487" i="3"/>
  <c r="BI487" i="3"/>
  <c r="BH487" i="3"/>
  <c r="BG487" i="3"/>
  <c r="BF487" i="3"/>
  <c r="BE487" i="3"/>
  <c r="BD487" i="3"/>
  <c r="BC487" i="3"/>
  <c r="BB487" i="3"/>
  <c r="BA487" i="3" s="1"/>
  <c r="AZ487" i="3" s="1"/>
  <c r="AX487" i="3"/>
  <c r="AW487" i="3"/>
  <c r="AV487" i="3"/>
  <c r="AC487" i="3"/>
  <c r="H487" i="3"/>
  <c r="G487" i="3" s="1"/>
  <c r="BT486" i="3"/>
  <c r="BS486" i="3"/>
  <c r="BR486" i="3"/>
  <c r="BQ486" i="3"/>
  <c r="BP486" i="3"/>
  <c r="BO486" i="3"/>
  <c r="BN486" i="3"/>
  <c r="BM486" i="3"/>
  <c r="BK486" i="3"/>
  <c r="BJ486" i="3"/>
  <c r="BI486" i="3"/>
  <c r="BH486" i="3"/>
  <c r="BG486" i="3"/>
  <c r="BF486" i="3"/>
  <c r="BE486" i="3"/>
  <c r="BD486" i="3"/>
  <c r="BC486" i="3"/>
  <c r="BB486" i="3"/>
  <c r="BA486" i="3"/>
  <c r="AX486" i="3"/>
  <c r="AW486" i="3"/>
  <c r="AV486" i="3"/>
  <c r="AC486" i="3"/>
  <c r="H486" i="3"/>
  <c r="BT485" i="3"/>
  <c r="BS485" i="3"/>
  <c r="BR485" i="3"/>
  <c r="BQ485" i="3"/>
  <c r="BP485" i="3"/>
  <c r="BO485" i="3"/>
  <c r="BN485" i="3"/>
  <c r="BM485" i="3"/>
  <c r="BL485" i="3"/>
  <c r="BK485" i="3"/>
  <c r="BJ485" i="3"/>
  <c r="BI485" i="3"/>
  <c r="BH485" i="3"/>
  <c r="BG485" i="3"/>
  <c r="BF485" i="3"/>
  <c r="BE485" i="3"/>
  <c r="BD485" i="3"/>
  <c r="BC485" i="3"/>
  <c r="BB485" i="3"/>
  <c r="BA485" i="3" s="1"/>
  <c r="AZ485" i="3" s="1"/>
  <c r="AX485" i="3"/>
  <c r="AW485" i="3"/>
  <c r="AV485" i="3"/>
  <c r="AC485" i="3"/>
  <c r="H485" i="3"/>
  <c r="G485" i="3"/>
  <c r="BT484" i="3"/>
  <c r="BS484" i="3"/>
  <c r="BR484" i="3"/>
  <c r="BQ484" i="3"/>
  <c r="BP484" i="3"/>
  <c r="BO484" i="3"/>
  <c r="BN484" i="3"/>
  <c r="BM484" i="3"/>
  <c r="BL484" i="3" s="1"/>
  <c r="BK484" i="3"/>
  <c r="BJ484" i="3"/>
  <c r="BI484" i="3"/>
  <c r="BH484" i="3"/>
  <c r="BG484" i="3"/>
  <c r="BF484" i="3"/>
  <c r="BE484" i="3"/>
  <c r="BD484" i="3"/>
  <c r="BC484" i="3"/>
  <c r="BB484" i="3"/>
  <c r="BA484" i="3" s="1"/>
  <c r="AZ484" i="3" s="1"/>
  <c r="AX484" i="3"/>
  <c r="AW484" i="3"/>
  <c r="AV484" i="3"/>
  <c r="AC484" i="3"/>
  <c r="H484" i="3"/>
  <c r="G484" i="3" s="1"/>
  <c r="BT483" i="3"/>
  <c r="BS483" i="3"/>
  <c r="BR483" i="3"/>
  <c r="BQ483" i="3"/>
  <c r="BP483" i="3"/>
  <c r="BO483" i="3"/>
  <c r="BN483" i="3"/>
  <c r="BM483" i="3"/>
  <c r="BL483" i="3" s="1"/>
  <c r="BK483" i="3"/>
  <c r="BJ483" i="3"/>
  <c r="BI483" i="3"/>
  <c r="BH483" i="3"/>
  <c r="BG483" i="3"/>
  <c r="BF483" i="3"/>
  <c r="BE483" i="3"/>
  <c r="BD483" i="3"/>
  <c r="BC483" i="3"/>
  <c r="BB483" i="3"/>
  <c r="AX483" i="3"/>
  <c r="AW483" i="3"/>
  <c r="AV483" i="3"/>
  <c r="AC483" i="3"/>
  <c r="H483" i="3"/>
  <c r="G483" i="3" s="1"/>
  <c r="BT482" i="3"/>
  <c r="BS482" i="3"/>
  <c r="BR482" i="3"/>
  <c r="BQ482" i="3"/>
  <c r="BP482" i="3"/>
  <c r="BO482" i="3"/>
  <c r="BN482" i="3"/>
  <c r="BM482" i="3"/>
  <c r="BK482" i="3"/>
  <c r="BJ482" i="3"/>
  <c r="BI482" i="3"/>
  <c r="BH482" i="3"/>
  <c r="BG482" i="3"/>
  <c r="BF482" i="3"/>
  <c r="BE482" i="3"/>
  <c r="BD482" i="3"/>
  <c r="BC482" i="3"/>
  <c r="BB482" i="3"/>
  <c r="BA482" i="3"/>
  <c r="AX482" i="3"/>
  <c r="AW482" i="3"/>
  <c r="AV482" i="3"/>
  <c r="AC482" i="3"/>
  <c r="H482" i="3"/>
  <c r="BT481" i="3"/>
  <c r="BS481" i="3"/>
  <c r="BR481" i="3"/>
  <c r="BQ481" i="3"/>
  <c r="BP481" i="3"/>
  <c r="BO481" i="3"/>
  <c r="BN481" i="3"/>
  <c r="BM481" i="3"/>
  <c r="BL481" i="3"/>
  <c r="BK481" i="3"/>
  <c r="BJ481" i="3"/>
  <c r="BI481" i="3"/>
  <c r="BH481" i="3"/>
  <c r="BG481" i="3"/>
  <c r="BF481" i="3"/>
  <c r="BE481" i="3"/>
  <c r="BD481" i="3"/>
  <c r="BC481" i="3"/>
  <c r="BB481" i="3"/>
  <c r="BA481" i="3" s="1"/>
  <c r="AZ481" i="3" s="1"/>
  <c r="AX481" i="3"/>
  <c r="AW481" i="3"/>
  <c r="AV481" i="3"/>
  <c r="AC481" i="3"/>
  <c r="H481" i="3"/>
  <c r="G481" i="3" s="1"/>
  <c r="BT480" i="3"/>
  <c r="BS480" i="3"/>
  <c r="BR480" i="3"/>
  <c r="BQ480" i="3"/>
  <c r="BP480" i="3"/>
  <c r="BO480" i="3"/>
  <c r="BN480" i="3"/>
  <c r="BM480" i="3"/>
  <c r="BK480" i="3"/>
  <c r="BJ480" i="3"/>
  <c r="BI480" i="3"/>
  <c r="BH480" i="3"/>
  <c r="BG480" i="3"/>
  <c r="BF480" i="3"/>
  <c r="BE480" i="3"/>
  <c r="BD480" i="3"/>
  <c r="BC480" i="3"/>
  <c r="BB480" i="3"/>
  <c r="BA480" i="3"/>
  <c r="AX480" i="3"/>
  <c r="AW480" i="3"/>
  <c r="AV480" i="3"/>
  <c r="AC480" i="3"/>
  <c r="H480" i="3"/>
  <c r="BT479" i="3"/>
  <c r="BS479" i="3"/>
  <c r="BR479" i="3"/>
  <c r="BQ479" i="3"/>
  <c r="BP479" i="3"/>
  <c r="BO479" i="3"/>
  <c r="BN479" i="3"/>
  <c r="BM479" i="3"/>
  <c r="BL479" i="3"/>
  <c r="BK479" i="3"/>
  <c r="BJ479" i="3"/>
  <c r="BI479" i="3"/>
  <c r="BH479" i="3"/>
  <c r="BG479" i="3"/>
  <c r="BF479" i="3"/>
  <c r="BE479" i="3"/>
  <c r="BD479" i="3"/>
  <c r="BC479" i="3"/>
  <c r="BB479" i="3"/>
  <c r="BA479" i="3" s="1"/>
  <c r="AZ479" i="3" s="1"/>
  <c r="AX479" i="3"/>
  <c r="AW479" i="3"/>
  <c r="AV479" i="3"/>
  <c r="AC479" i="3"/>
  <c r="H479" i="3"/>
  <c r="G479" i="3"/>
  <c r="BT478" i="3"/>
  <c r="BS478" i="3"/>
  <c r="BR478" i="3"/>
  <c r="BQ478" i="3"/>
  <c r="BP478" i="3"/>
  <c r="BO478" i="3"/>
  <c r="BN478" i="3"/>
  <c r="BM478" i="3"/>
  <c r="BL478" i="3" s="1"/>
  <c r="BK478" i="3"/>
  <c r="BJ478" i="3"/>
  <c r="BI478" i="3"/>
  <c r="BH478" i="3"/>
  <c r="BG478" i="3"/>
  <c r="BF478" i="3"/>
  <c r="BE478" i="3"/>
  <c r="BD478" i="3"/>
  <c r="BC478" i="3"/>
  <c r="BB478" i="3"/>
  <c r="BA478" i="3" s="1"/>
  <c r="AZ478" i="3" s="1"/>
  <c r="AX478" i="3"/>
  <c r="AW478" i="3"/>
  <c r="AV478" i="3"/>
  <c r="AC478" i="3"/>
  <c r="H478" i="3"/>
  <c r="G478" i="3" s="1"/>
  <c r="BT477" i="3"/>
  <c r="BS477" i="3"/>
  <c r="BR477" i="3"/>
  <c r="BQ477" i="3"/>
  <c r="BP477" i="3"/>
  <c r="BO477" i="3"/>
  <c r="BN477" i="3"/>
  <c r="BM477" i="3"/>
  <c r="BL477" i="3" s="1"/>
  <c r="BK477" i="3"/>
  <c r="BJ477" i="3"/>
  <c r="BI477" i="3"/>
  <c r="BH477" i="3"/>
  <c r="BG477" i="3"/>
  <c r="BF477" i="3"/>
  <c r="BE477" i="3"/>
  <c r="BD477" i="3"/>
  <c r="BC477" i="3"/>
  <c r="BB477" i="3"/>
  <c r="BA477" i="3"/>
  <c r="AZ477" i="3" s="1"/>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C476" i="3"/>
  <c r="BB476" i="3"/>
  <c r="BA476" i="3" s="1"/>
  <c r="AZ476" i="3" s="1"/>
  <c r="AX476" i="3"/>
  <c r="AW476" i="3"/>
  <c r="AV476" i="3"/>
  <c r="AC476" i="3"/>
  <c r="H476" i="3"/>
  <c r="G476" i="3" s="1"/>
  <c r="BT475" i="3"/>
  <c r="BS475" i="3"/>
  <c r="BR475" i="3"/>
  <c r="BQ475" i="3"/>
  <c r="BP475" i="3"/>
  <c r="BO475" i="3"/>
  <c r="BN475" i="3"/>
  <c r="BM475" i="3"/>
  <c r="BL475" i="3" s="1"/>
  <c r="BK475" i="3"/>
  <c r="BJ475" i="3"/>
  <c r="BI475" i="3"/>
  <c r="BH475" i="3"/>
  <c r="BG475" i="3"/>
  <c r="BF475" i="3"/>
  <c r="BE475" i="3"/>
  <c r="BD475" i="3"/>
  <c r="BC475" i="3"/>
  <c r="BB475" i="3"/>
  <c r="AX475" i="3"/>
  <c r="AW475" i="3"/>
  <c r="AV475" i="3"/>
  <c r="AC475" i="3"/>
  <c r="H475" i="3"/>
  <c r="G475" i="3" s="1"/>
  <c r="BT474" i="3"/>
  <c r="BS474" i="3"/>
  <c r="BR474" i="3"/>
  <c r="BQ474" i="3"/>
  <c r="BP474" i="3"/>
  <c r="BO474" i="3"/>
  <c r="BN474" i="3"/>
  <c r="BM474" i="3"/>
  <c r="BK474" i="3"/>
  <c r="BJ474" i="3"/>
  <c r="BI474" i="3"/>
  <c r="BH474" i="3"/>
  <c r="BG474" i="3"/>
  <c r="BF474" i="3"/>
  <c r="BE474" i="3"/>
  <c r="BD474" i="3"/>
  <c r="BC474" i="3"/>
  <c r="BB474" i="3"/>
  <c r="BA474" i="3"/>
  <c r="AX474" i="3"/>
  <c r="AW474" i="3"/>
  <c r="AV474" i="3"/>
  <c r="AC474" i="3"/>
  <c r="H474" i="3"/>
  <c r="BT473" i="3"/>
  <c r="BS473" i="3"/>
  <c r="BR473" i="3"/>
  <c r="BQ473" i="3"/>
  <c r="BP473" i="3"/>
  <c r="BO473" i="3"/>
  <c r="BN473" i="3"/>
  <c r="BM473" i="3"/>
  <c r="BL473" i="3"/>
  <c r="BK473" i="3"/>
  <c r="BJ473" i="3"/>
  <c r="BI473" i="3"/>
  <c r="BH473" i="3"/>
  <c r="BG473" i="3"/>
  <c r="BF473" i="3"/>
  <c r="BE473" i="3"/>
  <c r="BD473" i="3"/>
  <c r="BC473" i="3"/>
  <c r="BB473" i="3"/>
  <c r="BA473" i="3" s="1"/>
  <c r="AX473" i="3"/>
  <c r="AW473" i="3"/>
  <c r="AV473" i="3"/>
  <c r="AC473" i="3"/>
  <c r="H473" i="3"/>
  <c r="BT472" i="3"/>
  <c r="BS472" i="3"/>
  <c r="BR472" i="3"/>
  <c r="BQ472" i="3"/>
  <c r="BP472" i="3"/>
  <c r="BO472" i="3"/>
  <c r="BN472" i="3"/>
  <c r="BM472" i="3"/>
  <c r="BL472" i="3" s="1"/>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M471" i="3"/>
  <c r="BK471" i="3"/>
  <c r="BJ471" i="3"/>
  <c r="BI471" i="3"/>
  <c r="BH471" i="3"/>
  <c r="BG471" i="3"/>
  <c r="BF471" i="3"/>
  <c r="BE471" i="3"/>
  <c r="BD471" i="3"/>
  <c r="BC471" i="3"/>
  <c r="BB471" i="3"/>
  <c r="BA471" i="3"/>
  <c r="AX471" i="3"/>
  <c r="AW471" i="3"/>
  <c r="AV471" i="3"/>
  <c r="AC471" i="3"/>
  <c r="H471" i="3"/>
  <c r="BT470" i="3"/>
  <c r="BS470" i="3"/>
  <c r="BR470" i="3"/>
  <c r="BQ470" i="3"/>
  <c r="BP470" i="3"/>
  <c r="BO470" i="3"/>
  <c r="BN470" i="3"/>
  <c r="BM470" i="3"/>
  <c r="BL470" i="3"/>
  <c r="BK470" i="3"/>
  <c r="BJ470" i="3"/>
  <c r="BI470" i="3"/>
  <c r="BH470" i="3"/>
  <c r="BG470" i="3"/>
  <c r="BF470" i="3"/>
  <c r="BE470" i="3"/>
  <c r="BD470" i="3"/>
  <c r="BC470" i="3"/>
  <c r="BB470" i="3"/>
  <c r="BA470" i="3" s="1"/>
  <c r="AZ470" i="3" s="1"/>
  <c r="AX470" i="3"/>
  <c r="AW470" i="3"/>
  <c r="AV470" i="3"/>
  <c r="AC470" i="3"/>
  <c r="H470" i="3"/>
  <c r="G470" i="3"/>
  <c r="BT469" i="3"/>
  <c r="BS469" i="3"/>
  <c r="BR469" i="3"/>
  <c r="BQ469" i="3"/>
  <c r="BP469" i="3"/>
  <c r="BO469" i="3"/>
  <c r="BN469" i="3"/>
  <c r="BM469" i="3"/>
  <c r="BL469" i="3" s="1"/>
  <c r="BK469" i="3"/>
  <c r="BJ469" i="3"/>
  <c r="BI469" i="3"/>
  <c r="BH469" i="3"/>
  <c r="BG469" i="3"/>
  <c r="BF469" i="3"/>
  <c r="BE469" i="3"/>
  <c r="BD469" i="3"/>
  <c r="BC469" i="3"/>
  <c r="BB469" i="3"/>
  <c r="BA469" i="3" s="1"/>
  <c r="AZ469" i="3" s="1"/>
  <c r="AX469" i="3"/>
  <c r="AW469" i="3"/>
  <c r="AV469" i="3"/>
  <c r="AC469" i="3"/>
  <c r="H469" i="3"/>
  <c r="BT468" i="3"/>
  <c r="BS468" i="3"/>
  <c r="BR468" i="3"/>
  <c r="BQ468" i="3"/>
  <c r="BP468" i="3"/>
  <c r="BO468" i="3"/>
  <c r="BN468" i="3"/>
  <c r="BM468" i="3"/>
  <c r="BL468" i="3"/>
  <c r="BK468" i="3"/>
  <c r="BJ468" i="3"/>
  <c r="BI468" i="3"/>
  <c r="BH468" i="3"/>
  <c r="BG468" i="3"/>
  <c r="BF468" i="3"/>
  <c r="BE468" i="3"/>
  <c r="BD468" i="3"/>
  <c r="BC468" i="3"/>
  <c r="BB468" i="3"/>
  <c r="BA468" i="3" s="1"/>
  <c r="AZ468" i="3" s="1"/>
  <c r="AX468" i="3"/>
  <c r="AW468" i="3"/>
  <c r="AV468" i="3"/>
  <c r="AC468" i="3"/>
  <c r="H468" i="3"/>
  <c r="G468" i="3"/>
  <c r="BT467" i="3"/>
  <c r="BS467" i="3"/>
  <c r="BR467" i="3"/>
  <c r="BQ467" i="3"/>
  <c r="BP467" i="3"/>
  <c r="BO467" i="3"/>
  <c r="BN467" i="3"/>
  <c r="BM467" i="3"/>
  <c r="BL467" i="3" s="1"/>
  <c r="BK467" i="3"/>
  <c r="BJ467" i="3"/>
  <c r="BI467" i="3"/>
  <c r="BH467" i="3"/>
  <c r="BG467" i="3"/>
  <c r="BF467" i="3"/>
  <c r="BE467" i="3"/>
  <c r="BD467" i="3"/>
  <c r="BC467" i="3"/>
  <c r="BB467" i="3"/>
  <c r="BA467" i="3" s="1"/>
  <c r="AX467" i="3"/>
  <c r="AW467" i="3"/>
  <c r="AV467" i="3"/>
  <c r="AC467" i="3"/>
  <c r="H467" i="3"/>
  <c r="G467" i="3" s="1"/>
  <c r="BT466" i="3"/>
  <c r="BS466" i="3"/>
  <c r="BR466" i="3"/>
  <c r="BQ466" i="3"/>
  <c r="BP466" i="3"/>
  <c r="BO466" i="3"/>
  <c r="BN466" i="3"/>
  <c r="BM466" i="3"/>
  <c r="BL466" i="3" s="1"/>
  <c r="BK466" i="3"/>
  <c r="BJ466" i="3"/>
  <c r="BI466" i="3"/>
  <c r="BH466" i="3"/>
  <c r="BG466" i="3"/>
  <c r="BF466" i="3"/>
  <c r="BE466" i="3"/>
  <c r="BD466" i="3"/>
  <c r="BC466" i="3"/>
  <c r="BB466" i="3"/>
  <c r="AX466" i="3"/>
  <c r="AW466" i="3"/>
  <c r="AV466" i="3"/>
  <c r="AC466" i="3"/>
  <c r="H466" i="3"/>
  <c r="G466" i="3" s="1"/>
  <c r="BT465" i="3"/>
  <c r="BS465" i="3"/>
  <c r="BR465" i="3"/>
  <c r="BQ465" i="3"/>
  <c r="BP465" i="3"/>
  <c r="BO465" i="3"/>
  <c r="BN465" i="3"/>
  <c r="BM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s="1"/>
  <c r="BK464" i="3"/>
  <c r="BJ464" i="3"/>
  <c r="BI464" i="3"/>
  <c r="BH464" i="3"/>
  <c r="BG464" i="3"/>
  <c r="BF464" i="3"/>
  <c r="BE464" i="3"/>
  <c r="BD464" i="3"/>
  <c r="BC464" i="3"/>
  <c r="BB464" i="3"/>
  <c r="BA464" i="3" s="1"/>
  <c r="AX464" i="3"/>
  <c r="AW464" i="3"/>
  <c r="AV464" i="3"/>
  <c r="AC464" i="3"/>
  <c r="H464" i="3"/>
  <c r="G464" i="3" s="1"/>
  <c r="BT463" i="3"/>
  <c r="BS463" i="3"/>
  <c r="BR463" i="3"/>
  <c r="BQ463" i="3"/>
  <c r="BP463" i="3"/>
  <c r="BO463" i="3"/>
  <c r="BN463" i="3"/>
  <c r="BM463" i="3"/>
  <c r="BL463" i="3" s="1"/>
  <c r="BK463" i="3"/>
  <c r="BJ463" i="3"/>
  <c r="BI463" i="3"/>
  <c r="BH463" i="3"/>
  <c r="BG463" i="3"/>
  <c r="BF463" i="3"/>
  <c r="BE463" i="3"/>
  <c r="BD463" i="3"/>
  <c r="BC463" i="3"/>
  <c r="BB463" i="3"/>
  <c r="AX463" i="3"/>
  <c r="AW463" i="3"/>
  <c r="AV463" i="3"/>
  <c r="AC463" i="3"/>
  <c r="H463" i="3"/>
  <c r="G463" i="3" s="1"/>
  <c r="BT462" i="3"/>
  <c r="BS462" i="3"/>
  <c r="BR462" i="3"/>
  <c r="BQ462" i="3"/>
  <c r="BP462" i="3"/>
  <c r="BO462" i="3"/>
  <c r="BN462" i="3"/>
  <c r="BM462" i="3"/>
  <c r="BK462" i="3"/>
  <c r="BJ462" i="3"/>
  <c r="BI462" i="3"/>
  <c r="BH462" i="3"/>
  <c r="BG462" i="3"/>
  <c r="BF462" i="3"/>
  <c r="BE462" i="3"/>
  <c r="BD462" i="3"/>
  <c r="BC462" i="3"/>
  <c r="BB462" i="3"/>
  <c r="AX462" i="3"/>
  <c r="AW462" i="3"/>
  <c r="AV462" i="3"/>
  <c r="AC462" i="3"/>
  <c r="H462" i="3"/>
  <c r="G462" i="3" s="1"/>
  <c r="BT461" i="3"/>
  <c r="BS461" i="3"/>
  <c r="BR461" i="3"/>
  <c r="BQ461" i="3"/>
  <c r="BP461" i="3"/>
  <c r="BO461" i="3"/>
  <c r="BN461" i="3"/>
  <c r="BM461" i="3"/>
  <c r="BL461" i="3" s="1"/>
  <c r="BK461" i="3"/>
  <c r="BJ461" i="3"/>
  <c r="BI461" i="3"/>
  <c r="BH461" i="3"/>
  <c r="BG461" i="3"/>
  <c r="BF461" i="3"/>
  <c r="BE461" i="3"/>
  <c r="BD461" i="3"/>
  <c r="BC461" i="3"/>
  <c r="BB461" i="3"/>
  <c r="AX461" i="3"/>
  <c r="AW461" i="3"/>
  <c r="AV461" i="3"/>
  <c r="AC461" i="3"/>
  <c r="H461" i="3"/>
  <c r="G461" i="3" s="1"/>
  <c r="BT460" i="3"/>
  <c r="BS460" i="3"/>
  <c r="BR460" i="3"/>
  <c r="BQ460" i="3"/>
  <c r="BP460" i="3"/>
  <c r="BO460" i="3"/>
  <c r="BN460" i="3"/>
  <c r="BM460" i="3"/>
  <c r="BK460" i="3"/>
  <c r="BJ460" i="3"/>
  <c r="BI460" i="3"/>
  <c r="BH460" i="3"/>
  <c r="BG460" i="3"/>
  <c r="BF460" i="3"/>
  <c r="BE460" i="3"/>
  <c r="BD460" i="3"/>
  <c r="BC460" i="3"/>
  <c r="BB460" i="3"/>
  <c r="BA460" i="3"/>
  <c r="AX460" i="3"/>
  <c r="AW460" i="3"/>
  <c r="AV460" i="3"/>
  <c r="AC460" i="3"/>
  <c r="H460" i="3"/>
  <c r="BT459" i="3"/>
  <c r="BS459" i="3"/>
  <c r="BR459" i="3"/>
  <c r="BQ459" i="3"/>
  <c r="BP459" i="3"/>
  <c r="BO459" i="3"/>
  <c r="BN459" i="3"/>
  <c r="BM459" i="3"/>
  <c r="BL459" i="3"/>
  <c r="BK459" i="3"/>
  <c r="BJ459" i="3"/>
  <c r="BI459" i="3"/>
  <c r="BH459" i="3"/>
  <c r="BG459" i="3"/>
  <c r="BF459" i="3"/>
  <c r="BE459" i="3"/>
  <c r="BD459" i="3"/>
  <c r="BC459" i="3"/>
  <c r="BB459" i="3"/>
  <c r="BA459" i="3" s="1"/>
  <c r="AZ459" i="3" s="1"/>
  <c r="AX459" i="3"/>
  <c r="AW459" i="3"/>
  <c r="AV459" i="3"/>
  <c r="AC459" i="3"/>
  <c r="H459" i="3"/>
  <c r="G459" i="3" s="1"/>
  <c r="BT458" i="3"/>
  <c r="BS458" i="3"/>
  <c r="BR458" i="3"/>
  <c r="BQ458" i="3"/>
  <c r="BP458" i="3"/>
  <c r="BO458" i="3"/>
  <c r="BN458" i="3"/>
  <c r="BM458" i="3"/>
  <c r="BK458" i="3"/>
  <c r="BJ458" i="3"/>
  <c r="BI458" i="3"/>
  <c r="BH458" i="3"/>
  <c r="BG458" i="3"/>
  <c r="BF458" i="3"/>
  <c r="BE458" i="3"/>
  <c r="BD458" i="3"/>
  <c r="BC458" i="3"/>
  <c r="BB458" i="3"/>
  <c r="AX458" i="3"/>
  <c r="AW458" i="3"/>
  <c r="AV458" i="3"/>
  <c r="AC458" i="3"/>
  <c r="H458" i="3"/>
  <c r="G458" i="3" s="1"/>
  <c r="BT457" i="3"/>
  <c r="BS457" i="3"/>
  <c r="BR457" i="3"/>
  <c r="BQ457" i="3"/>
  <c r="BP457" i="3"/>
  <c r="BO457" i="3"/>
  <c r="BN457" i="3"/>
  <c r="BM457" i="3"/>
  <c r="BL457" i="3" s="1"/>
  <c r="BK457" i="3"/>
  <c r="BJ457" i="3"/>
  <c r="BI457" i="3"/>
  <c r="BH457" i="3"/>
  <c r="BG457" i="3"/>
  <c r="BF457" i="3"/>
  <c r="BE457" i="3"/>
  <c r="BD457" i="3"/>
  <c r="BC457" i="3"/>
  <c r="BB457" i="3"/>
  <c r="AX457" i="3"/>
  <c r="AW457" i="3"/>
  <c r="AV457" i="3"/>
  <c r="AC457" i="3"/>
  <c r="H457" i="3"/>
  <c r="G457" i="3" s="1"/>
  <c r="BT456" i="3"/>
  <c r="BS456" i="3"/>
  <c r="BR456" i="3"/>
  <c r="BQ456" i="3"/>
  <c r="BP456" i="3"/>
  <c r="BO456" i="3"/>
  <c r="BN456" i="3"/>
  <c r="BM456" i="3"/>
  <c r="BL456" i="3" s="1"/>
  <c r="BK456" i="3"/>
  <c r="BJ456" i="3"/>
  <c r="BI456" i="3"/>
  <c r="BH456" i="3"/>
  <c r="BG456" i="3"/>
  <c r="BF456" i="3"/>
  <c r="BE456" i="3"/>
  <c r="BD456" i="3"/>
  <c r="BC456" i="3"/>
  <c r="BB456" i="3"/>
  <c r="AX456" i="3"/>
  <c r="AW456" i="3"/>
  <c r="AV456" i="3"/>
  <c r="AC456" i="3"/>
  <c r="H456" i="3"/>
  <c r="G456" i="3" s="1"/>
  <c r="BT455" i="3"/>
  <c r="BS455" i="3"/>
  <c r="BR455" i="3"/>
  <c r="BQ455" i="3"/>
  <c r="BP455" i="3"/>
  <c r="BO455" i="3"/>
  <c r="BN455" i="3"/>
  <c r="BM455" i="3"/>
  <c r="BK455" i="3"/>
  <c r="BJ455" i="3"/>
  <c r="BI455" i="3"/>
  <c r="BH455" i="3"/>
  <c r="BG455" i="3"/>
  <c r="BF455" i="3"/>
  <c r="BE455" i="3"/>
  <c r="BD455" i="3"/>
  <c r="BC455" i="3"/>
  <c r="BB455" i="3"/>
  <c r="BA455" i="3"/>
  <c r="AX455" i="3"/>
  <c r="AW455" i="3"/>
  <c r="AV455" i="3"/>
  <c r="AC455" i="3"/>
  <c r="H455" i="3"/>
  <c r="BT454" i="3"/>
  <c r="BS454" i="3"/>
  <c r="BR454" i="3"/>
  <c r="BQ454" i="3"/>
  <c r="BP454" i="3"/>
  <c r="BO454" i="3"/>
  <c r="BN454" i="3"/>
  <c r="BM454" i="3"/>
  <c r="BL454" i="3"/>
  <c r="BK454" i="3"/>
  <c r="BJ454" i="3"/>
  <c r="BI454" i="3"/>
  <c r="BH454" i="3"/>
  <c r="BG454" i="3"/>
  <c r="BF454" i="3"/>
  <c r="BE454" i="3"/>
  <c r="BD454" i="3"/>
  <c r="BC454" i="3"/>
  <c r="BB454" i="3"/>
  <c r="BA454" i="3" s="1"/>
  <c r="AZ454" i="3" s="1"/>
  <c r="AX454" i="3"/>
  <c r="AW454" i="3"/>
  <c r="AV454" i="3"/>
  <c r="AC454" i="3"/>
  <c r="H454" i="3"/>
  <c r="G454" i="3" s="1"/>
  <c r="BT453" i="3"/>
  <c r="BS453" i="3"/>
  <c r="BR453" i="3"/>
  <c r="BQ453" i="3"/>
  <c r="BP453" i="3"/>
  <c r="BO453" i="3"/>
  <c r="BN453" i="3"/>
  <c r="BM453" i="3"/>
  <c r="BK453" i="3"/>
  <c r="BJ453" i="3"/>
  <c r="BI453" i="3"/>
  <c r="BH453" i="3"/>
  <c r="BG453" i="3"/>
  <c r="BF453" i="3"/>
  <c r="BE453" i="3"/>
  <c r="BD453" i="3"/>
  <c r="BC453" i="3"/>
  <c r="BB453" i="3"/>
  <c r="BA453" i="3"/>
  <c r="AX453" i="3"/>
  <c r="AW453" i="3"/>
  <c r="AV453" i="3"/>
  <c r="AC453" i="3"/>
  <c r="H453" i="3"/>
  <c r="BT452" i="3"/>
  <c r="BS452" i="3"/>
  <c r="BR452" i="3"/>
  <c r="BQ452" i="3"/>
  <c r="BP452" i="3"/>
  <c r="BO452" i="3"/>
  <c r="BN452" i="3"/>
  <c r="BM452" i="3"/>
  <c r="BL452" i="3"/>
  <c r="BK452" i="3"/>
  <c r="BJ452" i="3"/>
  <c r="BI452" i="3"/>
  <c r="BH452" i="3"/>
  <c r="BG452" i="3"/>
  <c r="BF452" i="3"/>
  <c r="BE452" i="3"/>
  <c r="BD452" i="3"/>
  <c r="BC452" i="3"/>
  <c r="BB452" i="3"/>
  <c r="BA452" i="3" s="1"/>
  <c r="AZ452" i="3" s="1"/>
  <c r="AX452" i="3"/>
  <c r="AW452" i="3"/>
  <c r="AV452" i="3"/>
  <c r="AC452" i="3"/>
  <c r="H452" i="3"/>
  <c r="G452" i="3"/>
  <c r="BT451" i="3"/>
  <c r="BS451" i="3"/>
  <c r="BR451" i="3"/>
  <c r="BQ451" i="3"/>
  <c r="BP451" i="3"/>
  <c r="BO451" i="3"/>
  <c r="BN451" i="3"/>
  <c r="BM451" i="3"/>
  <c r="BL451" i="3" s="1"/>
  <c r="BK451" i="3"/>
  <c r="BJ451" i="3"/>
  <c r="BI451" i="3"/>
  <c r="BH451" i="3"/>
  <c r="BG451" i="3"/>
  <c r="BF451" i="3"/>
  <c r="BE451" i="3"/>
  <c r="BD451" i="3"/>
  <c r="BC451" i="3"/>
  <c r="BB451" i="3"/>
  <c r="BA451" i="3" s="1"/>
  <c r="AZ451" i="3" s="1"/>
  <c r="AX451" i="3"/>
  <c r="AW451" i="3"/>
  <c r="AV451" i="3"/>
  <c r="AC451" i="3"/>
  <c r="H451" i="3"/>
  <c r="BT450" i="3"/>
  <c r="BS450" i="3"/>
  <c r="BR450" i="3"/>
  <c r="BQ450" i="3"/>
  <c r="BP450" i="3"/>
  <c r="BO450" i="3"/>
  <c r="BN450" i="3"/>
  <c r="BM450" i="3"/>
  <c r="BL450" i="3"/>
  <c r="BK450" i="3"/>
  <c r="BJ450" i="3"/>
  <c r="BI450" i="3"/>
  <c r="BH450" i="3"/>
  <c r="BG450" i="3"/>
  <c r="BF450" i="3"/>
  <c r="BE450" i="3"/>
  <c r="BD450" i="3"/>
  <c r="BC450" i="3"/>
  <c r="BB450" i="3"/>
  <c r="BA450" i="3" s="1"/>
  <c r="AZ450" i="3" s="1"/>
  <c r="AX450" i="3"/>
  <c r="AW450" i="3"/>
  <c r="AV450" i="3"/>
  <c r="AC450" i="3"/>
  <c r="H450" i="3"/>
  <c r="G450" i="3" s="1"/>
  <c r="BT449" i="3"/>
  <c r="BS449" i="3"/>
  <c r="BR449" i="3"/>
  <c r="BQ449" i="3"/>
  <c r="BP449" i="3"/>
  <c r="BO449" i="3"/>
  <c r="BN449" i="3"/>
  <c r="BM449" i="3"/>
  <c r="BK449" i="3"/>
  <c r="BJ449" i="3"/>
  <c r="BI449" i="3"/>
  <c r="BH449" i="3"/>
  <c r="BG449" i="3"/>
  <c r="BF449" i="3"/>
  <c r="BE449" i="3"/>
  <c r="BD449" i="3"/>
  <c r="BC449" i="3"/>
  <c r="BB449" i="3"/>
  <c r="BA449" i="3"/>
  <c r="AX449" i="3"/>
  <c r="AW449" i="3"/>
  <c r="AV449" i="3"/>
  <c r="AC449" i="3"/>
  <c r="H449" i="3"/>
  <c r="BT448" i="3"/>
  <c r="BS448" i="3"/>
  <c r="BR448" i="3"/>
  <c r="BQ448" i="3"/>
  <c r="BP448" i="3"/>
  <c r="BO448" i="3"/>
  <c r="BN448" i="3"/>
  <c r="BM448" i="3"/>
  <c r="BL448" i="3"/>
  <c r="BK448" i="3"/>
  <c r="BJ448" i="3"/>
  <c r="BI448" i="3"/>
  <c r="BH448" i="3"/>
  <c r="BG448" i="3"/>
  <c r="BF448" i="3"/>
  <c r="BE448" i="3"/>
  <c r="BD448" i="3"/>
  <c r="BC448" i="3"/>
  <c r="BB448" i="3"/>
  <c r="BA448" i="3" s="1"/>
  <c r="AZ448" i="3" s="1"/>
  <c r="AX448" i="3"/>
  <c r="AW448" i="3"/>
  <c r="AV448" i="3"/>
  <c r="AC448" i="3"/>
  <c r="H448" i="3"/>
  <c r="G448" i="3"/>
  <c r="BT447" i="3"/>
  <c r="BS447" i="3"/>
  <c r="BR447" i="3"/>
  <c r="BQ447" i="3"/>
  <c r="BP447" i="3"/>
  <c r="BO447" i="3"/>
  <c r="BN447" i="3"/>
  <c r="BM447" i="3"/>
  <c r="BL447" i="3" s="1"/>
  <c r="BK447" i="3"/>
  <c r="BJ447" i="3"/>
  <c r="BI447" i="3"/>
  <c r="BH447" i="3"/>
  <c r="BG447" i="3"/>
  <c r="BF447" i="3"/>
  <c r="BE447" i="3"/>
  <c r="BD447" i="3"/>
  <c r="BC447" i="3"/>
  <c r="BB447" i="3"/>
  <c r="BA447" i="3" s="1"/>
  <c r="AX447" i="3"/>
  <c r="AW447" i="3"/>
  <c r="AV447" i="3"/>
  <c r="AC447" i="3"/>
  <c r="H447" i="3"/>
  <c r="G447" i="3" s="1"/>
  <c r="BT446" i="3"/>
  <c r="BS446" i="3"/>
  <c r="BR446" i="3"/>
  <c r="BQ446" i="3"/>
  <c r="BP446" i="3"/>
  <c r="BO446" i="3"/>
  <c r="BN446" i="3"/>
  <c r="BM446" i="3"/>
  <c r="BL446" i="3" s="1"/>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s="1"/>
  <c r="BK445" i="3"/>
  <c r="BJ445" i="3"/>
  <c r="BI445" i="3"/>
  <c r="BH445" i="3"/>
  <c r="BG445" i="3"/>
  <c r="BF445" i="3"/>
  <c r="BE445" i="3"/>
  <c r="BD445" i="3"/>
  <c r="BC445" i="3"/>
  <c r="BB445" i="3"/>
  <c r="BA445" i="3" s="1"/>
  <c r="AX445" i="3"/>
  <c r="AW445" i="3"/>
  <c r="AV445" i="3"/>
  <c r="AC445" i="3"/>
  <c r="H445" i="3"/>
  <c r="G445" i="3" s="1"/>
  <c r="BT444" i="3"/>
  <c r="BS444" i="3"/>
  <c r="BR444" i="3"/>
  <c r="BQ444" i="3"/>
  <c r="BP444" i="3"/>
  <c r="BO444" i="3"/>
  <c r="BN444" i="3"/>
  <c r="BM444" i="3"/>
  <c r="BL444" i="3" s="1"/>
  <c r="BK444" i="3"/>
  <c r="BJ444" i="3"/>
  <c r="BI444" i="3"/>
  <c r="BH444" i="3"/>
  <c r="BG444" i="3"/>
  <c r="BF444" i="3"/>
  <c r="BE444" i="3"/>
  <c r="BD444" i="3"/>
  <c r="BC444" i="3"/>
  <c r="BB444" i="3"/>
  <c r="AX444" i="3"/>
  <c r="AW444" i="3"/>
  <c r="AV444" i="3"/>
  <c r="AC444" i="3"/>
  <c r="H444" i="3"/>
  <c r="G444" i="3" s="1"/>
  <c r="BT443" i="3"/>
  <c r="BS443" i="3"/>
  <c r="BR443" i="3"/>
  <c r="BQ443" i="3"/>
  <c r="BP443" i="3"/>
  <c r="BO443" i="3"/>
  <c r="BN443" i="3"/>
  <c r="BM443" i="3"/>
  <c r="BK443" i="3"/>
  <c r="BJ443" i="3"/>
  <c r="BI443" i="3"/>
  <c r="BH443" i="3"/>
  <c r="BG443" i="3"/>
  <c r="BF443" i="3"/>
  <c r="BE443" i="3"/>
  <c r="BD443" i="3"/>
  <c r="BC443" i="3"/>
  <c r="BB443" i="3"/>
  <c r="AX443" i="3"/>
  <c r="AW443" i="3"/>
  <c r="AV443" i="3"/>
  <c r="AC443" i="3"/>
  <c r="H443" i="3"/>
  <c r="G443" i="3" s="1"/>
  <c r="BT442" i="3"/>
  <c r="BS442" i="3"/>
  <c r="BR442" i="3"/>
  <c r="BQ442" i="3"/>
  <c r="BP442" i="3"/>
  <c r="BO442" i="3"/>
  <c r="BN442" i="3"/>
  <c r="BM442" i="3"/>
  <c r="BL442" i="3" s="1"/>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s="1"/>
  <c r="BK441" i="3"/>
  <c r="BJ441" i="3"/>
  <c r="BI441" i="3"/>
  <c r="BH441" i="3"/>
  <c r="BG441" i="3"/>
  <c r="BF441" i="3"/>
  <c r="BE441" i="3"/>
  <c r="BD441" i="3"/>
  <c r="BC441" i="3"/>
  <c r="BB441" i="3"/>
  <c r="BA441" i="3" s="1"/>
  <c r="AX441" i="3"/>
  <c r="AW441" i="3"/>
  <c r="AV441" i="3"/>
  <c r="AC441" i="3"/>
  <c r="H441" i="3"/>
  <c r="G441" i="3" s="1"/>
  <c r="BT440" i="3"/>
  <c r="BS440" i="3"/>
  <c r="BR440" i="3"/>
  <c r="BQ440" i="3"/>
  <c r="BP440" i="3"/>
  <c r="BO440" i="3"/>
  <c r="BN440" i="3"/>
  <c r="BM440" i="3"/>
  <c r="BK440" i="3"/>
  <c r="BJ440" i="3"/>
  <c r="BI440" i="3"/>
  <c r="BH440" i="3"/>
  <c r="BG440" i="3"/>
  <c r="BF440" i="3"/>
  <c r="BE440" i="3"/>
  <c r="BD440" i="3"/>
  <c r="BC440" i="3"/>
  <c r="BB440" i="3"/>
  <c r="BA440" i="3"/>
  <c r="AX440" i="3"/>
  <c r="AW440" i="3"/>
  <c r="AV440" i="3"/>
  <c r="AC440" i="3"/>
  <c r="H440" i="3"/>
  <c r="BT439" i="3"/>
  <c r="BS439" i="3"/>
  <c r="BR439" i="3"/>
  <c r="BQ439" i="3"/>
  <c r="BP439" i="3"/>
  <c r="BO439" i="3"/>
  <c r="BN439" i="3"/>
  <c r="BM439" i="3"/>
  <c r="BL439" i="3"/>
  <c r="BK439" i="3"/>
  <c r="BJ439" i="3"/>
  <c r="BI439" i="3"/>
  <c r="BH439" i="3"/>
  <c r="BG439" i="3"/>
  <c r="BF439" i="3"/>
  <c r="BE439" i="3"/>
  <c r="BD439" i="3"/>
  <c r="BC439" i="3"/>
  <c r="BB439" i="3"/>
  <c r="BA439" i="3" s="1"/>
  <c r="AZ439" i="3" s="1"/>
  <c r="AX439" i="3"/>
  <c r="AW439" i="3"/>
  <c r="AV439" i="3"/>
  <c r="AC439" i="3"/>
  <c r="H439" i="3"/>
  <c r="G439" i="3"/>
  <c r="BT438" i="3"/>
  <c r="BS438" i="3"/>
  <c r="BR438" i="3"/>
  <c r="BQ438" i="3"/>
  <c r="BP438" i="3"/>
  <c r="BO438" i="3"/>
  <c r="BN438" i="3"/>
  <c r="BM438" i="3"/>
  <c r="BL438" i="3" s="1"/>
  <c r="BK438" i="3"/>
  <c r="BJ438" i="3"/>
  <c r="BI438" i="3"/>
  <c r="BH438" i="3"/>
  <c r="BG438" i="3"/>
  <c r="BF438" i="3"/>
  <c r="BE438" i="3"/>
  <c r="BD438" i="3"/>
  <c r="BC438" i="3"/>
  <c r="BB438" i="3"/>
  <c r="BA438" i="3" s="1"/>
  <c r="AZ438" i="3" s="1"/>
  <c r="AX438" i="3"/>
  <c r="AW438" i="3"/>
  <c r="AV438" i="3"/>
  <c r="AC438" i="3"/>
  <c r="H438" i="3"/>
  <c r="BT437" i="3"/>
  <c r="BS437" i="3"/>
  <c r="BR437" i="3"/>
  <c r="BQ437" i="3"/>
  <c r="BP437" i="3"/>
  <c r="BO437" i="3"/>
  <c r="BN437" i="3"/>
  <c r="BM437" i="3"/>
  <c r="BL437" i="3"/>
  <c r="BK437" i="3"/>
  <c r="BJ437" i="3"/>
  <c r="BI437" i="3"/>
  <c r="BH437" i="3"/>
  <c r="BG437" i="3"/>
  <c r="BF437" i="3"/>
  <c r="BE437" i="3"/>
  <c r="BD437" i="3"/>
  <c r="BC437" i="3"/>
  <c r="BB437" i="3"/>
  <c r="BA437" i="3" s="1"/>
  <c r="AX437" i="3"/>
  <c r="AW437" i="3"/>
  <c r="AV437" i="3"/>
  <c r="AC437" i="3"/>
  <c r="H437" i="3"/>
  <c r="BT436" i="3"/>
  <c r="BS436" i="3"/>
  <c r="BR436" i="3"/>
  <c r="BQ436" i="3"/>
  <c r="BP436" i="3"/>
  <c r="BO436" i="3"/>
  <c r="BN436" i="3"/>
  <c r="BM436" i="3"/>
  <c r="BL436" i="3"/>
  <c r="BK436" i="3"/>
  <c r="BJ436" i="3"/>
  <c r="BI436" i="3"/>
  <c r="BH436" i="3"/>
  <c r="BG436" i="3"/>
  <c r="BF436" i="3"/>
  <c r="BE436" i="3"/>
  <c r="BD436" i="3"/>
  <c r="BC436" i="3"/>
  <c r="BB436" i="3"/>
  <c r="BA436" i="3" s="1"/>
  <c r="AZ436" i="3" s="1"/>
  <c r="AX436" i="3"/>
  <c r="AW436" i="3"/>
  <c r="AV436" i="3"/>
  <c r="AC436" i="3"/>
  <c r="H436" i="3"/>
  <c r="G436" i="3"/>
  <c r="BT435" i="3"/>
  <c r="BS435" i="3"/>
  <c r="BR435" i="3"/>
  <c r="BQ435" i="3"/>
  <c r="BP435" i="3"/>
  <c r="BO435" i="3"/>
  <c r="BN435" i="3"/>
  <c r="BM435" i="3"/>
  <c r="BL435" i="3" s="1"/>
  <c r="BK435" i="3"/>
  <c r="BJ435" i="3"/>
  <c r="BI435" i="3"/>
  <c r="BH435" i="3"/>
  <c r="BG435" i="3"/>
  <c r="BF435" i="3"/>
  <c r="BE435" i="3"/>
  <c r="BD435" i="3"/>
  <c r="BC435" i="3"/>
  <c r="BB435" i="3"/>
  <c r="BA435" i="3" s="1"/>
  <c r="AZ435" i="3" s="1"/>
  <c r="AX435" i="3"/>
  <c r="AW435" i="3"/>
  <c r="AV435" i="3"/>
  <c r="AC435" i="3"/>
  <c r="H435" i="3"/>
  <c r="BT434" i="3"/>
  <c r="BS434" i="3"/>
  <c r="BR434" i="3"/>
  <c r="BQ434" i="3"/>
  <c r="BP434" i="3"/>
  <c r="BO434" i="3"/>
  <c r="BN434" i="3"/>
  <c r="BM434" i="3"/>
  <c r="BL434" i="3"/>
  <c r="BK434" i="3"/>
  <c r="BJ434" i="3"/>
  <c r="BI434" i="3"/>
  <c r="BH434" i="3"/>
  <c r="BG434" i="3"/>
  <c r="BF434" i="3"/>
  <c r="BE434" i="3"/>
  <c r="BD434" i="3"/>
  <c r="BC434" i="3"/>
  <c r="BB434" i="3"/>
  <c r="BA434" i="3" s="1"/>
  <c r="AZ434" i="3" s="1"/>
  <c r="AX434" i="3"/>
  <c r="AW434" i="3"/>
  <c r="AV434" i="3"/>
  <c r="AC434" i="3"/>
  <c r="H434" i="3"/>
  <c r="G434" i="3" s="1"/>
  <c r="BT433" i="3"/>
  <c r="BS433" i="3"/>
  <c r="BR433" i="3"/>
  <c r="BQ433" i="3"/>
  <c r="BP433" i="3"/>
  <c r="BO433" i="3"/>
  <c r="BN433" i="3"/>
  <c r="BM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s="1"/>
  <c r="BK432" i="3"/>
  <c r="BJ432" i="3"/>
  <c r="BI432" i="3"/>
  <c r="BH432" i="3"/>
  <c r="BG432" i="3"/>
  <c r="BF432" i="3"/>
  <c r="BE432" i="3"/>
  <c r="BD432" i="3"/>
  <c r="BC432" i="3"/>
  <c r="BB432" i="3"/>
  <c r="BA432" i="3" s="1"/>
  <c r="AX432" i="3"/>
  <c r="AW432" i="3"/>
  <c r="AV432" i="3"/>
  <c r="AC432" i="3"/>
  <c r="H432" i="3"/>
  <c r="G432" i="3" s="1"/>
  <c r="BT431" i="3"/>
  <c r="BS431" i="3"/>
  <c r="BR431" i="3"/>
  <c r="BQ431" i="3"/>
  <c r="BP431" i="3"/>
  <c r="BO431" i="3"/>
  <c r="BN431" i="3"/>
  <c r="BM431" i="3"/>
  <c r="BL431" i="3" s="1"/>
  <c r="BK431" i="3"/>
  <c r="BJ431" i="3"/>
  <c r="BI431" i="3"/>
  <c r="BH431" i="3"/>
  <c r="BG431" i="3"/>
  <c r="BF431" i="3"/>
  <c r="BE431" i="3"/>
  <c r="BD431" i="3"/>
  <c r="BC431" i="3"/>
  <c r="BB431" i="3"/>
  <c r="AX431" i="3"/>
  <c r="AW431" i="3"/>
  <c r="AV431" i="3"/>
  <c r="AC431" i="3"/>
  <c r="H431" i="3"/>
  <c r="G431" i="3" s="1"/>
  <c r="BT430" i="3"/>
  <c r="BS430" i="3"/>
  <c r="BR430" i="3"/>
  <c r="BQ430" i="3"/>
  <c r="BP430" i="3"/>
  <c r="BO430" i="3"/>
  <c r="BN430" i="3"/>
  <c r="BM430" i="3"/>
  <c r="BK430" i="3"/>
  <c r="BJ430" i="3"/>
  <c r="BI430" i="3"/>
  <c r="BH430" i="3"/>
  <c r="BG430" i="3"/>
  <c r="BF430" i="3"/>
  <c r="BE430" i="3"/>
  <c r="BD430" i="3"/>
  <c r="BC430" i="3"/>
  <c r="BB430" i="3"/>
  <c r="BA430" i="3"/>
  <c r="AX430" i="3"/>
  <c r="AW430" i="3"/>
  <c r="AV430" i="3"/>
  <c r="AC430" i="3"/>
  <c r="H430" i="3"/>
  <c r="BT429" i="3"/>
  <c r="BS429" i="3"/>
  <c r="BR429" i="3"/>
  <c r="BQ429" i="3"/>
  <c r="BP429" i="3"/>
  <c r="BO429" i="3"/>
  <c r="BN429" i="3"/>
  <c r="BM429" i="3"/>
  <c r="BL429" i="3"/>
  <c r="BK429" i="3"/>
  <c r="BJ429" i="3"/>
  <c r="BI429" i="3"/>
  <c r="BH429" i="3"/>
  <c r="BG429" i="3"/>
  <c r="BF429" i="3"/>
  <c r="BE429" i="3"/>
  <c r="BD429" i="3"/>
  <c r="BC429" i="3"/>
  <c r="BB429" i="3"/>
  <c r="BA429" i="3" s="1"/>
  <c r="AZ429" i="3" s="1"/>
  <c r="AX429" i="3"/>
  <c r="AW429" i="3"/>
  <c r="AV429" i="3"/>
  <c r="AC429" i="3"/>
  <c r="H429" i="3"/>
  <c r="G429" i="3"/>
  <c r="BT428" i="3"/>
  <c r="BS428" i="3"/>
  <c r="BR428" i="3"/>
  <c r="BQ428" i="3"/>
  <c r="BP428" i="3"/>
  <c r="BO428" i="3"/>
  <c r="BN428" i="3"/>
  <c r="BM428" i="3"/>
  <c r="BL428" i="3" s="1"/>
  <c r="BK428" i="3"/>
  <c r="BJ428" i="3"/>
  <c r="BI428" i="3"/>
  <c r="BH428" i="3"/>
  <c r="BG428" i="3"/>
  <c r="BF428" i="3"/>
  <c r="BE428" i="3"/>
  <c r="BD428" i="3"/>
  <c r="BC428" i="3"/>
  <c r="BB428" i="3"/>
  <c r="BA428" i="3" s="1"/>
  <c r="AX428" i="3"/>
  <c r="AW428" i="3"/>
  <c r="AV428" i="3"/>
  <c r="AC428" i="3"/>
  <c r="H428" i="3"/>
  <c r="G428" i="3" s="1"/>
  <c r="BT427" i="3"/>
  <c r="BS427" i="3"/>
  <c r="BR427" i="3"/>
  <c r="BQ427" i="3"/>
  <c r="BP427" i="3"/>
  <c r="BO427" i="3"/>
  <c r="BN427" i="3"/>
  <c r="BM427" i="3"/>
  <c r="BK427" i="3"/>
  <c r="BJ427" i="3"/>
  <c r="BI427" i="3"/>
  <c r="BH427" i="3"/>
  <c r="BG427" i="3"/>
  <c r="BF427" i="3"/>
  <c r="BE427" i="3"/>
  <c r="BD427" i="3"/>
  <c r="BC427" i="3"/>
  <c r="BB427" i="3"/>
  <c r="BA427" i="3"/>
  <c r="AX427" i="3"/>
  <c r="AW427" i="3"/>
  <c r="AV427" i="3"/>
  <c r="AC427" i="3"/>
  <c r="H427" i="3"/>
  <c r="BT426" i="3"/>
  <c r="BS426" i="3"/>
  <c r="BR426" i="3"/>
  <c r="BQ426" i="3"/>
  <c r="BP426" i="3"/>
  <c r="BO426" i="3"/>
  <c r="BN426" i="3"/>
  <c r="BM426" i="3"/>
  <c r="BL426" i="3"/>
  <c r="BK426" i="3"/>
  <c r="BJ426" i="3"/>
  <c r="BI426" i="3"/>
  <c r="BH426" i="3"/>
  <c r="BG426" i="3"/>
  <c r="BF426" i="3"/>
  <c r="BE426" i="3"/>
  <c r="BD426" i="3"/>
  <c r="BC426" i="3"/>
  <c r="BB426" i="3"/>
  <c r="BA426" i="3" s="1"/>
  <c r="AZ426" i="3" s="1"/>
  <c r="AX426" i="3"/>
  <c r="AW426" i="3"/>
  <c r="AV426" i="3"/>
  <c r="AC426" i="3"/>
  <c r="H426" i="3"/>
  <c r="G426" i="3"/>
  <c r="BT425" i="3"/>
  <c r="BS425" i="3"/>
  <c r="BR425" i="3"/>
  <c r="BQ425" i="3"/>
  <c r="BP425" i="3"/>
  <c r="BO425" i="3"/>
  <c r="BN425" i="3"/>
  <c r="BM425" i="3"/>
  <c r="BL425" i="3" s="1"/>
  <c r="BK425" i="3"/>
  <c r="BJ425" i="3"/>
  <c r="BI425" i="3"/>
  <c r="BH425" i="3"/>
  <c r="BG425" i="3"/>
  <c r="BF425" i="3"/>
  <c r="BE425" i="3"/>
  <c r="BD425" i="3"/>
  <c r="BC425" i="3"/>
  <c r="BB425" i="3"/>
  <c r="BA425" i="3" s="1"/>
  <c r="AX425" i="3"/>
  <c r="AW425" i="3"/>
  <c r="AV425" i="3"/>
  <c r="AC425" i="3"/>
  <c r="H425" i="3"/>
  <c r="G425" i="3" s="1"/>
  <c r="BT424" i="3"/>
  <c r="BS424" i="3"/>
  <c r="BR424" i="3"/>
  <c r="BQ424" i="3"/>
  <c r="BP424" i="3"/>
  <c r="BO424" i="3"/>
  <c r="BN424" i="3"/>
  <c r="BM424" i="3"/>
  <c r="BL424" i="3" s="1"/>
  <c r="BK424" i="3"/>
  <c r="BJ424" i="3"/>
  <c r="BI424" i="3"/>
  <c r="BH424" i="3"/>
  <c r="BG424" i="3"/>
  <c r="BF424" i="3"/>
  <c r="BE424" i="3"/>
  <c r="BD424" i="3"/>
  <c r="BC424" i="3"/>
  <c r="BB424" i="3"/>
  <c r="AX424" i="3"/>
  <c r="AW424" i="3"/>
  <c r="AV424" i="3"/>
  <c r="AC424" i="3"/>
  <c r="H424" i="3"/>
  <c r="G424" i="3" s="1"/>
  <c r="BT423" i="3"/>
  <c r="BS423" i="3"/>
  <c r="BR423" i="3"/>
  <c r="BQ423" i="3"/>
  <c r="BP423" i="3"/>
  <c r="BO423" i="3"/>
  <c r="BN423" i="3"/>
  <c r="BM423" i="3"/>
  <c r="BK423" i="3"/>
  <c r="BJ423" i="3"/>
  <c r="BI423" i="3"/>
  <c r="BH423" i="3"/>
  <c r="BG423" i="3"/>
  <c r="BF423" i="3"/>
  <c r="BE423" i="3"/>
  <c r="BD423" i="3"/>
  <c r="BC423" i="3"/>
  <c r="BB423" i="3"/>
  <c r="BA423" i="3"/>
  <c r="AX423" i="3"/>
  <c r="AW423" i="3"/>
  <c r="AV423" i="3"/>
  <c r="AC423" i="3"/>
  <c r="H423" i="3"/>
  <c r="BT422" i="3"/>
  <c r="BS422" i="3"/>
  <c r="BR422" i="3"/>
  <c r="BQ422" i="3"/>
  <c r="BP422" i="3"/>
  <c r="BO422" i="3"/>
  <c r="BN422" i="3"/>
  <c r="BM422" i="3"/>
  <c r="BL422" i="3"/>
  <c r="BK422" i="3"/>
  <c r="BJ422" i="3"/>
  <c r="BI422" i="3"/>
  <c r="BH422" i="3"/>
  <c r="BG422" i="3"/>
  <c r="BF422" i="3"/>
  <c r="BE422" i="3"/>
  <c r="BD422" i="3"/>
  <c r="BC422" i="3"/>
  <c r="BB422" i="3"/>
  <c r="BA422" i="3" s="1"/>
  <c r="AZ422" i="3" s="1"/>
  <c r="AX422" i="3"/>
  <c r="AW422" i="3"/>
  <c r="AV422" i="3"/>
  <c r="AC422" i="3"/>
  <c r="H422" i="3"/>
  <c r="G422" i="3" s="1"/>
  <c r="BT421" i="3"/>
  <c r="BS421" i="3"/>
  <c r="BR421" i="3"/>
  <c r="BQ421" i="3"/>
  <c r="BP421" i="3"/>
  <c r="BO421" i="3"/>
  <c r="BN421" i="3"/>
  <c r="BM421" i="3"/>
  <c r="BK421" i="3"/>
  <c r="BJ421" i="3"/>
  <c r="BI421" i="3"/>
  <c r="BH421" i="3"/>
  <c r="BG421" i="3"/>
  <c r="BF421" i="3"/>
  <c r="BE421" i="3"/>
  <c r="BD421" i="3"/>
  <c r="BC421" i="3"/>
  <c r="BB421" i="3"/>
  <c r="BA421" i="3"/>
  <c r="AX421" i="3"/>
  <c r="AW421" i="3"/>
  <c r="AV421" i="3"/>
  <c r="AC421" i="3"/>
  <c r="H421" i="3"/>
  <c r="BT420" i="3"/>
  <c r="BS420" i="3"/>
  <c r="BR420" i="3"/>
  <c r="BQ420" i="3"/>
  <c r="BP420" i="3"/>
  <c r="BO420" i="3"/>
  <c r="BN420" i="3"/>
  <c r="BM420" i="3"/>
  <c r="BL420" i="3"/>
  <c r="BK420" i="3"/>
  <c r="BJ420" i="3"/>
  <c r="BI420" i="3"/>
  <c r="BH420" i="3"/>
  <c r="BG420" i="3"/>
  <c r="BF420" i="3"/>
  <c r="BE420" i="3"/>
  <c r="BD420" i="3"/>
  <c r="BC420" i="3"/>
  <c r="BB420" i="3"/>
  <c r="BA420" i="3" s="1"/>
  <c r="AZ420" i="3" s="1"/>
  <c r="AX420" i="3"/>
  <c r="AW420" i="3"/>
  <c r="AV420" i="3"/>
  <c r="AC420" i="3"/>
  <c r="H420" i="3"/>
  <c r="G420" i="3"/>
  <c r="BT419" i="3"/>
  <c r="BS419" i="3"/>
  <c r="BR419" i="3"/>
  <c r="BQ419" i="3"/>
  <c r="BP419" i="3"/>
  <c r="BO419" i="3"/>
  <c r="BN419" i="3"/>
  <c r="BM419" i="3"/>
  <c r="BL419" i="3" s="1"/>
  <c r="BK419" i="3"/>
  <c r="BJ419" i="3"/>
  <c r="BI419" i="3"/>
  <c r="BH419" i="3"/>
  <c r="BG419" i="3"/>
  <c r="BF419" i="3"/>
  <c r="BE419" i="3"/>
  <c r="BD419" i="3"/>
  <c r="BC419" i="3"/>
  <c r="BB419" i="3"/>
  <c r="BA419" i="3" s="1"/>
  <c r="AZ419" i="3" s="1"/>
  <c r="AX419" i="3"/>
  <c r="AW419" i="3"/>
  <c r="AV419" i="3"/>
  <c r="AC419" i="3"/>
  <c r="H419" i="3"/>
  <c r="BT418" i="3"/>
  <c r="BS418" i="3"/>
  <c r="BR418" i="3"/>
  <c r="BQ418" i="3"/>
  <c r="BP418" i="3"/>
  <c r="BO418" i="3"/>
  <c r="BN418" i="3"/>
  <c r="BM418" i="3"/>
  <c r="BL418" i="3"/>
  <c r="BK418" i="3"/>
  <c r="BJ418" i="3"/>
  <c r="BI418" i="3"/>
  <c r="BH418" i="3"/>
  <c r="BG418" i="3"/>
  <c r="BF418" i="3"/>
  <c r="BE418" i="3"/>
  <c r="BD418" i="3"/>
  <c r="BC418" i="3"/>
  <c r="BB418" i="3"/>
  <c r="BA418" i="3" s="1"/>
  <c r="AZ418" i="3" s="1"/>
  <c r="AX418" i="3"/>
  <c r="AW418" i="3"/>
  <c r="AV418" i="3"/>
  <c r="AC418" i="3"/>
  <c r="H418" i="3"/>
  <c r="G418" i="3" s="1"/>
  <c r="BT417" i="3"/>
  <c r="BS417" i="3"/>
  <c r="BR417" i="3"/>
  <c r="BQ417" i="3"/>
  <c r="BP417" i="3"/>
  <c r="BO417" i="3"/>
  <c r="BN417" i="3"/>
  <c r="BM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s="1"/>
  <c r="BK416" i="3"/>
  <c r="BJ416" i="3"/>
  <c r="BI416" i="3"/>
  <c r="BH416" i="3"/>
  <c r="BG416" i="3"/>
  <c r="BF416" i="3"/>
  <c r="BE416" i="3"/>
  <c r="BD416" i="3"/>
  <c r="BC416" i="3"/>
  <c r="BB416" i="3"/>
  <c r="BA416" i="3" s="1"/>
  <c r="AX416" i="3"/>
  <c r="AW416" i="3"/>
  <c r="AV416" i="3"/>
  <c r="AC416" i="3"/>
  <c r="H416" i="3"/>
  <c r="G416" i="3" s="1"/>
  <c r="BT415" i="3"/>
  <c r="BS415" i="3"/>
  <c r="BR415" i="3"/>
  <c r="BQ415" i="3"/>
  <c r="BP415" i="3"/>
  <c r="BO415" i="3"/>
  <c r="BN415" i="3"/>
  <c r="BM415" i="3"/>
  <c r="BL415" i="3" s="1"/>
  <c r="BK415" i="3"/>
  <c r="BJ415" i="3"/>
  <c r="BI415" i="3"/>
  <c r="BH415" i="3"/>
  <c r="BG415" i="3"/>
  <c r="BF415" i="3"/>
  <c r="BE415" i="3"/>
  <c r="BD415" i="3"/>
  <c r="BC415" i="3"/>
  <c r="BB415" i="3"/>
  <c r="AX415" i="3"/>
  <c r="AW415" i="3"/>
  <c r="AV415" i="3"/>
  <c r="AC415" i="3"/>
  <c r="H415" i="3"/>
  <c r="G415" i="3" s="1"/>
  <c r="BT414" i="3"/>
  <c r="BS414" i="3"/>
  <c r="BR414" i="3"/>
  <c r="BQ414" i="3"/>
  <c r="BP414" i="3"/>
  <c r="BO414" i="3"/>
  <c r="BN414" i="3"/>
  <c r="BM414" i="3"/>
  <c r="BK414" i="3"/>
  <c r="BJ414" i="3"/>
  <c r="BI414" i="3"/>
  <c r="BH414" i="3"/>
  <c r="BG414" i="3"/>
  <c r="BF414" i="3"/>
  <c r="BE414" i="3"/>
  <c r="BD414" i="3"/>
  <c r="BC414" i="3"/>
  <c r="BB414" i="3"/>
  <c r="BA414" i="3"/>
  <c r="AX414" i="3"/>
  <c r="AW414" i="3"/>
  <c r="AV414" i="3"/>
  <c r="AC414" i="3"/>
  <c r="H414" i="3"/>
  <c r="BT413" i="3"/>
  <c r="BS413" i="3"/>
  <c r="BR413" i="3"/>
  <c r="BQ413" i="3"/>
  <c r="BP413" i="3"/>
  <c r="BO413" i="3"/>
  <c r="BN413" i="3"/>
  <c r="BM413" i="3"/>
  <c r="BL413" i="3"/>
  <c r="BK413" i="3"/>
  <c r="BJ413" i="3"/>
  <c r="BI413" i="3"/>
  <c r="BH413" i="3"/>
  <c r="BG413" i="3"/>
  <c r="BF413" i="3"/>
  <c r="BE413" i="3"/>
  <c r="BD413" i="3"/>
  <c r="BC413" i="3"/>
  <c r="BB413" i="3"/>
  <c r="BA413" i="3" s="1"/>
  <c r="AZ413" i="3" s="1"/>
  <c r="AX413" i="3"/>
  <c r="AW413" i="3"/>
  <c r="AV413" i="3"/>
  <c r="AC413" i="3"/>
  <c r="H413" i="3"/>
  <c r="G413" i="3"/>
  <c r="BT412" i="3"/>
  <c r="BS412" i="3"/>
  <c r="BR412" i="3"/>
  <c r="BQ412" i="3"/>
  <c r="BP412" i="3"/>
  <c r="BO412" i="3"/>
  <c r="BN412" i="3"/>
  <c r="BM412" i="3"/>
  <c r="BL412" i="3" s="1"/>
  <c r="BK412" i="3"/>
  <c r="BJ412" i="3"/>
  <c r="BI412" i="3"/>
  <c r="BH412" i="3"/>
  <c r="BG412" i="3"/>
  <c r="BF412" i="3"/>
  <c r="BE412" i="3"/>
  <c r="BD412" i="3"/>
  <c r="BC412" i="3"/>
  <c r="BB412" i="3"/>
  <c r="BA412" i="3" s="1"/>
  <c r="AX412" i="3"/>
  <c r="AW412" i="3"/>
  <c r="AV412" i="3"/>
  <c r="AC412" i="3"/>
  <c r="H412" i="3"/>
  <c r="G412" i="3" s="1"/>
  <c r="BT411" i="3"/>
  <c r="BS411" i="3"/>
  <c r="BR411" i="3"/>
  <c r="BQ411" i="3"/>
  <c r="BP411" i="3"/>
  <c r="BO411" i="3"/>
  <c r="BN411" i="3"/>
  <c r="BM411" i="3"/>
  <c r="BK411" i="3"/>
  <c r="BJ411" i="3"/>
  <c r="BI411" i="3"/>
  <c r="BH411" i="3"/>
  <c r="BG411" i="3"/>
  <c r="BF411" i="3"/>
  <c r="BE411" i="3"/>
  <c r="BD411" i="3"/>
  <c r="BC411" i="3"/>
  <c r="BB411" i="3"/>
  <c r="BA411" i="3"/>
  <c r="AX411" i="3"/>
  <c r="AW411" i="3"/>
  <c r="AV411" i="3"/>
  <c r="AC411" i="3"/>
  <c r="H411" i="3"/>
  <c r="BT410" i="3"/>
  <c r="BS410" i="3"/>
  <c r="BR410" i="3"/>
  <c r="BQ410" i="3"/>
  <c r="BP410" i="3"/>
  <c r="BO410" i="3"/>
  <c r="BN410" i="3"/>
  <c r="BM410" i="3"/>
  <c r="BL410" i="3"/>
  <c r="BK410" i="3"/>
  <c r="BJ410" i="3"/>
  <c r="BI410" i="3"/>
  <c r="BH410" i="3"/>
  <c r="BG410" i="3"/>
  <c r="BF410" i="3"/>
  <c r="BE410" i="3"/>
  <c r="BD410" i="3"/>
  <c r="BC410" i="3"/>
  <c r="BB410" i="3"/>
  <c r="BA410" i="3" s="1"/>
  <c r="AZ410" i="3" s="1"/>
  <c r="AX410" i="3"/>
  <c r="AW410" i="3"/>
  <c r="AV410" i="3"/>
  <c r="AC410" i="3"/>
  <c r="H410" i="3"/>
  <c r="G410" i="3"/>
  <c r="BT409" i="3"/>
  <c r="BS409" i="3"/>
  <c r="BR409" i="3"/>
  <c r="BQ409" i="3"/>
  <c r="BP409" i="3"/>
  <c r="BO409" i="3"/>
  <c r="BN409" i="3"/>
  <c r="BM409" i="3"/>
  <c r="BL409" i="3" s="1"/>
  <c r="BK409" i="3"/>
  <c r="BJ409" i="3"/>
  <c r="BI409" i="3"/>
  <c r="BH409" i="3"/>
  <c r="BG409" i="3"/>
  <c r="BF409" i="3"/>
  <c r="BE409" i="3"/>
  <c r="BD409" i="3"/>
  <c r="BC409" i="3"/>
  <c r="BB409" i="3"/>
  <c r="BA409" i="3" s="1"/>
  <c r="AX409" i="3"/>
  <c r="AW409" i="3"/>
  <c r="AV409" i="3"/>
  <c r="AC409" i="3"/>
  <c r="H409" i="3"/>
  <c r="G409" i="3" s="1"/>
  <c r="BT408" i="3"/>
  <c r="BS408" i="3"/>
  <c r="BR408" i="3"/>
  <c r="BQ408" i="3"/>
  <c r="BP408" i="3"/>
  <c r="BO408" i="3"/>
  <c r="BN408" i="3"/>
  <c r="BM408" i="3"/>
  <c r="BL408" i="3" s="1"/>
  <c r="BK408" i="3"/>
  <c r="BJ408" i="3"/>
  <c r="BI408" i="3"/>
  <c r="BH408" i="3"/>
  <c r="BG408" i="3"/>
  <c r="BF408" i="3"/>
  <c r="BE408" i="3"/>
  <c r="BD408" i="3"/>
  <c r="BC408" i="3"/>
  <c r="BB408" i="3"/>
  <c r="AX408" i="3"/>
  <c r="AW408" i="3"/>
  <c r="AV408" i="3"/>
  <c r="AC408" i="3"/>
  <c r="H408" i="3"/>
  <c r="G408" i="3" s="1"/>
  <c r="BT407" i="3"/>
  <c r="BS407" i="3"/>
  <c r="BR407" i="3"/>
  <c r="BQ407" i="3"/>
  <c r="BP407" i="3"/>
  <c r="BO407" i="3"/>
  <c r="BN407" i="3"/>
  <c r="BM407" i="3"/>
  <c r="BL407" i="3" s="1"/>
  <c r="BK407" i="3"/>
  <c r="BJ407" i="3"/>
  <c r="BI407" i="3"/>
  <c r="BH407" i="3"/>
  <c r="BG407" i="3"/>
  <c r="BF407" i="3"/>
  <c r="BE407" i="3"/>
  <c r="BD407" i="3"/>
  <c r="BC407" i="3"/>
  <c r="BB407" i="3"/>
  <c r="AX407" i="3"/>
  <c r="AW407" i="3"/>
  <c r="AV407" i="3"/>
  <c r="AC407" i="3"/>
  <c r="H407" i="3"/>
  <c r="G407" i="3" s="1"/>
  <c r="BT406" i="3"/>
  <c r="BS406" i="3"/>
  <c r="BR406" i="3"/>
  <c r="BQ406" i="3"/>
  <c r="BP406" i="3"/>
  <c r="BO406" i="3"/>
  <c r="BN406" i="3"/>
  <c r="BM406" i="3"/>
  <c r="BK406" i="3"/>
  <c r="BJ406" i="3"/>
  <c r="BI406" i="3"/>
  <c r="BH406" i="3"/>
  <c r="BG406" i="3"/>
  <c r="BF406" i="3"/>
  <c r="BE406" i="3"/>
  <c r="BD406" i="3"/>
  <c r="BC406" i="3"/>
  <c r="BB406" i="3"/>
  <c r="AX406" i="3"/>
  <c r="AW406" i="3"/>
  <c r="AV406" i="3"/>
  <c r="AC406" i="3"/>
  <c r="H406" i="3"/>
  <c r="G406" i="3" s="1"/>
  <c r="BT405" i="3"/>
  <c r="BS405" i="3"/>
  <c r="BR405" i="3"/>
  <c r="BQ405" i="3"/>
  <c r="BP405" i="3"/>
  <c r="BO405" i="3"/>
  <c r="BN405" i="3"/>
  <c r="BM405" i="3"/>
  <c r="BL405" i="3" s="1"/>
  <c r="BK405" i="3"/>
  <c r="BJ405" i="3"/>
  <c r="BI405" i="3"/>
  <c r="BH405" i="3"/>
  <c r="BG405" i="3"/>
  <c r="BF405" i="3"/>
  <c r="BE405" i="3"/>
  <c r="BD405" i="3"/>
  <c r="BC405" i="3"/>
  <c r="BB405" i="3"/>
  <c r="AX405" i="3"/>
  <c r="AW405" i="3"/>
  <c r="AV405" i="3"/>
  <c r="AC405" i="3"/>
  <c r="H405" i="3"/>
  <c r="G405" i="3" s="1"/>
  <c r="BT404" i="3"/>
  <c r="BS404" i="3"/>
  <c r="BR404" i="3"/>
  <c r="BQ404" i="3"/>
  <c r="BP404" i="3"/>
  <c r="BO404" i="3"/>
  <c r="BN404" i="3"/>
  <c r="BM404" i="3"/>
  <c r="BK404" i="3"/>
  <c r="BJ404" i="3"/>
  <c r="BI404" i="3"/>
  <c r="BH404" i="3"/>
  <c r="BG404" i="3"/>
  <c r="BF404" i="3"/>
  <c r="BE404" i="3"/>
  <c r="BD404" i="3"/>
  <c r="BC404" i="3"/>
  <c r="BB404" i="3"/>
  <c r="BA404" i="3"/>
  <c r="AX404" i="3"/>
  <c r="AW404" i="3"/>
  <c r="AV404" i="3"/>
  <c r="AC404" i="3"/>
  <c r="H404" i="3"/>
  <c r="BT403" i="3"/>
  <c r="BS403" i="3"/>
  <c r="BR403" i="3"/>
  <c r="BQ403" i="3"/>
  <c r="BP403" i="3"/>
  <c r="BO403" i="3"/>
  <c r="BN403" i="3"/>
  <c r="BM403" i="3"/>
  <c r="BL403" i="3"/>
  <c r="BK403" i="3"/>
  <c r="BJ403" i="3"/>
  <c r="BI403" i="3"/>
  <c r="BH403" i="3"/>
  <c r="BG403" i="3"/>
  <c r="BF403" i="3"/>
  <c r="BE403" i="3"/>
  <c r="BD403" i="3"/>
  <c r="BC403" i="3"/>
  <c r="BB403" i="3"/>
  <c r="BA403" i="3" s="1"/>
  <c r="AZ403" i="3" s="1"/>
  <c r="AX403" i="3"/>
  <c r="AW403" i="3"/>
  <c r="AV403" i="3"/>
  <c r="AC403" i="3"/>
  <c r="H403" i="3"/>
  <c r="G403" i="3" s="1"/>
  <c r="BT402" i="3"/>
  <c r="BS402" i="3"/>
  <c r="BR402" i="3"/>
  <c r="BQ402" i="3"/>
  <c r="BP402" i="3"/>
  <c r="BO402" i="3"/>
  <c r="BN402" i="3"/>
  <c r="BM402" i="3"/>
  <c r="BK402" i="3"/>
  <c r="BJ402" i="3"/>
  <c r="BI402" i="3"/>
  <c r="BH402" i="3"/>
  <c r="BG402" i="3"/>
  <c r="BF402" i="3"/>
  <c r="BE402" i="3"/>
  <c r="BD402" i="3"/>
  <c r="BC402" i="3"/>
  <c r="BB402" i="3"/>
  <c r="AX402" i="3"/>
  <c r="AW402" i="3"/>
  <c r="AV402" i="3"/>
  <c r="AC402" i="3"/>
  <c r="H402" i="3"/>
  <c r="G402" i="3" s="1"/>
  <c r="BT401" i="3"/>
  <c r="BS401" i="3"/>
  <c r="BR401" i="3"/>
  <c r="BQ401" i="3"/>
  <c r="BP401" i="3"/>
  <c r="BO401" i="3"/>
  <c r="BN401" i="3"/>
  <c r="BM401" i="3"/>
  <c r="BL401" i="3" s="1"/>
  <c r="BK401" i="3"/>
  <c r="BJ401" i="3"/>
  <c r="BI401" i="3"/>
  <c r="BH401" i="3"/>
  <c r="BG401" i="3"/>
  <c r="BF401" i="3"/>
  <c r="BE401" i="3"/>
  <c r="BD401" i="3"/>
  <c r="BC401" i="3"/>
  <c r="BB401" i="3"/>
  <c r="AX401" i="3"/>
  <c r="AW401" i="3"/>
  <c r="AV401" i="3"/>
  <c r="AC401" i="3"/>
  <c r="H401" i="3"/>
  <c r="G401" i="3" s="1"/>
  <c r="BT400" i="3"/>
  <c r="BS400" i="3"/>
  <c r="BR400" i="3"/>
  <c r="BQ400" i="3"/>
  <c r="BP400" i="3"/>
  <c r="BO400" i="3"/>
  <c r="BN400" i="3"/>
  <c r="BM400" i="3"/>
  <c r="BL400" i="3" s="1"/>
  <c r="BK400" i="3"/>
  <c r="BJ400" i="3"/>
  <c r="BI400" i="3"/>
  <c r="BH400" i="3"/>
  <c r="BG400" i="3"/>
  <c r="BF400" i="3"/>
  <c r="BE400" i="3"/>
  <c r="BD400" i="3"/>
  <c r="BC400" i="3"/>
  <c r="BB400" i="3"/>
  <c r="AX400" i="3"/>
  <c r="AW400" i="3"/>
  <c r="AV400" i="3"/>
  <c r="AC400" i="3"/>
  <c r="H400" i="3"/>
  <c r="G400" i="3" s="1"/>
  <c r="BT399" i="3"/>
  <c r="BS399" i="3"/>
  <c r="BR399" i="3"/>
  <c r="BQ399" i="3"/>
  <c r="BP399" i="3"/>
  <c r="BO399" i="3"/>
  <c r="BN399" i="3"/>
  <c r="BM399" i="3"/>
  <c r="BK399" i="3"/>
  <c r="BJ399" i="3"/>
  <c r="BI399" i="3"/>
  <c r="BH399" i="3"/>
  <c r="BG399" i="3"/>
  <c r="BF399" i="3"/>
  <c r="BE399" i="3"/>
  <c r="BD399" i="3"/>
  <c r="BC399" i="3"/>
  <c r="BB399" i="3"/>
  <c r="BA399" i="3"/>
  <c r="AX399" i="3"/>
  <c r="AW399" i="3"/>
  <c r="AV399" i="3"/>
  <c r="AC399" i="3"/>
  <c r="H399" i="3"/>
  <c r="BT398" i="3"/>
  <c r="BS398" i="3"/>
  <c r="BR398" i="3"/>
  <c r="BQ398" i="3"/>
  <c r="BP398" i="3"/>
  <c r="BO398" i="3"/>
  <c r="BN398" i="3"/>
  <c r="BM398" i="3"/>
  <c r="BL398" i="3"/>
  <c r="BK398" i="3"/>
  <c r="BJ398" i="3"/>
  <c r="BI398" i="3"/>
  <c r="BH398" i="3"/>
  <c r="BG398" i="3"/>
  <c r="BF398" i="3"/>
  <c r="BE398" i="3"/>
  <c r="BD398" i="3"/>
  <c r="BC398" i="3"/>
  <c r="BB398" i="3"/>
  <c r="BA398" i="3" s="1"/>
  <c r="AZ398" i="3" s="1"/>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s="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s="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13" i="53"/>
  <c r="B29" i="72" s="1"/>
  <c r="R35" i="4"/>
  <c r="Q35" i="4"/>
  <c r="P35" i="4"/>
  <c r="O35" i="4"/>
  <c r="N35" i="4"/>
  <c r="M35" i="4"/>
  <c r="L35" i="4"/>
  <c r="K34" i="4"/>
  <c r="T34" i="4" s="1"/>
  <c r="G13" i="1"/>
  <c r="H15" i="4"/>
  <c r="F9" i="1" s="1"/>
  <c r="G9" i="1" s="1"/>
  <c r="G15" i="4"/>
  <c r="F12" i="1" s="1"/>
  <c r="G12" i="1" s="1"/>
  <c r="F15" i="4"/>
  <c r="D15" i="4"/>
  <c r="F7" i="1" s="1"/>
  <c r="G7" i="1" s="1"/>
  <c r="C15" i="4"/>
  <c r="L21" i="4"/>
  <c r="F19" i="4"/>
  <c r="F2" i="52"/>
  <c r="B50" i="72" s="1"/>
  <c r="D2" i="52"/>
  <c r="B46" i="72" s="1"/>
  <c r="B8" i="53"/>
  <c r="B23" i="72" s="1"/>
  <c r="L4" i="9"/>
  <c r="B17" i="72"/>
  <c r="B15" i="72"/>
  <c r="A3" i="51"/>
  <c r="C8" i="11"/>
  <c r="B40" i="48"/>
  <c r="B3" i="72" s="1"/>
  <c r="F35" i="4"/>
  <c r="J55" i="39" s="1"/>
  <c r="H38" i="43"/>
  <c r="H39" i="43"/>
  <c r="H40" i="43"/>
  <c r="H41" i="43"/>
  <c r="H37" i="43"/>
  <c r="J24" i="43"/>
  <c r="C22" i="43"/>
  <c r="C10" i="43"/>
  <c r="C11" i="43" s="1"/>
  <c r="C9" i="43"/>
  <c r="F33" i="15"/>
  <c r="F61" i="15" s="1"/>
  <c r="M19" i="15"/>
  <c r="BR13" i="3"/>
  <c r="B22" i="1"/>
  <c r="G41" i="69" s="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19" i="6"/>
  <c r="E20" i="6"/>
  <c r="E21" i="6"/>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D17" i="9"/>
  <c r="I55" i="9"/>
  <c r="F55" i="9"/>
  <c r="O53" i="9" s="1"/>
  <c r="D89" i="9"/>
  <c r="C89" i="9" s="1"/>
  <c r="C87" i="9" s="1"/>
  <c r="J55" i="9"/>
  <c r="B31" i="1"/>
  <c r="B52" i="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s="1"/>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s="1"/>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M550" i="3"/>
  <c r="BN550" i="3"/>
  <c r="BO550" i="3"/>
  <c r="BP550" i="3"/>
  <c r="BQ550" i="3"/>
  <c r="BR550" i="3"/>
  <c r="BS550" i="3"/>
  <c r="BT550" i="3"/>
  <c r="H551" i="3"/>
  <c r="AC551" i="3"/>
  <c r="BB551" i="3"/>
  <c r="BC551" i="3"/>
  <c r="BD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s="1"/>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s="1"/>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s="1"/>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s="1"/>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U30" i="36" s="1"/>
  <c r="F30" i="36"/>
  <c r="AA30" i="36" s="1"/>
  <c r="C26" i="35"/>
  <c r="C79" i="35" s="1"/>
  <c r="J31" i="35"/>
  <c r="W31" i="35" s="1"/>
  <c r="H31" i="35"/>
  <c r="AB31" i="35" s="1"/>
  <c r="F31" i="35"/>
  <c r="D87" i="35"/>
  <c r="E87" i="35" s="1"/>
  <c r="F87" i="35" s="1"/>
  <c r="G87" i="35" s="1"/>
  <c r="H87" i="35" s="1"/>
  <c r="I87" i="35" s="1"/>
  <c r="J87" i="35" s="1"/>
  <c r="K87" i="35" s="1"/>
  <c r="L87" i="35" s="1"/>
  <c r="M87" i="35" s="1"/>
  <c r="H34" i="37"/>
  <c r="D101" i="37"/>
  <c r="F34" i="37"/>
  <c r="D99" i="37"/>
  <c r="E99" i="37" s="1"/>
  <c r="F99" i="37" s="1"/>
  <c r="G99" i="37" s="1"/>
  <c r="H99" i="37" s="1"/>
  <c r="I99" i="37" s="1"/>
  <c r="J99" i="37" s="1"/>
  <c r="K99" i="37" s="1"/>
  <c r="L99" i="37" s="1"/>
  <c r="M99" i="37" s="1"/>
  <c r="H42" i="34"/>
  <c r="J42" i="34"/>
  <c r="W42" i="34" s="1"/>
  <c r="F42" i="34"/>
  <c r="J38" i="34"/>
  <c r="W38" i="34"/>
  <c r="D114" i="34"/>
  <c r="F38" i="34"/>
  <c r="S38" i="34" s="1"/>
  <c r="D112" i="34"/>
  <c r="E112" i="34" s="1"/>
  <c r="F112" i="34" s="1"/>
  <c r="G112" i="34" s="1"/>
  <c r="H112" i="34" s="1"/>
  <c r="I112" i="34" s="1"/>
  <c r="J112" i="34" s="1"/>
  <c r="K112" i="34" s="1"/>
  <c r="L112" i="34" s="1"/>
  <c r="M112" i="34" s="1"/>
  <c r="F40" i="33"/>
  <c r="J41" i="33"/>
  <c r="D113" i="33"/>
  <c r="F37" i="33"/>
  <c r="D111" i="33"/>
  <c r="E111" i="33" s="1"/>
  <c r="F111" i="33" s="1"/>
  <c r="S515" i="31"/>
  <c r="S516" i="31"/>
  <c r="S517" i="31"/>
  <c r="S518" i="31"/>
  <c r="S519" i="31"/>
  <c r="S520" i="31"/>
  <c r="S521" i="31"/>
  <c r="S522" i="31"/>
  <c r="S523" i="31"/>
  <c r="S524" i="31"/>
  <c r="F41" i="21"/>
  <c r="J41" i="21"/>
  <c r="AC41" i="21" s="1"/>
  <c r="H41" i="21"/>
  <c r="U41" i="21" s="1"/>
  <c r="D80" i="39"/>
  <c r="E80" i="39" s="1"/>
  <c r="F80" i="39" s="1"/>
  <c r="G80" i="39" s="1"/>
  <c r="H80" i="39" s="1"/>
  <c r="I80" i="39" s="1"/>
  <c r="J80" i="39" s="1"/>
  <c r="K80" i="39" s="1"/>
  <c r="L80" i="39" s="1"/>
  <c r="M80" i="39" s="1"/>
  <c r="D76" i="40"/>
  <c r="E76" i="40"/>
  <c r="F76" i="40" s="1"/>
  <c r="G76" i="40" s="1"/>
  <c r="H76" i="40" s="1"/>
  <c r="I76" i="40" s="1"/>
  <c r="J76" i="40" s="1"/>
  <c r="K76" i="40" s="1"/>
  <c r="L76" i="40" s="1"/>
  <c r="M76" i="40" s="1"/>
  <c r="B120" i="40"/>
  <c r="B118" i="40"/>
  <c r="J39" i="40" s="1"/>
  <c r="B116" i="40"/>
  <c r="F38" i="40" s="1"/>
  <c r="AA38" i="40" s="1"/>
  <c r="D115" i="40"/>
  <c r="E115" i="40" s="1"/>
  <c r="F115" i="40" s="1"/>
  <c r="G115" i="40" s="1"/>
  <c r="H115" i="40" s="1"/>
  <c r="I115" i="40" s="1"/>
  <c r="J115" i="40" s="1"/>
  <c r="K115" i="40" s="1"/>
  <c r="L115" i="40" s="1"/>
  <c r="M115" i="40" s="1"/>
  <c r="D113" i="40"/>
  <c r="E113" i="40" s="1"/>
  <c r="F113" i="40" s="1"/>
  <c r="G113" i="40" s="1"/>
  <c r="H113" i="40" s="1"/>
  <c r="I113" i="40" s="1"/>
  <c r="J113" i="40" s="1"/>
  <c r="K113" i="40" s="1"/>
  <c r="L113" i="40" s="1"/>
  <c r="M113" i="40" s="1"/>
  <c r="D111" i="40"/>
  <c r="E111" i="40" s="1"/>
  <c r="M107" i="40"/>
  <c r="L107" i="40"/>
  <c r="K107" i="40"/>
  <c r="J107" i="40"/>
  <c r="H107" i="40"/>
  <c r="G107" i="40"/>
  <c r="F107" i="40"/>
  <c r="E107" i="40"/>
  <c r="D107" i="40"/>
  <c r="C107" i="40"/>
  <c r="B105" i="40"/>
  <c r="J33" i="40" s="1"/>
  <c r="W33" i="40" s="1"/>
  <c r="B103" i="40"/>
  <c r="J32" i="40" s="1"/>
  <c r="AC32" i="40" s="1"/>
  <c r="B101" i="40"/>
  <c r="J31" i="40"/>
  <c r="AC31" i="40" s="1"/>
  <c r="D100" i="40"/>
  <c r="E100" i="40" s="1"/>
  <c r="F100" i="40" s="1"/>
  <c r="G100" i="40" s="1"/>
  <c r="H100" i="40" s="1"/>
  <c r="I100" i="40" s="1"/>
  <c r="J100" i="40" s="1"/>
  <c r="K100" i="40" s="1"/>
  <c r="L100" i="40" s="1"/>
  <c r="M100" i="40" s="1"/>
  <c r="D98" i="40"/>
  <c r="J28" i="40"/>
  <c r="AC28" i="40"/>
  <c r="D96" i="40"/>
  <c r="E96" i="40"/>
  <c r="F96" i="40" s="1"/>
  <c r="G96" i="40" s="1"/>
  <c r="H96" i="40" s="1"/>
  <c r="I96" i="40" s="1"/>
  <c r="J96" i="40" s="1"/>
  <c r="K96" i="40" s="1"/>
  <c r="L96" i="40" s="1"/>
  <c r="M96" i="40" s="1"/>
  <c r="B95" i="40"/>
  <c r="D92" i="40"/>
  <c r="E92" i="40" s="1"/>
  <c r="F92" i="40" s="1"/>
  <c r="G92" i="40" s="1"/>
  <c r="D90" i="40"/>
  <c r="E90" i="40" s="1"/>
  <c r="F90" i="40" s="1"/>
  <c r="G90" i="40" s="1"/>
  <c r="D88" i="40"/>
  <c r="E88" i="40" s="1"/>
  <c r="D86" i="40"/>
  <c r="E86" i="40" s="1"/>
  <c r="F86" i="40" s="1"/>
  <c r="G86" i="40" s="1"/>
  <c r="D84" i="40"/>
  <c r="E84" i="40" s="1"/>
  <c r="F84" i="40" s="1"/>
  <c r="G84" i="40" s="1"/>
  <c r="B81" i="40"/>
  <c r="B79" i="40"/>
  <c r="B77" i="40"/>
  <c r="J12" i="40" s="1"/>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s="1"/>
  <c r="D106" i="39"/>
  <c r="E106" i="39" s="1"/>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J31" i="39" s="1"/>
  <c r="D96" i="39"/>
  <c r="J23" i="39"/>
  <c r="AC23" i="39" s="1"/>
  <c r="D94" i="39"/>
  <c r="E94" i="39" s="1"/>
  <c r="F94" i="39"/>
  <c r="D92" i="39"/>
  <c r="E92" i="39"/>
  <c r="F92" i="39" s="1"/>
  <c r="G92" i="39" s="1"/>
  <c r="D90" i="39"/>
  <c r="E90" i="39"/>
  <c r="F90" i="39" s="1"/>
  <c r="G90" i="39" s="1"/>
  <c r="D88" i="39"/>
  <c r="E88" i="39" s="1"/>
  <c r="F88" i="39" s="1"/>
  <c r="G88" i="39" s="1"/>
  <c r="B85" i="39"/>
  <c r="B83" i="39"/>
  <c r="B81" i="39"/>
  <c r="J12" i="39" s="1"/>
  <c r="M78" i="39"/>
  <c r="L78" i="39"/>
  <c r="K78" i="39"/>
  <c r="J78" i="39"/>
  <c r="I78" i="39"/>
  <c r="H78" i="39"/>
  <c r="G78" i="39"/>
  <c r="F78" i="39"/>
  <c r="E78" i="39"/>
  <c r="D78" i="39"/>
  <c r="C78" i="39"/>
  <c r="P48" i="39"/>
  <c r="P47" i="39"/>
  <c r="V46" i="39"/>
  <c r="T46" i="39"/>
  <c r="R46" i="39"/>
  <c r="P46" i="39"/>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s="1"/>
  <c r="U25" i="37" s="1"/>
  <c r="B110" i="37"/>
  <c r="J39" i="37"/>
  <c r="AC39" i="37" s="1"/>
  <c r="B108" i="37"/>
  <c r="C23" i="37"/>
  <c r="C19" i="37"/>
  <c r="C17" i="37"/>
  <c r="C15" i="37"/>
  <c r="B112" i="37"/>
  <c r="D107" i="37"/>
  <c r="E107" i="37" s="1"/>
  <c r="D105" i="37"/>
  <c r="E105" i="37" s="1"/>
  <c r="D103" i="37"/>
  <c r="J35" i="37"/>
  <c r="W35" i="37" s="1"/>
  <c r="F97" i="37"/>
  <c r="E97" i="37"/>
  <c r="D97" i="37"/>
  <c r="C97" i="37"/>
  <c r="D96" i="37"/>
  <c r="E96" i="37" s="1"/>
  <c r="D94" i="37"/>
  <c r="M90" i="37"/>
  <c r="L90" i="37"/>
  <c r="K90" i="37"/>
  <c r="J90" i="37"/>
  <c r="I90" i="37"/>
  <c r="H90" i="37"/>
  <c r="G90" i="37"/>
  <c r="F90" i="37"/>
  <c r="E90" i="37"/>
  <c r="D90" i="37"/>
  <c r="C90" i="37"/>
  <c r="D89" i="37"/>
  <c r="B86" i="37"/>
  <c r="B84" i="37"/>
  <c r="H27" i="37" s="1"/>
  <c r="U27" i="37" s="1"/>
  <c r="B82" i="37"/>
  <c r="J26" i="37" s="1"/>
  <c r="D79" i="37"/>
  <c r="E79" i="37"/>
  <c r="D75" i="37"/>
  <c r="E75" i="37"/>
  <c r="D73" i="37"/>
  <c r="E73" i="37"/>
  <c r="F73" i="37" s="1"/>
  <c r="D71" i="37"/>
  <c r="H15" i="37"/>
  <c r="AB15" i="37" s="1"/>
  <c r="B68" i="37"/>
  <c r="H14" i="37" s="1"/>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AC31" i="37" s="1"/>
  <c r="Q30" i="37"/>
  <c r="Z30" i="37" s="1"/>
  <c r="J30" i="37"/>
  <c r="AC30" i="37" s="1"/>
  <c r="H30" i="37"/>
  <c r="AB30" i="37" s="1"/>
  <c r="F30" i="37"/>
  <c r="AA30" i="37" s="1"/>
  <c r="Q29" i="37"/>
  <c r="Z29" i="37" s="1"/>
  <c r="H29" i="37"/>
  <c r="AB29" i="37" s="1"/>
  <c r="Q28" i="37"/>
  <c r="Z28" i="37" s="1"/>
  <c r="Q27" i="37"/>
  <c r="Z27" i="37" s="1"/>
  <c r="Q26" i="37"/>
  <c r="Z26" i="37" s="1"/>
  <c r="AC26" i="37"/>
  <c r="Q25" i="37"/>
  <c r="Z25" i="37"/>
  <c r="Q23" i="37"/>
  <c r="Z23" i="37"/>
  <c r="Q19" i="37"/>
  <c r="Z19" i="37"/>
  <c r="Q17" i="37"/>
  <c r="Z17" i="37"/>
  <c r="Q15" i="37"/>
  <c r="Z15" i="37"/>
  <c r="Q14" i="37"/>
  <c r="Z14" i="37"/>
  <c r="Q13" i="37"/>
  <c r="Z13" i="37"/>
  <c r="Q12" i="37"/>
  <c r="Z12" i="37"/>
  <c r="Q11" i="37"/>
  <c r="Z11" i="37"/>
  <c r="Q10" i="37"/>
  <c r="Z10" i="37"/>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s="1"/>
  <c r="B91" i="36"/>
  <c r="F32" i="36" s="1"/>
  <c r="B95" i="36"/>
  <c r="H34" i="36" s="1"/>
  <c r="D83" i="36"/>
  <c r="E83" i="36" s="1"/>
  <c r="F83" i="36" s="1"/>
  <c r="G83" i="36" s="1"/>
  <c r="H83" i="36" s="1"/>
  <c r="I83" i="36" s="1"/>
  <c r="J83" i="36" s="1"/>
  <c r="K83" i="36" s="1"/>
  <c r="L83" i="36" s="1"/>
  <c r="M83" i="36" s="1"/>
  <c r="D78" i="36"/>
  <c r="E78" i="36" s="1"/>
  <c r="F78" i="36" s="1"/>
  <c r="G78" i="36" s="1"/>
  <c r="H78" i="36" s="1"/>
  <c r="I78" i="36" s="1"/>
  <c r="J78" i="36" s="1"/>
  <c r="K78" i="36" s="1"/>
  <c r="L78" i="36" s="1"/>
  <c r="M78" i="36" s="1"/>
  <c r="B75" i="36"/>
  <c r="B73" i="36"/>
  <c r="J24" i="36" s="1"/>
  <c r="AC24" i="36" s="1"/>
  <c r="B71" i="36"/>
  <c r="D70" i="36"/>
  <c r="H22" i="36"/>
  <c r="AB22" i="36" s="1"/>
  <c r="D68" i="36"/>
  <c r="E68" i="36" s="1"/>
  <c r="F68" i="36" s="1"/>
  <c r="G68" i="36"/>
  <c r="D64" i="36"/>
  <c r="E64" i="36"/>
  <c r="F64" i="36" s="1"/>
  <c r="G64" i="36" s="1"/>
  <c r="J16" i="36"/>
  <c r="W16" i="36"/>
  <c r="D62" i="36"/>
  <c r="E62" i="36"/>
  <c r="F62" i="36" s="1"/>
  <c r="G62" i="36" s="1"/>
  <c r="B59" i="36"/>
  <c r="B57" i="36"/>
  <c r="J12" i="36" s="1"/>
  <c r="B55" i="36"/>
  <c r="C51" i="36"/>
  <c r="P37" i="36"/>
  <c r="P36" i="36"/>
  <c r="V35" i="36"/>
  <c r="T35" i="36"/>
  <c r="R35" i="36"/>
  <c r="P35" i="36"/>
  <c r="Q34" i="36"/>
  <c r="Z34" i="36" s="1"/>
  <c r="Q33" i="36"/>
  <c r="Z33" i="36" s="1"/>
  <c r="Q32" i="36"/>
  <c r="Z32" i="36" s="1"/>
  <c r="Q31" i="36"/>
  <c r="Z31" i="36" s="1"/>
  <c r="Q30" i="36"/>
  <c r="Z30" i="36" s="1"/>
  <c r="AC30" i="36"/>
  <c r="Q29" i="36"/>
  <c r="Z29" i="36" s="1"/>
  <c r="Q28" i="36"/>
  <c r="Z28" i="36" s="1"/>
  <c r="J28" i="36"/>
  <c r="AC28" i="36" s="1"/>
  <c r="Q27" i="36"/>
  <c r="Z27" i="36" s="1"/>
  <c r="Q26" i="36"/>
  <c r="Z26" i="36" s="1"/>
  <c r="H26" i="36"/>
  <c r="AB26" i="36" s="1"/>
  <c r="Q25" i="36"/>
  <c r="Z25" i="36" s="1"/>
  <c r="Q24" i="36"/>
  <c r="Z24" i="36" s="1"/>
  <c r="Q23" i="36"/>
  <c r="Z23" i="36" s="1"/>
  <c r="H23" i="36"/>
  <c r="AB23" i="36" s="1"/>
  <c r="Q22" i="36"/>
  <c r="Z22" i="36" s="1"/>
  <c r="J22" i="36"/>
  <c r="AC22" i="36" s="1"/>
  <c r="Q20" i="36"/>
  <c r="Z20" i="36" s="1"/>
  <c r="Q16" i="36"/>
  <c r="Z16" i="36" s="1"/>
  <c r="Q14" i="36"/>
  <c r="Z14" i="36" s="1"/>
  <c r="Q13" i="36"/>
  <c r="Z13" i="36" s="1"/>
  <c r="Q12" i="36"/>
  <c r="Z12" i="36" s="1"/>
  <c r="Q11" i="36"/>
  <c r="Z11" i="36" s="1"/>
  <c r="Q10" i="36"/>
  <c r="Z10" i="36" s="1"/>
  <c r="F10" i="36"/>
  <c r="AA10" i="36" s="1"/>
  <c r="Q9" i="36"/>
  <c r="Z9" i="36" s="1"/>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s="1"/>
  <c r="AB36" i="35" s="1"/>
  <c r="B99" i="35"/>
  <c r="B97" i="35"/>
  <c r="B77" i="35"/>
  <c r="B75" i="35"/>
  <c r="J24" i="35"/>
  <c r="AC24" i="35" s="1"/>
  <c r="B73" i="35"/>
  <c r="B57" i="35"/>
  <c r="B61" i="35"/>
  <c r="B59" i="35"/>
  <c r="B131" i="34"/>
  <c r="B129" i="34"/>
  <c r="B127" i="34"/>
  <c r="B99" i="34"/>
  <c r="B97" i="34"/>
  <c r="B95" i="34"/>
  <c r="B93" i="34"/>
  <c r="B75" i="34"/>
  <c r="B73" i="34"/>
  <c r="B71" i="34"/>
  <c r="H12" i="34" s="1"/>
  <c r="B130" i="33"/>
  <c r="B128" i="33"/>
  <c r="B126" i="33"/>
  <c r="B98" i="33"/>
  <c r="B96" i="33"/>
  <c r="B94" i="33"/>
  <c r="B74" i="33"/>
  <c r="B72" i="33"/>
  <c r="B70" i="33"/>
  <c r="J12" i="33" s="1"/>
  <c r="D96" i="35"/>
  <c r="E96" i="35" s="1"/>
  <c r="F96" i="35" s="1"/>
  <c r="G96" i="35" s="1"/>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s="1"/>
  <c r="F80" i="35" s="1"/>
  <c r="G80" i="35" s="1"/>
  <c r="H80" i="35" s="1"/>
  <c r="I80" i="35" s="1"/>
  <c r="J80" i="35" s="1"/>
  <c r="K80" i="35" s="1"/>
  <c r="L80" i="35" s="1"/>
  <c r="M80" i="35" s="1"/>
  <c r="D72" i="35"/>
  <c r="E72" i="35" s="1"/>
  <c r="F72" i="35"/>
  <c r="G72" i="35" s="1"/>
  <c r="D70" i="35"/>
  <c r="E70" i="35" s="1"/>
  <c r="F70" i="35"/>
  <c r="G70" i="35" s="1"/>
  <c r="D66" i="35"/>
  <c r="E66" i="35" s="1"/>
  <c r="F66" i="35"/>
  <c r="G66" i="35" s="1"/>
  <c r="D64" i="35"/>
  <c r="E64" i="35" s="1"/>
  <c r="F64" i="35"/>
  <c r="G64" i="35" s="1"/>
  <c r="J14" i="35"/>
  <c r="W14" i="35" s="1"/>
  <c r="C53" i="35"/>
  <c r="J9" i="35" s="1"/>
  <c r="P39" i="35"/>
  <c r="P38" i="35"/>
  <c r="V37" i="35"/>
  <c r="T37" i="35"/>
  <c r="R37" i="35"/>
  <c r="P37" i="35"/>
  <c r="Q36" i="35"/>
  <c r="Z36" i="35" s="1"/>
  <c r="J36" i="35"/>
  <c r="AC36" i="35" s="1"/>
  <c r="Q35" i="35"/>
  <c r="Z35" i="35" s="1"/>
  <c r="Q34" i="35"/>
  <c r="Z34" i="35" s="1"/>
  <c r="J34" i="35"/>
  <c r="AC34" i="35" s="1"/>
  <c r="H34" i="35"/>
  <c r="AB34" i="35" s="1"/>
  <c r="F34" i="35"/>
  <c r="AA34" i="35" s="1"/>
  <c r="Q33" i="35"/>
  <c r="Z33" i="35" s="1"/>
  <c r="Q32" i="35"/>
  <c r="Z32" i="35" s="1"/>
  <c r="H32" i="35"/>
  <c r="AB32" i="35" s="1"/>
  <c r="F32" i="35"/>
  <c r="AA32" i="35" s="1"/>
  <c r="Q31" i="35"/>
  <c r="Z31" i="35" s="1"/>
  <c r="AC31" i="35"/>
  <c r="AA31" i="35"/>
  <c r="Q30" i="35"/>
  <c r="Z30" i="35"/>
  <c r="Q29" i="35"/>
  <c r="Z29" i="35"/>
  <c r="Q28" i="35"/>
  <c r="Z28" i="35"/>
  <c r="J28" i="35"/>
  <c r="AC28" i="35"/>
  <c r="H28" i="35"/>
  <c r="AB28" i="35"/>
  <c r="F28" i="35"/>
  <c r="AA28" i="35"/>
  <c r="Q27" i="35"/>
  <c r="Z27" i="35"/>
  <c r="Q26" i="35"/>
  <c r="Z26" i="35"/>
  <c r="Q25" i="35"/>
  <c r="Z25" i="35"/>
  <c r="Q24" i="35"/>
  <c r="Z24" i="35"/>
  <c r="Q23" i="35"/>
  <c r="Z23" i="35"/>
  <c r="Q22" i="35"/>
  <c r="Z22" i="35"/>
  <c r="Q20" i="35"/>
  <c r="Z20" i="35"/>
  <c r="Q16" i="35"/>
  <c r="Z16" i="35"/>
  <c r="Q14" i="35"/>
  <c r="Z14" i="35"/>
  <c r="Q13" i="35"/>
  <c r="Z13" i="35"/>
  <c r="Q12" i="35"/>
  <c r="Z12" i="35"/>
  <c r="H12" i="35"/>
  <c r="U12" i="35" s="1"/>
  <c r="Q11" i="35"/>
  <c r="Z11" i="35" s="1"/>
  <c r="Q10" i="35"/>
  <c r="Z10" i="35" s="1"/>
  <c r="Q9" i="35"/>
  <c r="Z9" i="35" s="1"/>
  <c r="J8" i="35"/>
  <c r="W8" i="35" s="1"/>
  <c r="H8" i="35"/>
  <c r="AB8" i="35" s="1"/>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D126" i="34"/>
  <c r="E126" i="34" s="1"/>
  <c r="F126" i="34" s="1"/>
  <c r="G126" i="34" s="1"/>
  <c r="D124" i="34"/>
  <c r="E124" i="34" s="1"/>
  <c r="F124" i="34" s="1"/>
  <c r="G124" i="34" s="1"/>
  <c r="H124" i="34" s="1"/>
  <c r="I124" i="34" s="1"/>
  <c r="J124" i="34" s="1"/>
  <c r="K124" i="34" s="1"/>
  <c r="L124" i="34" s="1"/>
  <c r="M124"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F28" i="34" s="1"/>
  <c r="B89" i="34"/>
  <c r="J27" i="34" s="1"/>
  <c r="D88" i="34"/>
  <c r="E88" i="34" s="1"/>
  <c r="F88" i="34" s="1"/>
  <c r="G88" i="34" s="1"/>
  <c r="D86" i="34"/>
  <c r="E86" i="34" s="1"/>
  <c r="F86" i="34" s="1"/>
  <c r="G86" i="34" s="1"/>
  <c r="D82" i="34"/>
  <c r="E82" i="34" s="1"/>
  <c r="F82" i="34" s="1"/>
  <c r="G82" i="34" s="1"/>
  <c r="D80" i="34"/>
  <c r="E80" i="34" s="1"/>
  <c r="F80" i="34" s="1"/>
  <c r="G80" i="34" s="1"/>
  <c r="D78" i="34"/>
  <c r="E78" i="34" s="1"/>
  <c r="F78" i="34" s="1"/>
  <c r="G78" i="34" s="1"/>
  <c r="D70" i="34"/>
  <c r="E70" i="34" s="1"/>
  <c r="M68" i="34"/>
  <c r="L68" i="34"/>
  <c r="K68" i="34"/>
  <c r="J68" i="34"/>
  <c r="I68" i="34"/>
  <c r="H68" i="34"/>
  <c r="G68" i="34"/>
  <c r="F68" i="34"/>
  <c r="E68" i="34"/>
  <c r="D68" i="34"/>
  <c r="C68" i="34"/>
  <c r="C64" i="34"/>
  <c r="H9" i="34" s="1"/>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H39" i="34"/>
  <c r="AB39" i="34" s="1"/>
  <c r="Q38" i="34"/>
  <c r="Z38" i="34" s="1"/>
  <c r="Q37" i="34"/>
  <c r="Z37" i="34" s="1"/>
  <c r="Q36" i="34"/>
  <c r="Z36" i="34" s="1"/>
  <c r="Q35" i="34"/>
  <c r="Z35" i="34" s="1"/>
  <c r="Q34" i="34"/>
  <c r="Z34" i="34" s="1"/>
  <c r="Q33" i="34"/>
  <c r="Z33" i="34"/>
  <c r="Q32" i="34"/>
  <c r="Z32" i="34"/>
  <c r="Q31" i="34"/>
  <c r="Z31" i="34"/>
  <c r="Q30" i="34"/>
  <c r="Z30" i="34"/>
  <c r="Q29" i="34"/>
  <c r="Z29" i="34" s="1"/>
  <c r="Q28" i="34"/>
  <c r="Z28" i="34" s="1"/>
  <c r="Q27" i="34"/>
  <c r="Z27" i="34" s="1"/>
  <c r="Q25" i="34"/>
  <c r="Z25" i="34" s="1"/>
  <c r="Q23" i="34"/>
  <c r="Z23" i="34" s="1"/>
  <c r="C23" i="34"/>
  <c r="Q19" i="34"/>
  <c r="Z19" i="34" s="1"/>
  <c r="C19" i="34"/>
  <c r="Q17" i="34"/>
  <c r="Z17" i="34"/>
  <c r="C17" i="34"/>
  <c r="Q15" i="34"/>
  <c r="Z15" i="34" s="1"/>
  <c r="Q14" i="34"/>
  <c r="Z14" i="34" s="1"/>
  <c r="Q13" i="34"/>
  <c r="Z13" i="34" s="1"/>
  <c r="Q12" i="34"/>
  <c r="Z12" i="34" s="1"/>
  <c r="J12" i="34"/>
  <c r="W12" i="34" s="1"/>
  <c r="F12" i="34"/>
  <c r="S12" i="34" s="1"/>
  <c r="Q11" i="34"/>
  <c r="Z11" i="34"/>
  <c r="Q10" i="34"/>
  <c r="Z10" i="34"/>
  <c r="Q9" i="34"/>
  <c r="Z9" i="34" s="1"/>
  <c r="J9" i="34"/>
  <c r="AC9" i="34" s="1"/>
  <c r="F9" i="34"/>
  <c r="AA9" i="34" s="1"/>
  <c r="J8" i="34"/>
  <c r="AC8" i="34" s="1"/>
  <c r="H8" i="34"/>
  <c r="U8" i="34" s="1"/>
  <c r="F8" i="34"/>
  <c r="AA8" i="34" s="1"/>
  <c r="D121" i="33"/>
  <c r="E121" i="33" s="1"/>
  <c r="F109" i="33"/>
  <c r="E109" i="33"/>
  <c r="D109" i="33"/>
  <c r="C109" i="33"/>
  <c r="D91" i="33"/>
  <c r="E91" i="33" s="1"/>
  <c r="B88" i="33"/>
  <c r="J26" i="33" s="1"/>
  <c r="C23" i="33"/>
  <c r="C19" i="33"/>
  <c r="C17" i="33"/>
  <c r="C15" i="33"/>
  <c r="C15" i="21"/>
  <c r="D125" i="33"/>
  <c r="D123" i="33"/>
  <c r="D117" i="33"/>
  <c r="E117" i="33"/>
  <c r="F117" i="33" s="1"/>
  <c r="G117" i="33" s="1"/>
  <c r="D115" i="33"/>
  <c r="E115" i="33" s="1"/>
  <c r="F115" i="33" s="1"/>
  <c r="G115" i="33" s="1"/>
  <c r="H115" i="33" s="1"/>
  <c r="I115" i="33" s="1"/>
  <c r="J115" i="33" s="1"/>
  <c r="K115" i="33" s="1"/>
  <c r="L115" i="33" s="1"/>
  <c r="M115" i="33" s="1"/>
  <c r="D108" i="33"/>
  <c r="E108" i="33" s="1"/>
  <c r="F108" i="33" s="1"/>
  <c r="D106" i="33"/>
  <c r="E106" i="33" s="1"/>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s="1"/>
  <c r="G77" i="33" s="1"/>
  <c r="D69" i="33"/>
  <c r="E69" i="33"/>
  <c r="F69" i="33" s="1"/>
  <c r="G69" i="33" s="1"/>
  <c r="H69" i="33" s="1"/>
  <c r="I69" i="33" s="1"/>
  <c r="J69" i="33" s="1"/>
  <c r="K69" i="33" s="1"/>
  <c r="L69" i="33" s="1"/>
  <c r="M69" i="33" s="1"/>
  <c r="M67" i="33"/>
  <c r="L67" i="33"/>
  <c r="K67" i="33"/>
  <c r="J67" i="33"/>
  <c r="I67" i="33"/>
  <c r="H67" i="33"/>
  <c r="G67" i="33"/>
  <c r="F67" i="33"/>
  <c r="E67" i="33"/>
  <c r="D67" i="33"/>
  <c r="C67" i="33"/>
  <c r="C63" i="33"/>
  <c r="H54" i="33"/>
  <c r="F54" i="33"/>
  <c r="P49" i="33"/>
  <c r="P48" i="33"/>
  <c r="V47" i="33"/>
  <c r="T47" i="33"/>
  <c r="R47" i="33"/>
  <c r="P47" i="33"/>
  <c r="Q46" i="33"/>
  <c r="Z46" i="33" s="1"/>
  <c r="Q45" i="33"/>
  <c r="Z45" i="33" s="1"/>
  <c r="Q44" i="33"/>
  <c r="Z44" i="33" s="1"/>
  <c r="Q43" i="33"/>
  <c r="Z43" i="33" s="1"/>
  <c r="Q42" i="33"/>
  <c r="Z42" i="33" s="1"/>
  <c r="J42" i="33"/>
  <c r="AC42" i="33" s="1"/>
  <c r="AC41" i="33"/>
  <c r="W41" i="33"/>
  <c r="Q41" i="33"/>
  <c r="Z41" i="33" s="1"/>
  <c r="Q40" i="33"/>
  <c r="Z40" i="33" s="1"/>
  <c r="J40" i="33"/>
  <c r="AC40" i="33" s="1"/>
  <c r="H40" i="33"/>
  <c r="AB40" i="33" s="1"/>
  <c r="AA40" i="33"/>
  <c r="Q39" i="33"/>
  <c r="Z39" i="33" s="1"/>
  <c r="J39" i="33"/>
  <c r="AC39" i="33" s="1"/>
  <c r="Q38" i="33"/>
  <c r="Z38" i="33" s="1"/>
  <c r="J38" i="33"/>
  <c r="AC38" i="33" s="1"/>
  <c r="H38" i="33"/>
  <c r="AB38" i="33" s="1"/>
  <c r="F38" i="33"/>
  <c r="AA38" i="33" s="1"/>
  <c r="Q37" i="33"/>
  <c r="Z37" i="33" s="1"/>
  <c r="Q36" i="33"/>
  <c r="Z36" i="33" s="1"/>
  <c r="Q35" i="33"/>
  <c r="Z35" i="33" s="1"/>
  <c r="H35" i="33"/>
  <c r="AB35" i="33" s="1"/>
  <c r="Q34" i="33"/>
  <c r="Z34" i="33" s="1"/>
  <c r="Q33" i="33"/>
  <c r="Z33" i="33" s="1"/>
  <c r="J33" i="33"/>
  <c r="AC33" i="33" s="1"/>
  <c r="H33" i="33"/>
  <c r="AB33" i="33" s="1"/>
  <c r="F33" i="33"/>
  <c r="AA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F15" i="33"/>
  <c r="AA15" i="33" s="1"/>
  <c r="Q14" i="33"/>
  <c r="Z14" i="33" s="1"/>
  <c r="Q13" i="33"/>
  <c r="Z13" i="33" s="1"/>
  <c r="Q12" i="33"/>
  <c r="Z12" i="33" s="1"/>
  <c r="H12" i="33"/>
  <c r="U12" i="33" s="1"/>
  <c r="Q11" i="33"/>
  <c r="Z11" i="33" s="1"/>
  <c r="Q10" i="33"/>
  <c r="Z10" i="33" s="1"/>
  <c r="Q9" i="33"/>
  <c r="Z9" i="33" s="1"/>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97" i="43" s="1"/>
  <c r="B75" i="43"/>
  <c r="C21" i="20"/>
  <c r="B99" i="43" s="1"/>
  <c r="B76" i="43"/>
  <c r="C20" i="20"/>
  <c r="B101" i="43" s="1"/>
  <c r="B79" i="43"/>
  <c r="C18" i="20"/>
  <c r="B94" i="43" s="1"/>
  <c r="B73" i="43"/>
  <c r="C17" i="20"/>
  <c r="B61" i="43"/>
  <c r="C16" i="20"/>
  <c r="C17" i="39"/>
  <c r="C15" i="20"/>
  <c r="B72" i="43"/>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F42" i="21"/>
  <c r="AA42" i="21" s="1"/>
  <c r="D119" i="21"/>
  <c r="E119" i="21" s="1"/>
  <c r="F40" i="21"/>
  <c r="AA40" i="21" s="1"/>
  <c r="D117" i="21"/>
  <c r="E117" i="21" s="1"/>
  <c r="F117" i="21" s="1"/>
  <c r="G117" i="21" s="1"/>
  <c r="D115" i="21"/>
  <c r="E115" i="21" s="1"/>
  <c r="F115" i="21" s="1"/>
  <c r="G115" i="21" s="1"/>
  <c r="H115" i="21" s="1"/>
  <c r="I115" i="21" s="1"/>
  <c r="J115" i="21" s="1"/>
  <c r="K115" i="21" s="1"/>
  <c r="L115" i="21" s="1"/>
  <c r="M115" i="21" s="1"/>
  <c r="D113" i="21"/>
  <c r="E113" i="21" s="1"/>
  <c r="F113" i="21" s="1"/>
  <c r="G113" i="21" s="1"/>
  <c r="H113" i="21" s="1"/>
  <c r="D110" i="21"/>
  <c r="E110" i="21"/>
  <c r="F110" i="21" s="1"/>
  <c r="G110" i="21" s="1"/>
  <c r="H110" i="21" s="1"/>
  <c r="I110" i="21" s="1"/>
  <c r="J110" i="21" s="1"/>
  <c r="K110" i="21" s="1"/>
  <c r="L110" i="21" s="1"/>
  <c r="M110" i="21" s="1"/>
  <c r="J36" i="21"/>
  <c r="AC36" i="21"/>
  <c r="D108" i="21"/>
  <c r="E108" i="21"/>
  <c r="F108" i="21" s="1"/>
  <c r="G108" i="21" s="1"/>
  <c r="H108" i="21" s="1"/>
  <c r="I108" i="21" s="1"/>
  <c r="J108" i="21" s="1"/>
  <c r="K108" i="21" s="1"/>
  <c r="L108" i="21" s="1"/>
  <c r="M108" i="21" s="1"/>
  <c r="D106" i="21"/>
  <c r="E106" i="21"/>
  <c r="F106" i="21" s="1"/>
  <c r="G106" i="21" s="1"/>
  <c r="H106" i="21" s="1"/>
  <c r="I106" i="21" s="1"/>
  <c r="J106" i="21" s="1"/>
  <c r="K106" i="21" s="1"/>
  <c r="L106" i="21" s="1"/>
  <c r="M106" i="21" s="1"/>
  <c r="D101" i="21"/>
  <c r="E101" i="21"/>
  <c r="F101" i="21" s="1"/>
  <c r="G101" i="21" s="1"/>
  <c r="H101" i="21" s="1"/>
  <c r="I101" i="21" s="1"/>
  <c r="J101" i="21" s="1"/>
  <c r="K101" i="21" s="1"/>
  <c r="L101" i="21" s="1"/>
  <c r="M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c r="F69" i="21" s="1"/>
  <c r="G69" i="21" s="1"/>
  <c r="H69" i="21" s="1"/>
  <c r="I69" i="21" s="1"/>
  <c r="J69" i="21" s="1"/>
  <c r="K69" i="21" s="1"/>
  <c r="L69" i="21" s="1"/>
  <c r="M69" i="21" s="1"/>
  <c r="D111" i="21"/>
  <c r="E111" i="21"/>
  <c r="F111" i="21"/>
  <c r="C111" i="21"/>
  <c r="D79" i="21"/>
  <c r="E79" i="21"/>
  <c r="F79" i="21" s="1"/>
  <c r="G79" i="21" s="1"/>
  <c r="D85" i="21"/>
  <c r="F19" i="21"/>
  <c r="AA19" i="21" s="1"/>
  <c r="E81" i="21"/>
  <c r="F81" i="21" s="1"/>
  <c r="G81" i="21" s="1"/>
  <c r="D77" i="21"/>
  <c r="E77" i="21" s="1"/>
  <c r="B130" i="21"/>
  <c r="H46" i="21" s="1"/>
  <c r="B128" i="21"/>
  <c r="J45" i="21" s="1"/>
  <c r="B126" i="21"/>
  <c r="J44" i="21" s="1"/>
  <c r="W44" i="21" s="1"/>
  <c r="B98" i="21"/>
  <c r="H31" i="21" s="1"/>
  <c r="B96" i="21"/>
  <c r="H30" i="21" s="1"/>
  <c r="B94" i="21"/>
  <c r="J29" i="21"/>
  <c r="AC29" i="21" s="1"/>
  <c r="B92" i="21"/>
  <c r="B90" i="21"/>
  <c r="J27" i="21" s="1"/>
  <c r="W27" i="21" s="1"/>
  <c r="B74" i="21"/>
  <c r="J14" i="21" s="1"/>
  <c r="B72" i="21"/>
  <c r="H13" i="21"/>
  <c r="B70" i="21"/>
  <c r="F12" i="21"/>
  <c r="S12" i="21" s="1"/>
  <c r="C19" i="21"/>
  <c r="C17" i="21"/>
  <c r="C23" i="21"/>
  <c r="Q9" i="21"/>
  <c r="Z9" i="21" s="1"/>
  <c r="Q10" i="21"/>
  <c r="Z10" i="21" s="1"/>
  <c r="Q11" i="21"/>
  <c r="Z11" i="21" s="1"/>
  <c r="Q12" i="21"/>
  <c r="Z12" i="21" s="1"/>
  <c r="Q13" i="21"/>
  <c r="Z13" i="21" s="1"/>
  <c r="Q14" i="21"/>
  <c r="Z14" i="21" s="1"/>
  <c r="Q15" i="21"/>
  <c r="Z15" i="21" s="1"/>
  <c r="Q17" i="21"/>
  <c r="Z17" i="21" s="1"/>
  <c r="Q19" i="21"/>
  <c r="Z19" i="21" s="1"/>
  <c r="Q23" i="21"/>
  <c r="Z23" i="21" s="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s="1"/>
  <c r="Q36" i="21"/>
  <c r="Z36" i="21" s="1"/>
  <c r="Q37" i="21"/>
  <c r="Z37" i="21" s="1"/>
  <c r="J38" i="21"/>
  <c r="W38" i="21" s="1"/>
  <c r="Q38" i="21"/>
  <c r="Z38" i="21" s="1"/>
  <c r="J39" i="21"/>
  <c r="AC39" i="21" s="1"/>
  <c r="Q39" i="21"/>
  <c r="Z39" i="21" s="1"/>
  <c r="H40" i="21"/>
  <c r="AB40" i="21" s="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AA8" i="21" s="1"/>
  <c r="E10" i="11"/>
  <c r="E9" i="11"/>
  <c r="C7" i="12"/>
  <c r="BB12" i="3"/>
  <c r="F7" i="12"/>
  <c r="D7" i="12"/>
  <c r="E7" i="12"/>
  <c r="G7" i="12"/>
  <c r="K5" i="3"/>
  <c r="J5" i="3"/>
  <c r="BE10" i="3"/>
  <c r="BB585" i="3"/>
  <c r="BC585" i="3"/>
  <c r="BA585" i="3" s="1"/>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D42" i="43" s="1"/>
  <c r="H42" i="43" s="1"/>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s="1"/>
  <c r="J34" i="21"/>
  <c r="W34" i="21" s="1"/>
  <c r="H36" i="21"/>
  <c r="U36" i="21" s="1"/>
  <c r="F35" i="21"/>
  <c r="AA35" i="21" s="1"/>
  <c r="J10" i="21"/>
  <c r="AC10" i="21" s="1"/>
  <c r="H26" i="21"/>
  <c r="AB26" i="21"/>
  <c r="AB19" i="21"/>
  <c r="J19" i="21"/>
  <c r="W19" i="21" s="1"/>
  <c r="J12" i="21"/>
  <c r="AC12" i="21" s="1"/>
  <c r="H12" i="21"/>
  <c r="AB12" i="21" s="1"/>
  <c r="J26" i="21"/>
  <c r="W26" i="21" s="1"/>
  <c r="F26" i="21"/>
  <c r="S26" i="21" s="1"/>
  <c r="AB41" i="21"/>
  <c r="S41" i="21"/>
  <c r="AA41" i="21"/>
  <c r="F45" i="39"/>
  <c r="S45" i="39" s="1"/>
  <c r="J45" i="39"/>
  <c r="W45" i="39" s="1"/>
  <c r="J44" i="39"/>
  <c r="AC44" i="39" s="1"/>
  <c r="F36" i="39"/>
  <c r="S36" i="39" s="1"/>
  <c r="H36" i="39"/>
  <c r="AB36" i="39" s="1"/>
  <c r="J35" i="39"/>
  <c r="AC35" i="39" s="1"/>
  <c r="F35" i="39"/>
  <c r="AA35" i="39" s="1"/>
  <c r="J36" i="39"/>
  <c r="AC36" i="39" s="1"/>
  <c r="U9" i="39"/>
  <c r="U30" i="37"/>
  <c r="W31" i="37"/>
  <c r="E103" i="37"/>
  <c r="F103" i="37" s="1"/>
  <c r="G103" i="37" s="1"/>
  <c r="H103" i="37" s="1"/>
  <c r="I103" i="37" s="1"/>
  <c r="J103" i="37" s="1"/>
  <c r="K103" i="37" s="1"/>
  <c r="L103" i="37" s="1"/>
  <c r="M103" i="37" s="1"/>
  <c r="F39" i="37"/>
  <c r="S39" i="37"/>
  <c r="F29" i="36"/>
  <c r="AA29" i="36" s="1"/>
  <c r="F16" i="36"/>
  <c r="AA16" i="36"/>
  <c r="U9" i="36"/>
  <c r="W28" i="36"/>
  <c r="U31" i="36"/>
  <c r="J33" i="36"/>
  <c r="AC33" i="36" s="1"/>
  <c r="H22" i="35"/>
  <c r="AB22" i="35"/>
  <c r="W28" i="35"/>
  <c r="S34" i="35"/>
  <c r="W34" i="35"/>
  <c r="W36" i="35"/>
  <c r="W22" i="35"/>
  <c r="S31" i="35"/>
  <c r="F36" i="34"/>
  <c r="J35" i="34"/>
  <c r="AC35" i="34" s="1"/>
  <c r="H39" i="33"/>
  <c r="AB39" i="33" s="1"/>
  <c r="F26" i="33"/>
  <c r="AA26" i="33" s="1"/>
  <c r="U35" i="33"/>
  <c r="S40" i="33"/>
  <c r="W33" i="33"/>
  <c r="H39" i="37"/>
  <c r="AB39" i="37" s="1"/>
  <c r="S27" i="35"/>
  <c r="F11" i="40"/>
  <c r="AA11" i="40" s="1"/>
  <c r="H11" i="40"/>
  <c r="AB11" i="40" s="1"/>
  <c r="W8" i="40"/>
  <c r="AC40" i="40"/>
  <c r="AA9" i="40"/>
  <c r="AC9" i="40"/>
  <c r="U9" i="40"/>
  <c r="S34" i="40"/>
  <c r="S40" i="40"/>
  <c r="W31" i="40"/>
  <c r="U34" i="40"/>
  <c r="S38" i="40"/>
  <c r="U40" i="40"/>
  <c r="F42" i="39"/>
  <c r="AA42" i="39" s="1"/>
  <c r="F41" i="39"/>
  <c r="S41" i="39" s="1"/>
  <c r="H40" i="39"/>
  <c r="AB40" i="39" s="1"/>
  <c r="H39" i="39"/>
  <c r="U39" i="39" s="1"/>
  <c r="S38" i="39"/>
  <c r="S34" i="39"/>
  <c r="H34" i="39"/>
  <c r="U34" i="39" s="1"/>
  <c r="E108" i="39"/>
  <c r="H31" i="39"/>
  <c r="AB31" i="39" s="1"/>
  <c r="F31" i="39"/>
  <c r="AA31" i="39" s="1"/>
  <c r="E100" i="39"/>
  <c r="F100" i="39" s="1"/>
  <c r="G100" i="39" s="1"/>
  <c r="H19" i="39"/>
  <c r="AB19" i="39" s="1"/>
  <c r="F19" i="39"/>
  <c r="AA19" i="39" s="1"/>
  <c r="H17" i="39"/>
  <c r="AB17" i="39" s="1"/>
  <c r="F17" i="39"/>
  <c r="AA17" i="39" s="1"/>
  <c r="J23" i="40"/>
  <c r="AC23" i="40" s="1"/>
  <c r="F21" i="40"/>
  <c r="J21" i="40"/>
  <c r="W21" i="40" s="1"/>
  <c r="H42" i="39"/>
  <c r="AB42" i="39" s="1"/>
  <c r="J34" i="39"/>
  <c r="AC34" i="39" s="1"/>
  <c r="F108" i="39"/>
  <c r="G108" i="39" s="1"/>
  <c r="H108" i="39" s="1"/>
  <c r="I108" i="39" s="1"/>
  <c r="J108" i="39" s="1"/>
  <c r="K108" i="39" s="1"/>
  <c r="L108" i="39" s="1"/>
  <c r="M108" i="39" s="1"/>
  <c r="H27" i="39"/>
  <c r="U27" i="39" s="1"/>
  <c r="J19" i="39"/>
  <c r="AC19" i="39" s="1"/>
  <c r="J17" i="39"/>
  <c r="J27" i="39"/>
  <c r="AC27" i="39" s="1"/>
  <c r="F27" i="39"/>
  <c r="F11" i="21"/>
  <c r="S11" i="21" s="1"/>
  <c r="S40" i="21"/>
  <c r="U34" i="21"/>
  <c r="S34" i="21"/>
  <c r="C25" i="39"/>
  <c r="C27" i="39"/>
  <c r="C21" i="39"/>
  <c r="H11" i="39"/>
  <c r="S40" i="39"/>
  <c r="C15" i="39"/>
  <c r="H32" i="33"/>
  <c r="H11" i="21"/>
  <c r="U11" i="21" s="1"/>
  <c r="J11" i="21"/>
  <c r="W11" i="21" s="1"/>
  <c r="H37" i="40"/>
  <c r="U37" i="40" s="1"/>
  <c r="H36" i="40"/>
  <c r="AB36" i="40" s="1"/>
  <c r="F35" i="40"/>
  <c r="AA35" i="40" s="1"/>
  <c r="H23" i="40"/>
  <c r="H17" i="40"/>
  <c r="U17" i="40" s="1"/>
  <c r="J15" i="40"/>
  <c r="W15" i="40" s="1"/>
  <c r="J11" i="40"/>
  <c r="W11" i="40" s="1"/>
  <c r="AB8" i="39"/>
  <c r="AC12" i="34"/>
  <c r="AA12" i="34"/>
  <c r="AB12" i="35"/>
  <c r="W32" i="40"/>
  <c r="F37" i="39"/>
  <c r="AA37" i="39" s="1"/>
  <c r="J34" i="36"/>
  <c r="W34" i="36" s="1"/>
  <c r="J30" i="35"/>
  <c r="W30" i="35" s="1"/>
  <c r="H30" i="35"/>
  <c r="AB30" i="35" s="1"/>
  <c r="F22" i="35"/>
  <c r="AA22" i="35" s="1"/>
  <c r="H10" i="35"/>
  <c r="U10" i="35" s="1"/>
  <c r="AC16" i="36"/>
  <c r="F33" i="36"/>
  <c r="AA33" i="36" s="1"/>
  <c r="W30" i="36"/>
  <c r="H16" i="36"/>
  <c r="AB16" i="36" s="1"/>
  <c r="E85" i="36"/>
  <c r="F85" i="36" s="1"/>
  <c r="G85" i="36" s="1"/>
  <c r="H85" i="36" s="1"/>
  <c r="I85" i="36" s="1"/>
  <c r="J85" i="36" s="1"/>
  <c r="K85" i="36" s="1"/>
  <c r="L85" i="36" s="1"/>
  <c r="M85" i="36" s="1"/>
  <c r="J29" i="36"/>
  <c r="AC29" i="36" s="1"/>
  <c r="F12" i="36"/>
  <c r="S12" i="36" s="1"/>
  <c r="F24" i="36"/>
  <c r="AA24" i="36"/>
  <c r="F34" i="36"/>
  <c r="S34" i="36"/>
  <c r="F14" i="35"/>
  <c r="AA14" i="35"/>
  <c r="F23" i="35"/>
  <c r="AA23" i="35"/>
  <c r="J32" i="35"/>
  <c r="AC32" i="35" s="1"/>
  <c r="J16" i="35"/>
  <c r="AC16" i="35" s="1"/>
  <c r="H16" i="35"/>
  <c r="U16" i="35" s="1"/>
  <c r="F16" i="35"/>
  <c r="S16" i="35" s="1"/>
  <c r="H14" i="35"/>
  <c r="AB14" i="35" s="1"/>
  <c r="J29" i="35"/>
  <c r="H33" i="35"/>
  <c r="AB33" i="35"/>
  <c r="J20" i="35"/>
  <c r="W20" i="35"/>
  <c r="F35" i="37"/>
  <c r="S35" i="37"/>
  <c r="E101" i="37"/>
  <c r="F101" i="37"/>
  <c r="G101" i="37" s="1"/>
  <c r="H101" i="37" s="1"/>
  <c r="I101" i="37" s="1"/>
  <c r="J101" i="37" s="1"/>
  <c r="K101" i="37" s="1"/>
  <c r="L101" i="37" s="1"/>
  <c r="M101" i="37" s="1"/>
  <c r="J34" i="37"/>
  <c r="W34" i="37" s="1"/>
  <c r="AA39" i="37"/>
  <c r="AB34" i="37"/>
  <c r="J33" i="37"/>
  <c r="AC33" i="37" s="1"/>
  <c r="U42" i="34"/>
  <c r="H40" i="34"/>
  <c r="U40" i="34" s="1"/>
  <c r="E114" i="34"/>
  <c r="H36" i="34"/>
  <c r="U36" i="34" s="1"/>
  <c r="S35" i="34"/>
  <c r="AA28" i="34"/>
  <c r="F27" i="34"/>
  <c r="AA27" i="34"/>
  <c r="H17" i="34"/>
  <c r="U17" i="34" s="1"/>
  <c r="J15" i="34"/>
  <c r="W15" i="34" s="1"/>
  <c r="W8" i="34"/>
  <c r="F41" i="33"/>
  <c r="E113" i="33"/>
  <c r="F32" i="33"/>
  <c r="AA32" i="33" s="1"/>
  <c r="J19" i="33"/>
  <c r="AC19" i="33" s="1"/>
  <c r="J15" i="33"/>
  <c r="AC15" i="33" s="1"/>
  <c r="F11" i="33"/>
  <c r="AA11" i="33" s="1"/>
  <c r="U40" i="33"/>
  <c r="F37" i="40"/>
  <c r="AA37" i="40" s="1"/>
  <c r="F36" i="40"/>
  <c r="AA36" i="40" s="1"/>
  <c r="H28" i="40"/>
  <c r="U28" i="40" s="1"/>
  <c r="F23" i="40"/>
  <c r="AA23" i="40" s="1"/>
  <c r="F17" i="40"/>
  <c r="AA17" i="40" s="1"/>
  <c r="J17" i="40"/>
  <c r="W17" i="40" s="1"/>
  <c r="F15" i="40"/>
  <c r="S15" i="40" s="1"/>
  <c r="H15" i="40"/>
  <c r="AB15" i="40" s="1"/>
  <c r="AC11" i="40"/>
  <c r="AA12" i="36"/>
  <c r="AB30" i="36"/>
  <c r="U33" i="35"/>
  <c r="F29" i="35"/>
  <c r="S29" i="35" s="1"/>
  <c r="H29" i="35"/>
  <c r="AB29" i="35" s="1"/>
  <c r="H33" i="37"/>
  <c r="AB33" i="37" s="1"/>
  <c r="F33" i="37"/>
  <c r="AA33" i="37" s="1"/>
  <c r="U34" i="37"/>
  <c r="S34" i="37"/>
  <c r="AA34" i="37"/>
  <c r="AB42" i="34"/>
  <c r="F114" i="34"/>
  <c r="G114" i="34"/>
  <c r="H114" i="34" s="1"/>
  <c r="I114" i="34" s="1"/>
  <c r="J114" i="34" s="1"/>
  <c r="K114" i="34" s="1"/>
  <c r="L114" i="34" s="1"/>
  <c r="M114" i="34" s="1"/>
  <c r="H38" i="34"/>
  <c r="AB38" i="34"/>
  <c r="J36" i="34"/>
  <c r="W36" i="34" s="1"/>
  <c r="H37" i="34"/>
  <c r="U37" i="34" s="1"/>
  <c r="J17" i="34"/>
  <c r="W17" i="34" s="1"/>
  <c r="F113" i="33"/>
  <c r="G113" i="33" s="1"/>
  <c r="H113" i="33" s="1"/>
  <c r="I113" i="33" s="1"/>
  <c r="J113" i="33" s="1"/>
  <c r="K113" i="33" s="1"/>
  <c r="L113" i="33" s="1"/>
  <c r="M113" i="33" s="1"/>
  <c r="H37" i="33"/>
  <c r="AB37" i="33" s="1"/>
  <c r="H15" i="33"/>
  <c r="AB15" i="33" s="1"/>
  <c r="H11" i="33"/>
  <c r="F28" i="40"/>
  <c r="AA28" i="40" s="1"/>
  <c r="AA29" i="35"/>
  <c r="AA42" i="34"/>
  <c r="S42" i="34"/>
  <c r="AC38" i="34"/>
  <c r="AA38" i="34"/>
  <c r="J11" i="33"/>
  <c r="W11" i="33" s="1"/>
  <c r="S28" i="34"/>
  <c r="J42" i="21"/>
  <c r="AC42" i="21" s="1"/>
  <c r="H42" i="21"/>
  <c r="U42" i="21" s="1"/>
  <c r="J44" i="34"/>
  <c r="F44" i="34"/>
  <c r="AA44" i="34"/>
  <c r="J10" i="35"/>
  <c r="AC10" i="35" s="1"/>
  <c r="BL587" i="3"/>
  <c r="W14" i="21"/>
  <c r="H28" i="21"/>
  <c r="AB28" i="21"/>
  <c r="F28" i="21"/>
  <c r="AA28" i="21"/>
  <c r="J28" i="21"/>
  <c r="W28" i="21"/>
  <c r="U30" i="21"/>
  <c r="AC44" i="21"/>
  <c r="U46" i="21"/>
  <c r="F119" i="21"/>
  <c r="G119" i="21" s="1"/>
  <c r="H119" i="21" s="1"/>
  <c r="I119" i="21" s="1"/>
  <c r="J119" i="21" s="1"/>
  <c r="K119" i="21" s="1"/>
  <c r="L119" i="21" s="1"/>
  <c r="M119" i="21" s="1"/>
  <c r="H26" i="33"/>
  <c r="U26" i="33" s="1"/>
  <c r="H28" i="33"/>
  <c r="U28" i="33" s="1"/>
  <c r="F28" i="33"/>
  <c r="AA28" i="33" s="1"/>
  <c r="J28" i="33"/>
  <c r="W28" i="33" s="1"/>
  <c r="F33" i="35"/>
  <c r="S33" i="35" s="1"/>
  <c r="J33" i="35"/>
  <c r="AC33" i="35" s="1"/>
  <c r="F30" i="35"/>
  <c r="S30" i="35" s="1"/>
  <c r="E89" i="35"/>
  <c r="F89" i="35" s="1"/>
  <c r="G89" i="35" s="1"/>
  <c r="H89" i="35" s="1"/>
  <c r="I89" i="35" s="1"/>
  <c r="J89" i="35" s="1"/>
  <c r="K89" i="35" s="1"/>
  <c r="L89" i="35" s="1"/>
  <c r="M89" i="35" s="1"/>
  <c r="H10" i="36"/>
  <c r="AB10" i="36" s="1"/>
  <c r="J14" i="36"/>
  <c r="AC14" i="36" s="1"/>
  <c r="H14" i="36"/>
  <c r="U14" i="36" s="1"/>
  <c r="F28" i="36"/>
  <c r="AA28" i="36" s="1"/>
  <c r="J13" i="21"/>
  <c r="AC13"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F11" i="35"/>
  <c r="S11" i="35" s="1"/>
  <c r="J26" i="36"/>
  <c r="W26" i="36" s="1"/>
  <c r="H28" i="36"/>
  <c r="U28" i="36" s="1"/>
  <c r="H32" i="36"/>
  <c r="AB32" i="36" s="1"/>
  <c r="J32" i="36"/>
  <c r="W32" i="36" s="1"/>
  <c r="J11" i="36"/>
  <c r="AC11" i="36" s="1"/>
  <c r="H11" i="36"/>
  <c r="U11" i="36" s="1"/>
  <c r="F11" i="36"/>
  <c r="AA11" i="36" s="1"/>
  <c r="H13" i="36"/>
  <c r="AB13" i="36" s="1"/>
  <c r="J13" i="36"/>
  <c r="AC13" i="36" s="1"/>
  <c r="F13" i="36"/>
  <c r="S13" i="36" s="1"/>
  <c r="E89" i="37"/>
  <c r="F89" i="37" s="1"/>
  <c r="G89" i="37" s="1"/>
  <c r="H89" i="37" s="1"/>
  <c r="I89" i="37" s="1"/>
  <c r="J89" i="37" s="1"/>
  <c r="K89" i="37" s="1"/>
  <c r="L89" i="37" s="1"/>
  <c r="M89" i="37" s="1"/>
  <c r="J29" i="37"/>
  <c r="W29" i="37"/>
  <c r="F29" i="37"/>
  <c r="S29" i="37"/>
  <c r="F105" i="37"/>
  <c r="H36" i="37"/>
  <c r="AB36" i="37" s="1"/>
  <c r="F107" i="37"/>
  <c r="J37" i="37"/>
  <c r="AC37" i="37" s="1"/>
  <c r="H37" i="37"/>
  <c r="U37" i="37" s="1"/>
  <c r="H40" i="37"/>
  <c r="U40" i="37" s="1"/>
  <c r="J40" i="37"/>
  <c r="AC40" i="37" s="1"/>
  <c r="F40" i="37"/>
  <c r="AA40" i="37" s="1"/>
  <c r="AC12" i="40"/>
  <c r="W12" i="40"/>
  <c r="H14" i="33"/>
  <c r="U14" i="33" s="1"/>
  <c r="F14" i="33"/>
  <c r="J14" i="33"/>
  <c r="H30" i="33"/>
  <c r="AB30" i="33" s="1"/>
  <c r="F30" i="33"/>
  <c r="J30" i="33"/>
  <c r="H44" i="33"/>
  <c r="J44" i="33"/>
  <c r="AC44" i="33"/>
  <c r="F44" i="33"/>
  <c r="S44" i="33"/>
  <c r="J46" i="33"/>
  <c r="AC46" i="33"/>
  <c r="F46" i="33"/>
  <c r="AA46" i="33"/>
  <c r="H46" i="33"/>
  <c r="AB46" i="33"/>
  <c r="H13" i="34"/>
  <c r="U13" i="34"/>
  <c r="J13" i="34"/>
  <c r="W13" i="34"/>
  <c r="F13" i="34"/>
  <c r="AA13" i="34" s="1"/>
  <c r="J29" i="34"/>
  <c r="F29" i="34"/>
  <c r="S29" i="34"/>
  <c r="H29" i="34"/>
  <c r="AB29" i="34" s="1"/>
  <c r="J31" i="34"/>
  <c r="AC31" i="34" s="1"/>
  <c r="H31" i="34"/>
  <c r="F31" i="34"/>
  <c r="S31" i="34" s="1"/>
  <c r="H45" i="34"/>
  <c r="U45" i="34" s="1"/>
  <c r="J45" i="34"/>
  <c r="W45" i="34" s="1"/>
  <c r="F45" i="34"/>
  <c r="S45" i="34" s="1"/>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s="1"/>
  <c r="J13" i="37"/>
  <c r="W13" i="37" s="1"/>
  <c r="F28" i="37"/>
  <c r="AA28" i="37" s="1"/>
  <c r="J28" i="37"/>
  <c r="AC28" i="37" s="1"/>
  <c r="H28" i="37"/>
  <c r="H38" i="37"/>
  <c r="AB38" i="37" s="1"/>
  <c r="J38" i="37"/>
  <c r="AC38" i="37" s="1"/>
  <c r="F38" i="37"/>
  <c r="S38" i="37" s="1"/>
  <c r="F43" i="39"/>
  <c r="AA43" i="39" s="1"/>
  <c r="H43" i="39"/>
  <c r="J14" i="39"/>
  <c r="AC14" i="39" s="1"/>
  <c r="F14" i="39"/>
  <c r="H14" i="39"/>
  <c r="AB14" i="39" s="1"/>
  <c r="F12" i="40"/>
  <c r="S12" i="40" s="1"/>
  <c r="H12" i="40"/>
  <c r="AB12" i="40" s="1"/>
  <c r="H30" i="40"/>
  <c r="AB30" i="40" s="1"/>
  <c r="F33" i="40"/>
  <c r="AA33" i="40" s="1"/>
  <c r="H33" i="40"/>
  <c r="U33" i="40" s="1"/>
  <c r="J35" i="40"/>
  <c r="AC35" i="40" s="1"/>
  <c r="J37" i="40"/>
  <c r="AC37" i="40" s="1"/>
  <c r="H13" i="40"/>
  <c r="U13" i="40" s="1"/>
  <c r="J13" i="40"/>
  <c r="W13" i="40" s="1"/>
  <c r="F13" i="40"/>
  <c r="AA13" i="40" s="1"/>
  <c r="F14" i="37"/>
  <c r="F27" i="37"/>
  <c r="AA27" i="37" s="1"/>
  <c r="F13" i="39"/>
  <c r="J13" i="39"/>
  <c r="W13" i="39" s="1"/>
  <c r="H13" i="39"/>
  <c r="H14" i="40"/>
  <c r="AB14" i="40"/>
  <c r="J14" i="40"/>
  <c r="W14" i="40"/>
  <c r="F14" i="40"/>
  <c r="AA14" i="40"/>
  <c r="J14" i="37"/>
  <c r="AC14" i="37"/>
  <c r="J27" i="37"/>
  <c r="AC27" i="37"/>
  <c r="AA44" i="33"/>
  <c r="AA13" i="35"/>
  <c r="U46" i="33"/>
  <c r="J36" i="37"/>
  <c r="AC36" i="37" s="1"/>
  <c r="G105" i="37"/>
  <c r="J10" i="36"/>
  <c r="AC10" i="36" s="1"/>
  <c r="AB26" i="33"/>
  <c r="AB30" i="21"/>
  <c r="W31" i="34"/>
  <c r="W13" i="36"/>
  <c r="S11" i="36"/>
  <c r="AB46" i="34"/>
  <c r="AC30" i="34"/>
  <c r="AA14" i="34"/>
  <c r="S45" i="33"/>
  <c r="AB45" i="33"/>
  <c r="AB31" i="33"/>
  <c r="U31" i="33"/>
  <c r="W29" i="33"/>
  <c r="AC28" i="21"/>
  <c r="S44" i="34"/>
  <c r="BA586" i="3"/>
  <c r="F17" i="21"/>
  <c r="AA17" i="21" s="1"/>
  <c r="H17" i="21"/>
  <c r="AB17" i="21" s="1"/>
  <c r="F15" i="21"/>
  <c r="S15" i="21" s="1"/>
  <c r="J41" i="39"/>
  <c r="W41" i="39" s="1"/>
  <c r="W44" i="39"/>
  <c r="W35"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AZ518" i="3" s="1"/>
  <c r="BL514" i="3"/>
  <c r="BL510" i="3"/>
  <c r="BL504" i="3"/>
  <c r="BL500" i="3"/>
  <c r="BL496" i="3"/>
  <c r="G493" i="3"/>
  <c r="BA584" i="3"/>
  <c r="BA582" i="3"/>
  <c r="AZ582" i="3" s="1"/>
  <c r="BA580" i="3"/>
  <c r="AZ580" i="3" s="1"/>
  <c r="BA578" i="3"/>
  <c r="AZ578" i="3" s="1"/>
  <c r="BA576" i="3"/>
  <c r="BA574" i="3"/>
  <c r="AZ574" i="3" s="1"/>
  <c r="BA572" i="3"/>
  <c r="AZ572" i="3" s="1"/>
  <c r="BA570" i="3"/>
  <c r="AZ570" i="3" s="1"/>
  <c r="BA568" i="3"/>
  <c r="BA566" i="3"/>
  <c r="AZ566" i="3" s="1"/>
  <c r="BA564" i="3"/>
  <c r="AZ564" i="3" s="1"/>
  <c r="BA562" i="3"/>
  <c r="AZ562" i="3" s="1"/>
  <c r="BA560" i="3"/>
  <c r="BA558" i="3"/>
  <c r="BA556" i="3"/>
  <c r="AZ556" i="3" s="1"/>
  <c r="BA554" i="3"/>
  <c r="AZ554" i="3" s="1"/>
  <c r="BA552" i="3"/>
  <c r="BA548" i="3"/>
  <c r="BA546" i="3"/>
  <c r="BA544" i="3"/>
  <c r="AZ544" i="3" s="1"/>
  <c r="BA542" i="3"/>
  <c r="AZ542" i="3" s="1"/>
  <c r="BA540" i="3"/>
  <c r="BA538" i="3"/>
  <c r="BA536" i="3"/>
  <c r="AZ536" i="3" s="1"/>
  <c r="BA534" i="3"/>
  <c r="AZ534" i="3" s="1"/>
  <c r="BA532" i="3"/>
  <c r="AZ532" i="3" s="1"/>
  <c r="BA530" i="3"/>
  <c r="BA528" i="3"/>
  <c r="AZ528" i="3"/>
  <c r="BA526" i="3"/>
  <c r="AZ526" i="3"/>
  <c r="BA524" i="3"/>
  <c r="AZ524" i="3"/>
  <c r="BA522" i="3"/>
  <c r="BA520" i="3"/>
  <c r="AZ520" i="3" s="1"/>
  <c r="BA518" i="3"/>
  <c r="BA516" i="3"/>
  <c r="AZ516" i="3"/>
  <c r="BA514" i="3"/>
  <c r="BA512" i="3"/>
  <c r="BA510" i="3"/>
  <c r="BA508" i="3"/>
  <c r="BA506" i="3"/>
  <c r="BA504" i="3"/>
  <c r="AZ504" i="3" s="1"/>
  <c r="BA502" i="3"/>
  <c r="BA500" i="3"/>
  <c r="BA498" i="3"/>
  <c r="AZ498" i="3" s="1"/>
  <c r="BA496" i="3"/>
  <c r="BA494" i="3"/>
  <c r="BA587" i="3"/>
  <c r="AZ587" i="3" s="1"/>
  <c r="BA583" i="3"/>
  <c r="BA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G583" i="3"/>
  <c r="G581" i="3"/>
  <c r="G579" i="3"/>
  <c r="G577" i="3"/>
  <c r="G575" i="3"/>
  <c r="G573" i="3"/>
  <c r="G571" i="3"/>
  <c r="G569" i="3"/>
  <c r="G567" i="3"/>
  <c r="G565" i="3"/>
  <c r="G563" i="3"/>
  <c r="G561" i="3"/>
  <c r="BL558" i="3"/>
  <c r="BA557" i="3"/>
  <c r="AC557" i="3"/>
  <c r="G557" i="3" s="1"/>
  <c r="BQ557" i="3"/>
  <c r="BL557" i="3" s="1"/>
  <c r="AZ557" i="3" s="1"/>
  <c r="BQ583" i="3"/>
  <c r="BL583" i="3" s="1"/>
  <c r="BQ581" i="3"/>
  <c r="BL581" i="3" s="1"/>
  <c r="AZ581" i="3" s="1"/>
  <c r="BQ579" i="3"/>
  <c r="BL579" i="3" s="1"/>
  <c r="AZ579" i="3" s="1"/>
  <c r="BQ577" i="3"/>
  <c r="BL577" i="3" s="1"/>
  <c r="BQ575" i="3"/>
  <c r="BL575" i="3" s="1"/>
  <c r="AZ575" i="3" s="1"/>
  <c r="BQ573" i="3"/>
  <c r="BL573" i="3"/>
  <c r="BQ571" i="3"/>
  <c r="BL571" i="3" s="1"/>
  <c r="AZ571" i="3" s="1"/>
  <c r="BQ569" i="3"/>
  <c r="BL569" i="3" s="1"/>
  <c r="BQ567" i="3"/>
  <c r="BL567" i="3" s="1"/>
  <c r="AZ567" i="3" s="1"/>
  <c r="BQ565" i="3"/>
  <c r="BL565" i="3"/>
  <c r="BQ563" i="3"/>
  <c r="BL563" i="3" s="1"/>
  <c r="AZ563" i="3" s="1"/>
  <c r="BQ561" i="3"/>
  <c r="BL561" i="3" s="1"/>
  <c r="AZ561" i="3" s="1"/>
  <c r="BQ559" i="3"/>
  <c r="BL559" i="3"/>
  <c r="AZ559" i="3" s="1"/>
  <c r="G559" i="3"/>
  <c r="G555" i="3"/>
  <c r="G553" i="3"/>
  <c r="G549" i="3"/>
  <c r="G547" i="3"/>
  <c r="G545" i="3"/>
  <c r="G543" i="3"/>
  <c r="G541" i="3"/>
  <c r="G539" i="3"/>
  <c r="G537" i="3"/>
  <c r="BQ555" i="3"/>
  <c r="BL555" i="3" s="1"/>
  <c r="BQ553" i="3"/>
  <c r="BL553" i="3" s="1"/>
  <c r="AZ553" i="3" s="1"/>
  <c r="BQ551" i="3"/>
  <c r="BL551" i="3" s="1"/>
  <c r="BQ549" i="3"/>
  <c r="BQ547" i="3"/>
  <c r="BL547" i="3" s="1"/>
  <c r="AZ547" i="3" s="1"/>
  <c r="BQ545" i="3"/>
  <c r="BL545" i="3" s="1"/>
  <c r="AZ545" i="3" s="1"/>
  <c r="BQ543" i="3"/>
  <c r="BL543" i="3"/>
  <c r="AZ543" i="3" s="1"/>
  <c r="BQ541" i="3"/>
  <c r="BL541" i="3" s="1"/>
  <c r="BQ539" i="3"/>
  <c r="BL539" i="3" s="1"/>
  <c r="AZ539" i="3" s="1"/>
  <c r="BQ537" i="3"/>
  <c r="BL537" i="3" s="1"/>
  <c r="AZ537" i="3" s="1"/>
  <c r="BQ535" i="3"/>
  <c r="BL535" i="3"/>
  <c r="AZ535" i="3" s="1"/>
  <c r="BQ533" i="3"/>
  <c r="BL533" i="3" s="1"/>
  <c r="BQ531" i="3"/>
  <c r="BL531" i="3" s="1"/>
  <c r="AZ531" i="3" s="1"/>
  <c r="BQ529" i="3"/>
  <c r="BL529" i="3" s="1"/>
  <c r="AZ529" i="3" s="1"/>
  <c r="BQ527" i="3"/>
  <c r="BL527" i="3"/>
  <c r="AZ527" i="3" s="1"/>
  <c r="BQ525" i="3"/>
  <c r="BL525" i="3" s="1"/>
  <c r="BQ523" i="3"/>
  <c r="BL523" i="3" s="1"/>
  <c r="AZ523" i="3" s="1"/>
  <c r="BA521" i="3"/>
  <c r="AC521" i="3"/>
  <c r="G521" i="3" s="1"/>
  <c r="BQ521" i="3"/>
  <c r="BL521" i="3" s="1"/>
  <c r="BL520" i="3"/>
  <c r="G519" i="3"/>
  <c r="G517" i="3"/>
  <c r="G515" i="3"/>
  <c r="G513" i="3"/>
  <c r="G511" i="3"/>
  <c r="BQ519" i="3"/>
  <c r="BL519" i="3"/>
  <c r="BQ517" i="3"/>
  <c r="BL517" i="3" s="1"/>
  <c r="AZ517" i="3" s="1"/>
  <c r="BQ515" i="3"/>
  <c r="BL515" i="3" s="1"/>
  <c r="BQ513" i="3"/>
  <c r="BL513" i="3" s="1"/>
  <c r="AZ513" i="3" s="1"/>
  <c r="BQ511" i="3"/>
  <c r="BL511" i="3"/>
  <c r="BA509" i="3"/>
  <c r="AC509" i="3"/>
  <c r="BQ509" i="3"/>
  <c r="BL509" i="3" s="1"/>
  <c r="AZ509" i="3" s="1"/>
  <c r="BL508" i="3"/>
  <c r="G507" i="3"/>
  <c r="G505" i="3"/>
  <c r="G503" i="3"/>
  <c r="G501" i="3"/>
  <c r="G499" i="3"/>
  <c r="G497" i="3"/>
  <c r="G495" i="3"/>
  <c r="BQ507" i="3"/>
  <c r="BL507" i="3" s="1"/>
  <c r="AZ507" i="3" s="1"/>
  <c r="BQ505" i="3"/>
  <c r="BL505" i="3" s="1"/>
  <c r="AZ505" i="3" s="1"/>
  <c r="BQ503" i="3"/>
  <c r="BL503" i="3"/>
  <c r="AZ503" i="3" s="1"/>
  <c r="BQ501" i="3"/>
  <c r="BL501" i="3" s="1"/>
  <c r="BQ499" i="3"/>
  <c r="BL499" i="3" s="1"/>
  <c r="AZ499" i="3" s="1"/>
  <c r="BQ497" i="3"/>
  <c r="BL497" i="3" s="1"/>
  <c r="BQ495" i="3"/>
  <c r="BL495" i="3" s="1"/>
  <c r="AZ495" i="3" s="1"/>
  <c r="BQ493" i="3"/>
  <c r="AZ584" i="3"/>
  <c r="S505" i="31"/>
  <c r="S503" i="31"/>
  <c r="S501" i="31"/>
  <c r="S499" i="31"/>
  <c r="O27" i="31"/>
  <c r="O28" i="31"/>
  <c r="O26" i="31"/>
  <c r="M27" i="31"/>
  <c r="M28" i="31"/>
  <c r="M26" i="31"/>
  <c r="I26" i="31"/>
  <c r="I25" i="31"/>
  <c r="S25" i="31"/>
  <c r="Q26" i="31"/>
  <c r="K26" i="31"/>
  <c r="I27" i="31"/>
  <c r="Q27" i="31"/>
  <c r="K27" i="31"/>
  <c r="I28" i="31"/>
  <c r="Q28" i="31"/>
  <c r="K28" i="31"/>
  <c r="AA12" i="21"/>
  <c r="H25" i="21"/>
  <c r="U25" i="21"/>
  <c r="F25" i="21"/>
  <c r="S25" i="21"/>
  <c r="J25" i="21"/>
  <c r="AC25" i="21"/>
  <c r="E125" i="33"/>
  <c r="F125" i="33"/>
  <c r="H43" i="33"/>
  <c r="AB43" i="33"/>
  <c r="H17" i="37"/>
  <c r="U17" i="37" s="1"/>
  <c r="AB27" i="37"/>
  <c r="AA36" i="39"/>
  <c r="F39" i="33"/>
  <c r="AA39" i="33"/>
  <c r="E123" i="33"/>
  <c r="F42" i="33"/>
  <c r="AA42" i="33" s="1"/>
  <c r="H28" i="34"/>
  <c r="AB28" i="34" s="1"/>
  <c r="F14" i="36"/>
  <c r="AA14" i="36" s="1"/>
  <c r="F22" i="36"/>
  <c r="S22" i="36" s="1"/>
  <c r="F26" i="36"/>
  <c r="S26" i="36" s="1"/>
  <c r="H27" i="34"/>
  <c r="AB27" i="34" s="1"/>
  <c r="H35" i="34"/>
  <c r="U35" i="34" s="1"/>
  <c r="F41" i="34"/>
  <c r="S41" i="34" s="1"/>
  <c r="H41" i="34"/>
  <c r="U41" i="34" s="1"/>
  <c r="J41" i="34"/>
  <c r="AC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H19" i="37"/>
  <c r="AB19" i="37" s="1"/>
  <c r="F123" i="33"/>
  <c r="G123" i="33" s="1"/>
  <c r="H123" i="33" s="1"/>
  <c r="I123" i="33" s="1"/>
  <c r="J123" i="33" s="1"/>
  <c r="K123" i="33" s="1"/>
  <c r="L123" i="33" s="1"/>
  <c r="M123" i="33" s="1"/>
  <c r="H42" i="33"/>
  <c r="AB42" i="33" s="1"/>
  <c r="G125" i="33"/>
  <c r="J43" i="33"/>
  <c r="AC43" i="33"/>
  <c r="U43" i="33"/>
  <c r="S28" i="31"/>
  <c r="S27" i="31"/>
  <c r="S26" i="31"/>
  <c r="U14" i="40"/>
  <c r="U35" i="35"/>
  <c r="W14" i="37"/>
  <c r="U33" i="37"/>
  <c r="U39" i="37"/>
  <c r="W26" i="37"/>
  <c r="W47" i="34"/>
  <c r="AB13" i="34"/>
  <c r="AA13" i="33"/>
  <c r="AC31" i="33"/>
  <c r="AC45" i="33"/>
  <c r="W44" i="33"/>
  <c r="U19" i="21"/>
  <c r="U26" i="21"/>
  <c r="U12" i="21"/>
  <c r="AB38" i="21"/>
  <c r="F43" i="33"/>
  <c r="AA43" i="33" s="1"/>
  <c r="W16" i="35"/>
  <c r="W40" i="37"/>
  <c r="G107" i="37"/>
  <c r="H107" i="37" s="1"/>
  <c r="I107" i="37" s="1"/>
  <c r="J107" i="37" s="1"/>
  <c r="K107" i="37" s="1"/>
  <c r="L107" i="37" s="1"/>
  <c r="M107" i="37" s="1"/>
  <c r="H37" i="21"/>
  <c r="U37" i="21" s="1"/>
  <c r="S42" i="21"/>
  <c r="H19" i="34"/>
  <c r="AB19" i="34" s="1"/>
  <c r="F36" i="35"/>
  <c r="S36" i="35" s="1"/>
  <c r="J9" i="37"/>
  <c r="W9" i="37" s="1"/>
  <c r="H9" i="37"/>
  <c r="U9" i="37" s="1"/>
  <c r="F9" i="37"/>
  <c r="S9" i="37" s="1"/>
  <c r="J12" i="37"/>
  <c r="W12" i="37" s="1"/>
  <c r="H12" i="37"/>
  <c r="AB12" i="37" s="1"/>
  <c r="F12" i="37"/>
  <c r="S12" i="37" s="1"/>
  <c r="E71" i="37"/>
  <c r="F71" i="37" s="1"/>
  <c r="G71" i="37" s="1"/>
  <c r="F15" i="37"/>
  <c r="AA15" i="37"/>
  <c r="E94" i="37"/>
  <c r="F31" i="37"/>
  <c r="S31" i="37" s="1"/>
  <c r="F12" i="39"/>
  <c r="S12" i="39" s="1"/>
  <c r="J42" i="39"/>
  <c r="AC42" i="39" s="1"/>
  <c r="H21" i="40"/>
  <c r="AB21" i="40" s="1"/>
  <c r="AC12" i="37"/>
  <c r="F94" i="37"/>
  <c r="G94" i="37"/>
  <c r="H94" i="37" s="1"/>
  <c r="I94" i="37" s="1"/>
  <c r="J94" i="37" s="1"/>
  <c r="K94" i="37" s="1"/>
  <c r="L94" i="37" s="1"/>
  <c r="M94" i="37" s="1"/>
  <c r="H31" i="37"/>
  <c r="U31" i="37"/>
  <c r="J15" i="37"/>
  <c r="W15" i="37"/>
  <c r="AT6" i="3"/>
  <c r="H5" i="3"/>
  <c r="AA25" i="21"/>
  <c r="H19" i="40"/>
  <c r="U19" i="40" s="1"/>
  <c r="F88" i="40"/>
  <c r="G88" i="40" s="1"/>
  <c r="F19" i="40"/>
  <c r="S19" i="40" s="1"/>
  <c r="S14" i="40"/>
  <c r="AC13" i="40"/>
  <c r="AB33" i="40"/>
  <c r="W23" i="39"/>
  <c r="AC43" i="39"/>
  <c r="W43" i="39"/>
  <c r="U45" i="39"/>
  <c r="AB45" i="39"/>
  <c r="AB44" i="39"/>
  <c r="U44" i="39"/>
  <c r="H37" i="39"/>
  <c r="AB37" i="39" s="1"/>
  <c r="AC37" i="39"/>
  <c r="W37" i="39"/>
  <c r="H25" i="39"/>
  <c r="AB25" i="39" s="1"/>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7" i="34"/>
  <c r="C7" i="36"/>
  <c r="W35" i="40"/>
  <c r="A118" i="9"/>
  <c r="A4" i="52"/>
  <c r="B41" i="72" s="1"/>
  <c r="J11" i="39"/>
  <c r="W11" i="39"/>
  <c r="F11" i="39"/>
  <c r="AA11" i="39"/>
  <c r="S11" i="39"/>
  <c r="G4" i="4"/>
  <c r="I4" i="4"/>
  <c r="A2" i="9"/>
  <c r="F61" i="43"/>
  <c r="H64" i="43" s="1"/>
  <c r="AZ20" i="3"/>
  <c r="AZ32" i="3"/>
  <c r="BL549" i="3"/>
  <c r="AZ549" i="3" s="1"/>
  <c r="AZ494" i="3"/>
  <c r="AZ502" i="3"/>
  <c r="AZ514" i="3"/>
  <c r="AZ522" i="3"/>
  <c r="AZ530" i="3"/>
  <c r="AZ546" i="3"/>
  <c r="G546" i="3"/>
  <c r="G524" i="3"/>
  <c r="G303" i="3"/>
  <c r="BL304" i="3"/>
  <c r="G305" i="3"/>
  <c r="BL306" i="3"/>
  <c r="BA308" i="3"/>
  <c r="AZ308" i="3" s="1"/>
  <c r="BA309" i="3"/>
  <c r="BL309" i="3"/>
  <c r="G310" i="3"/>
  <c r="BA311" i="3"/>
  <c r="G319" i="3"/>
  <c r="BL320" i="3"/>
  <c r="G321" i="3"/>
  <c r="BL322" i="3"/>
  <c r="BA324" i="3"/>
  <c r="BA325" i="3"/>
  <c r="BL325" i="3"/>
  <c r="G326" i="3"/>
  <c r="BA327" i="3"/>
  <c r="AZ327" i="3" s="1"/>
  <c r="G335" i="3"/>
  <c r="BL336" i="3"/>
  <c r="G337" i="3"/>
  <c r="BL338" i="3"/>
  <c r="BA340" i="3"/>
  <c r="AZ340" i="3" s="1"/>
  <c r="BA341" i="3"/>
  <c r="BL341" i="3"/>
  <c r="BA343" i="3"/>
  <c r="BA345" i="3"/>
  <c r="BL355" i="3"/>
  <c r="G356" i="3"/>
  <c r="BL357" i="3"/>
  <c r="BA359" i="3"/>
  <c r="AZ359" i="3"/>
  <c r="BA360" i="3"/>
  <c r="BL360" i="3"/>
  <c r="AZ360" i="3" s="1"/>
  <c r="G361" i="3"/>
  <c r="BA362" i="3"/>
  <c r="AZ362" i="3" s="1"/>
  <c r="G370" i="3"/>
  <c r="BL371" i="3"/>
  <c r="G372" i="3"/>
  <c r="BL373" i="3"/>
  <c r="BA375" i="3"/>
  <c r="AZ375" i="3" s="1"/>
  <c r="BA376" i="3"/>
  <c r="BL376" i="3"/>
  <c r="G377" i="3"/>
  <c r="BA378" i="3"/>
  <c r="AZ378" i="3"/>
  <c r="BL378" i="3"/>
  <c r="G379" i="3"/>
  <c r="BA380" i="3"/>
  <c r="G388" i="3"/>
  <c r="BL389" i="3"/>
  <c r="G390" i="3"/>
  <c r="BL391" i="3"/>
  <c r="BA393" i="3"/>
  <c r="BA394" i="3"/>
  <c r="BL394" i="3"/>
  <c r="G113" i="3"/>
  <c r="BA115" i="3"/>
  <c r="BL116" i="3"/>
  <c r="AZ116" i="3" s="1"/>
  <c r="G117" i="3"/>
  <c r="BA119" i="3"/>
  <c r="AZ119" i="3" s="1"/>
  <c r="BL120" i="3"/>
  <c r="AZ120" i="3" s="1"/>
  <c r="G121" i="3"/>
  <c r="BA123" i="3"/>
  <c r="AZ123" i="3" s="1"/>
  <c r="BL124" i="3"/>
  <c r="G125" i="3"/>
  <c r="BA127" i="3"/>
  <c r="BL128" i="3"/>
  <c r="G129" i="3"/>
  <c r="BA131" i="3"/>
  <c r="BL132" i="3"/>
  <c r="AZ132" i="3"/>
  <c r="G133" i="3"/>
  <c r="BA135" i="3"/>
  <c r="AZ135" i="3" s="1"/>
  <c r="BL136" i="3"/>
  <c r="G137" i="3"/>
  <c r="BA139" i="3"/>
  <c r="AZ139" i="3" s="1"/>
  <c r="BL140" i="3"/>
  <c r="G141" i="3"/>
  <c r="BA143" i="3"/>
  <c r="AZ143" i="3" s="1"/>
  <c r="BL144" i="3"/>
  <c r="G145" i="3"/>
  <c r="BA147" i="3"/>
  <c r="AZ147" i="3" s="1"/>
  <c r="BL148" i="3"/>
  <c r="G149" i="3"/>
  <c r="BA151" i="3"/>
  <c r="AZ151" i="3" s="1"/>
  <c r="BL152" i="3"/>
  <c r="AZ152" i="3" s="1"/>
  <c r="G153" i="3"/>
  <c r="BA155" i="3"/>
  <c r="BL156" i="3"/>
  <c r="AZ156" i="3" s="1"/>
  <c r="G157" i="3"/>
  <c r="BA159" i="3"/>
  <c r="AZ159" i="3"/>
  <c r="BL160" i="3"/>
  <c r="G161" i="3"/>
  <c r="BA163" i="3"/>
  <c r="AZ163" i="3"/>
  <c r="BL164" i="3"/>
  <c r="AZ164" i="3"/>
  <c r="G165" i="3"/>
  <c r="BA167" i="3"/>
  <c r="BL168" i="3"/>
  <c r="G169" i="3"/>
  <c r="BA171" i="3"/>
  <c r="AZ171" i="3" s="1"/>
  <c r="BL172" i="3"/>
  <c r="AZ172" i="3" s="1"/>
  <c r="G173" i="3"/>
  <c r="BA175" i="3"/>
  <c r="BL176" i="3"/>
  <c r="G177" i="3"/>
  <c r="BA179" i="3"/>
  <c r="BL180" i="3"/>
  <c r="AZ180" i="3" s="1"/>
  <c r="G181" i="3"/>
  <c r="BA183" i="3"/>
  <c r="AZ183" i="3" s="1"/>
  <c r="BL184" i="3"/>
  <c r="G185" i="3"/>
  <c r="BA187" i="3"/>
  <c r="AZ187" i="3" s="1"/>
  <c r="BL188" i="3"/>
  <c r="AZ188" i="3" s="1"/>
  <c r="G189" i="3"/>
  <c r="BA191" i="3"/>
  <c r="BL192" i="3"/>
  <c r="G193" i="3"/>
  <c r="BA195" i="3"/>
  <c r="BL196" i="3"/>
  <c r="AZ196" i="3"/>
  <c r="G197" i="3"/>
  <c r="BA199" i="3"/>
  <c r="AZ199" i="3" s="1"/>
  <c r="BL200" i="3"/>
  <c r="G201" i="3"/>
  <c r="BA203" i="3"/>
  <c r="AZ203" i="3" s="1"/>
  <c r="BL204" i="3"/>
  <c r="AZ204" i="3" s="1"/>
  <c r="AZ51" i="3"/>
  <c r="AZ55" i="3"/>
  <c r="AZ67" i="3"/>
  <c r="AZ71" i="3"/>
  <c r="AZ83" i="3"/>
  <c r="AZ136" i="3"/>
  <c r="AZ144" i="3"/>
  <c r="AZ168" i="3"/>
  <c r="AZ176" i="3"/>
  <c r="AZ192" i="3"/>
  <c r="AZ85" i="3"/>
  <c r="AZ93" i="3"/>
  <c r="AZ101" i="3"/>
  <c r="AZ128" i="3"/>
  <c r="G534" i="3"/>
  <c r="G530" i="3"/>
  <c r="G522" i="3"/>
  <c r="G516" i="3"/>
  <c r="G512" i="3"/>
  <c r="G506" i="3"/>
  <c r="G498" i="3"/>
  <c r="G494" i="3"/>
  <c r="G16" i="3"/>
  <c r="G15" i="3"/>
  <c r="BA304" i="3"/>
  <c r="BA305" i="3"/>
  <c r="AZ305" i="3" s="1"/>
  <c r="BL305" i="3"/>
  <c r="G306" i="3"/>
  <c r="G309" i="3"/>
  <c r="BL310" i="3"/>
  <c r="BA312" i="3"/>
  <c r="BA313" i="3"/>
  <c r="BL313" i="3"/>
  <c r="AZ313" i="3"/>
  <c r="G314" i="3"/>
  <c r="G317" i="3"/>
  <c r="BL318" i="3"/>
  <c r="BA320" i="3"/>
  <c r="AZ320" i="3" s="1"/>
  <c r="BA321" i="3"/>
  <c r="BL321" i="3"/>
  <c r="G322" i="3"/>
  <c r="G325" i="3"/>
  <c r="BL326" i="3"/>
  <c r="BA328" i="3"/>
  <c r="AZ328" i="3" s="1"/>
  <c r="BA329" i="3"/>
  <c r="BL329" i="3"/>
  <c r="AZ329" i="3" s="1"/>
  <c r="G330" i="3"/>
  <c r="G333" i="3"/>
  <c r="BL334" i="3"/>
  <c r="BA336" i="3"/>
  <c r="BA337" i="3"/>
  <c r="AZ337" i="3" s="1"/>
  <c r="BL337" i="3"/>
  <c r="G338" i="3"/>
  <c r="G341" i="3"/>
  <c r="BA342" i="3"/>
  <c r="BL342" i="3"/>
  <c r="BA344" i="3"/>
  <c r="BL344" i="3"/>
  <c r="AZ344" i="3"/>
  <c r="BA346" i="3"/>
  <c r="AZ346" i="3"/>
  <c r="BA347" i="3"/>
  <c r="AZ347" i="3"/>
  <c r="BL347" i="3"/>
  <c r="G350" i="3"/>
  <c r="BA351" i="3"/>
  <c r="AZ351" i="3"/>
  <c r="BL351" i="3"/>
  <c r="G352" i="3"/>
  <c r="G354" i="3"/>
  <c r="BA355" i="3"/>
  <c r="AZ355" i="3" s="1"/>
  <c r="BA356" i="3"/>
  <c r="BL356" i="3"/>
  <c r="G357" i="3"/>
  <c r="G360" i="3"/>
  <c r="BL361" i="3"/>
  <c r="BA363" i="3"/>
  <c r="BA364" i="3"/>
  <c r="BL364" i="3"/>
  <c r="G365" i="3"/>
  <c r="G368" i="3"/>
  <c r="BL369" i="3"/>
  <c r="BA371" i="3"/>
  <c r="BA372" i="3"/>
  <c r="AZ372" i="3" s="1"/>
  <c r="BL372" i="3"/>
  <c r="G373" i="3"/>
  <c r="G376" i="3"/>
  <c r="BL377" i="3"/>
  <c r="BL379" i="3"/>
  <c r="BA381" i="3"/>
  <c r="BA382" i="3"/>
  <c r="BL382" i="3"/>
  <c r="G383" i="3"/>
  <c r="G386" i="3"/>
  <c r="BL387" i="3"/>
  <c r="BA389" i="3"/>
  <c r="AZ389" i="3" s="1"/>
  <c r="BA390" i="3"/>
  <c r="AZ390" i="3" s="1"/>
  <c r="BL390" i="3"/>
  <c r="G391" i="3"/>
  <c r="G394" i="3"/>
  <c r="AZ142" i="3"/>
  <c r="AZ150" i="3"/>
  <c r="AZ162" i="3"/>
  <c r="AZ170" i="3"/>
  <c r="AZ186" i="3"/>
  <c r="AZ202" i="3"/>
  <c r="AZ500" i="3"/>
  <c r="BA16" i="3"/>
  <c r="AZ16" i="3"/>
  <c r="BL303" i="3"/>
  <c r="G304" i="3"/>
  <c r="BA306" i="3"/>
  <c r="AZ306" i="3"/>
  <c r="BL307" i="3"/>
  <c r="G308" i="3"/>
  <c r="BA310" i="3"/>
  <c r="AZ310" i="3" s="1"/>
  <c r="BL311" i="3"/>
  <c r="AZ311" i="3" s="1"/>
  <c r="G312" i="3"/>
  <c r="BA314" i="3"/>
  <c r="AZ314" i="3"/>
  <c r="BL315" i="3"/>
  <c r="AZ315" i="3"/>
  <c r="G316" i="3"/>
  <c r="BA318" i="3"/>
  <c r="AZ318" i="3" s="1"/>
  <c r="BL319" i="3"/>
  <c r="AZ319" i="3" s="1"/>
  <c r="G320" i="3"/>
  <c r="BA322" i="3"/>
  <c r="AZ322" i="3" s="1"/>
  <c r="BL323" i="3"/>
  <c r="AZ323" i="3" s="1"/>
  <c r="G324" i="3"/>
  <c r="BA326" i="3"/>
  <c r="AZ326" i="3" s="1"/>
  <c r="BL327" i="3"/>
  <c r="G328" i="3"/>
  <c r="BA330" i="3"/>
  <c r="BL331" i="3"/>
  <c r="AZ331" i="3" s="1"/>
  <c r="G332" i="3"/>
  <c r="BA334" i="3"/>
  <c r="AZ334" i="3" s="1"/>
  <c r="BL335" i="3"/>
  <c r="G336" i="3"/>
  <c r="BA338" i="3"/>
  <c r="AZ338" i="3" s="1"/>
  <c r="BL339" i="3"/>
  <c r="G340" i="3"/>
  <c r="BL343" i="3"/>
  <c r="G344" i="3"/>
  <c r="G348" i="3"/>
  <c r="G355" i="3"/>
  <c r="AZ214" i="3"/>
  <c r="AZ222" i="3"/>
  <c r="G342" i="3"/>
  <c r="BL345" i="3"/>
  <c r="AZ345" i="3" s="1"/>
  <c r="G346" i="3"/>
  <c r="BL349" i="3"/>
  <c r="AZ349" i="3" s="1"/>
  <c r="BL352" i="3"/>
  <c r="G353" i="3"/>
  <c r="BA357" i="3"/>
  <c r="AZ357" i="3" s="1"/>
  <c r="BL358" i="3"/>
  <c r="G359" i="3"/>
  <c r="BA361" i="3"/>
  <c r="AZ361" i="3"/>
  <c r="BL362" i="3"/>
  <c r="G363" i="3"/>
  <c r="BA365" i="3"/>
  <c r="AZ365" i="3"/>
  <c r="BL366" i="3"/>
  <c r="AZ366" i="3"/>
  <c r="G367" i="3"/>
  <c r="BA369" i="3"/>
  <c r="AZ369" i="3" s="1"/>
  <c r="BL370" i="3"/>
  <c r="AZ370" i="3" s="1"/>
  <c r="G371" i="3"/>
  <c r="BA373" i="3"/>
  <c r="BL374" i="3"/>
  <c r="AZ374" i="3" s="1"/>
  <c r="G375" i="3"/>
  <c r="BA377" i="3"/>
  <c r="AZ377" i="3" s="1"/>
  <c r="AZ237" i="3"/>
  <c r="AZ245" i="3"/>
  <c r="AZ249" i="3"/>
  <c r="AZ253" i="3"/>
  <c r="AZ265" i="3"/>
  <c r="AZ269" i="3"/>
  <c r="AZ273" i="3"/>
  <c r="BA379" i="3"/>
  <c r="AZ379" i="3" s="1"/>
  <c r="BL380" i="3"/>
  <c r="G381" i="3"/>
  <c r="BA383" i="3"/>
  <c r="AZ383" i="3" s="1"/>
  <c r="BL384" i="3"/>
  <c r="AZ384" i="3" s="1"/>
  <c r="G385" i="3"/>
  <c r="BA387" i="3"/>
  <c r="AZ387" i="3" s="1"/>
  <c r="BL388" i="3"/>
  <c r="G389" i="3"/>
  <c r="BA391" i="3"/>
  <c r="AZ391" i="3" s="1"/>
  <c r="BL392" i="3"/>
  <c r="AZ392" i="3" s="1"/>
  <c r="G393" i="3"/>
  <c r="AZ263" i="3"/>
  <c r="AZ275" i="3"/>
  <c r="AZ287" i="3"/>
  <c r="AZ295" i="3"/>
  <c r="AZ299" i="3"/>
  <c r="BO5" i="3"/>
  <c r="BM5" i="3"/>
  <c r="BJ5" i="3"/>
  <c r="BH5" i="3"/>
  <c r="BF5" i="3"/>
  <c r="BD5" i="3"/>
  <c r="AZ309" i="3"/>
  <c r="AZ325" i="3"/>
  <c r="AZ333" i="3"/>
  <c r="AZ341" i="3"/>
  <c r="BQ5" i="3"/>
  <c r="AC5" i="3"/>
  <c r="AZ506" i="3"/>
  <c r="AZ496" i="3"/>
  <c r="G548" i="3"/>
  <c r="G538" i="3"/>
  <c r="G520" i="3"/>
  <c r="G502" i="3"/>
  <c r="BS5" i="3"/>
  <c r="BP5" i="3"/>
  <c r="BN5" i="3"/>
  <c r="BK5" i="3"/>
  <c r="BI5" i="3"/>
  <c r="BG5" i="3"/>
  <c r="BE5" i="3"/>
  <c r="BC5" i="3"/>
  <c r="G17" i="3"/>
  <c r="BA17" i="3"/>
  <c r="BT5" i="3"/>
  <c r="AZ350" i="3"/>
  <c r="AZ356" i="3"/>
  <c r="AZ364" i="3"/>
  <c r="AZ368" i="3"/>
  <c r="BA15" i="3"/>
  <c r="BB5" i="3"/>
  <c r="BR5" i="3"/>
  <c r="AZ380" i="3"/>
  <c r="AZ388" i="3"/>
  <c r="AZ394" i="3"/>
  <c r="G509" i="3"/>
  <c r="BL493" i="3"/>
  <c r="AZ493" i="3" s="1"/>
  <c r="AZ376" i="3"/>
  <c r="AZ382" i="3"/>
  <c r="U36" i="40"/>
  <c r="F83" i="43"/>
  <c r="H85" i="43" s="1"/>
  <c r="F50" i="43"/>
  <c r="H54" i="43" s="1"/>
  <c r="G54" i="43" s="1"/>
  <c r="K54" i="43" s="1"/>
  <c r="F72" i="43"/>
  <c r="H75" i="43" s="1"/>
  <c r="U17" i="39"/>
  <c r="S14" i="35"/>
  <c r="U43" i="21"/>
  <c r="U35" i="21"/>
  <c r="AC35" i="21"/>
  <c r="G10" i="1"/>
  <c r="AC11" i="39"/>
  <c r="W37" i="37"/>
  <c r="W44" i="34"/>
  <c r="AC44" i="34"/>
  <c r="S15" i="37"/>
  <c r="U13" i="37"/>
  <c r="U12" i="40"/>
  <c r="AA12" i="40"/>
  <c r="J37" i="33"/>
  <c r="W37" i="33" s="1"/>
  <c r="F106" i="33"/>
  <c r="G106" i="33"/>
  <c r="H106" i="33" s="1"/>
  <c r="I106" i="33" s="1"/>
  <c r="J106" i="33" s="1"/>
  <c r="K106" i="33" s="1"/>
  <c r="L106" i="33" s="1"/>
  <c r="M106" i="33" s="1"/>
  <c r="J34" i="33"/>
  <c r="W34" i="33"/>
  <c r="F33" i="34"/>
  <c r="S33" i="34" s="1"/>
  <c r="W12" i="36"/>
  <c r="AC12" i="36"/>
  <c r="H20" i="36"/>
  <c r="U20" i="36" s="1"/>
  <c r="J20" i="36"/>
  <c r="W20" i="36" s="1"/>
  <c r="W24" i="36"/>
  <c r="J27" i="36"/>
  <c r="W27" i="36" s="1"/>
  <c r="AB25" i="37"/>
  <c r="AC33" i="40"/>
  <c r="F111" i="40"/>
  <c r="G111" i="40" s="1"/>
  <c r="H111" i="40" s="1"/>
  <c r="I111" i="40" s="1"/>
  <c r="J111" i="40" s="1"/>
  <c r="K111" i="40" s="1"/>
  <c r="L111" i="40" s="1"/>
  <c r="M111" i="40" s="1"/>
  <c r="H35" i="40"/>
  <c r="AB35" i="40" s="1"/>
  <c r="AC29" i="35"/>
  <c r="W29" i="35"/>
  <c r="H35" i="37"/>
  <c r="U35" i="37" s="1"/>
  <c r="AC14" i="35"/>
  <c r="H20" i="35"/>
  <c r="U20" i="35" s="1"/>
  <c r="F20" i="35"/>
  <c r="AA20" i="35" s="1"/>
  <c r="AB29" i="36"/>
  <c r="U29" i="36"/>
  <c r="H32" i="37"/>
  <c r="AB32" i="37" s="1"/>
  <c r="F96" i="37"/>
  <c r="H27" i="40"/>
  <c r="U27" i="40" s="1"/>
  <c r="J27" i="40"/>
  <c r="AC27" i="40" s="1"/>
  <c r="F27" i="40"/>
  <c r="S27" i="40" s="1"/>
  <c r="J30" i="40"/>
  <c r="AC30" i="40" s="1"/>
  <c r="F30" i="40"/>
  <c r="AA30" i="40" s="1"/>
  <c r="AC21" i="40"/>
  <c r="S31" i="39"/>
  <c r="S11" i="40"/>
  <c r="E98" i="40"/>
  <c r="F98" i="40"/>
  <c r="G98" i="40" s="1"/>
  <c r="H98" i="40" s="1"/>
  <c r="I98" i="40" s="1"/>
  <c r="J98" i="40" s="1"/>
  <c r="K98" i="40" s="1"/>
  <c r="L98" i="40" s="1"/>
  <c r="M98" i="40" s="1"/>
  <c r="F10" i="33"/>
  <c r="S10" i="33" s="1"/>
  <c r="F34" i="33"/>
  <c r="S34" i="33" s="1"/>
  <c r="H34" i="33"/>
  <c r="U34" i="33" s="1"/>
  <c r="F35" i="33"/>
  <c r="S35" i="33" s="1"/>
  <c r="F39" i="34"/>
  <c r="S39" i="34" s="1"/>
  <c r="J39" i="34"/>
  <c r="W39" i="34" s="1"/>
  <c r="F43" i="34"/>
  <c r="AA43" i="34" s="1"/>
  <c r="H44" i="34"/>
  <c r="AB44" i="34" s="1"/>
  <c r="AC38" i="39"/>
  <c r="F39" i="39"/>
  <c r="S39" i="39" s="1"/>
  <c r="J39" i="39"/>
  <c r="AC39" i="39" s="1"/>
  <c r="E96" i="39"/>
  <c r="F96" i="39" s="1"/>
  <c r="G96" i="39" s="1"/>
  <c r="AZ353" i="3"/>
  <c r="C40" i="11"/>
  <c r="AZ215" i="3"/>
  <c r="AZ223" i="3"/>
  <c r="AZ232" i="3"/>
  <c r="AZ240" i="3"/>
  <c r="AZ243" i="3"/>
  <c r="AZ251" i="3"/>
  <c r="AZ256" i="3"/>
  <c r="AZ268" i="3"/>
  <c r="AZ271" i="3"/>
  <c r="AZ296" i="3"/>
  <c r="AZ117" i="3"/>
  <c r="AZ133" i="3"/>
  <c r="AZ21" i="3"/>
  <c r="AZ42" i="3"/>
  <c r="AZ53" i="3"/>
  <c r="AZ58" i="3"/>
  <c r="AZ69" i="3"/>
  <c r="AZ102" i="3"/>
  <c r="F23" i="39"/>
  <c r="AA23" i="39" s="1"/>
  <c r="H27" i="36"/>
  <c r="U27" i="36" s="1"/>
  <c r="F27" i="36"/>
  <c r="AA27" i="36" s="1"/>
  <c r="H33" i="34"/>
  <c r="U33" i="34" s="1"/>
  <c r="F32" i="37"/>
  <c r="AA32" i="37" s="1"/>
  <c r="G96" i="37"/>
  <c r="H96" i="37" s="1"/>
  <c r="I96" i="37" s="1"/>
  <c r="J96" i="37" s="1"/>
  <c r="K96" i="37" s="1"/>
  <c r="L96" i="37" s="1"/>
  <c r="M96" i="37" s="1"/>
  <c r="F20" i="36"/>
  <c r="AA20" i="36"/>
  <c r="J33" i="34"/>
  <c r="AC33" i="34" s="1"/>
  <c r="H23" i="39"/>
  <c r="U23" i="39" s="1"/>
  <c r="D48" i="9"/>
  <c r="M52" i="9" s="1"/>
  <c r="K9" i="1"/>
  <c r="M9" i="1" s="1"/>
  <c r="D93" i="9"/>
  <c r="K6" i="1"/>
  <c r="AP6" i="1" s="1"/>
  <c r="AC26" i="33"/>
  <c r="W26" i="33"/>
  <c r="W27" i="34"/>
  <c r="AC27" i="34"/>
  <c r="AB34" i="36"/>
  <c r="U34" i="36"/>
  <c r="AB33" i="36"/>
  <c r="U33" i="36"/>
  <c r="AC12" i="39"/>
  <c r="W12" i="39"/>
  <c r="AC39" i="40"/>
  <c r="W39" i="40"/>
  <c r="AZ412" i="3"/>
  <c r="AZ428" i="3"/>
  <c r="W12" i="33"/>
  <c r="AC12" i="33"/>
  <c r="AA32" i="36"/>
  <c r="S32" i="36"/>
  <c r="AZ437" i="3"/>
  <c r="AZ441" i="3"/>
  <c r="AZ473" i="3"/>
  <c r="F28" i="6"/>
  <c r="BL14" i="3"/>
  <c r="U30" i="33"/>
  <c r="AC13" i="34"/>
  <c r="AA47" i="34"/>
  <c r="W28" i="37"/>
  <c r="S19" i="39"/>
  <c r="F12" i="33"/>
  <c r="H12" i="39"/>
  <c r="AB12" i="39"/>
  <c r="F39" i="40"/>
  <c r="BA14" i="3"/>
  <c r="AZ14" i="3" s="1"/>
  <c r="AZ213" i="3"/>
  <c r="AZ224" i="3"/>
  <c r="AZ234" i="3"/>
  <c r="AZ238" i="3"/>
  <c r="AZ254" i="3"/>
  <c r="AZ297" i="3"/>
  <c r="AZ149" i="3"/>
  <c r="AZ157" i="3"/>
  <c r="AZ181" i="3"/>
  <c r="AZ197" i="3"/>
  <c r="AZ19" i="3"/>
  <c r="B12" i="1"/>
  <c r="E12" i="1" s="1"/>
  <c r="B10" i="1"/>
  <c r="E10" i="1" s="1"/>
  <c r="K12" i="1"/>
  <c r="M12" i="1" s="1"/>
  <c r="S13" i="1"/>
  <c r="AR13" i="1" s="1"/>
  <c r="R13" i="1"/>
  <c r="J51" i="67"/>
  <c r="C42" i="1"/>
  <c r="AC34" i="33"/>
  <c r="B41" i="1"/>
  <c r="AB37" i="40"/>
  <c r="S35" i="40"/>
  <c r="U35" i="40"/>
  <c r="AC36"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U13" i="36"/>
  <c r="U26" i="36"/>
  <c r="S33" i="36"/>
  <c r="AA26" i="36"/>
  <c r="AA34" i="36"/>
  <c r="AC26" i="36"/>
  <c r="AA22" i="36"/>
  <c r="W14" i="36"/>
  <c r="AB14" i="36"/>
  <c r="U22" i="36"/>
  <c r="S16" i="36"/>
  <c r="AA25" i="36"/>
  <c r="S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W13" i="35"/>
  <c r="F9" i="35"/>
  <c r="S9" i="35" s="1"/>
  <c r="H9" i="35"/>
  <c r="U9" i="35" s="1"/>
  <c r="AB40" i="37"/>
  <c r="W27" i="37"/>
  <c r="AC29" i="37"/>
  <c r="U29" i="37"/>
  <c r="S32" i="37"/>
  <c r="AB31" i="37"/>
  <c r="W30" i="37"/>
  <c r="S36" i="37"/>
  <c r="AA38" i="37"/>
  <c r="U32" i="37"/>
  <c r="W38" i="37"/>
  <c r="AC35" i="37"/>
  <c r="W39" i="37"/>
  <c r="S30" i="37"/>
  <c r="S37" i="37"/>
  <c r="AC15" i="37"/>
  <c r="J17" i="37"/>
  <c r="W17" i="37" s="1"/>
  <c r="G73" i="37"/>
  <c r="F17" i="37"/>
  <c r="AA17" i="37" s="1"/>
  <c r="AB17" i="37"/>
  <c r="F75" i="37"/>
  <c r="F19" i="37"/>
  <c r="F79" i="37"/>
  <c r="F23" i="37"/>
  <c r="S23" i="37" s="1"/>
  <c r="U23" i="37"/>
  <c r="U15" i="37"/>
  <c r="AC13" i="37"/>
  <c r="AA13" i="37"/>
  <c r="H10" i="37"/>
  <c r="AB10" i="37" s="1"/>
  <c r="F63" i="37"/>
  <c r="F11" i="37"/>
  <c r="S11" i="37" s="1"/>
  <c r="S27" i="34"/>
  <c r="AB8" i="34"/>
  <c r="AA33" i="34"/>
  <c r="W41" i="34"/>
  <c r="AC42" i="34"/>
  <c r="AB35" i="34"/>
  <c r="AB41" i="34"/>
  <c r="U28" i="34"/>
  <c r="AA29" i="34"/>
  <c r="U27" i="34"/>
  <c r="S13" i="34"/>
  <c r="F11" i="34"/>
  <c r="S11" i="34" s="1"/>
  <c r="F70" i="34"/>
  <c r="W42" i="33"/>
  <c r="S27" i="33"/>
  <c r="S32" i="33"/>
  <c r="AA29" i="33"/>
  <c r="AB29" i="33"/>
  <c r="W38" i="33"/>
  <c r="H41" i="33"/>
  <c r="F121" i="33"/>
  <c r="G121" i="33" s="1"/>
  <c r="H121" i="33" s="1"/>
  <c r="I121" i="33" s="1"/>
  <c r="J121" i="33" s="1"/>
  <c r="K121" i="33" s="1"/>
  <c r="L121" i="33" s="1"/>
  <c r="M121" i="33" s="1"/>
  <c r="U42" i="33"/>
  <c r="S42" i="33"/>
  <c r="F36" i="33"/>
  <c r="AA36" i="33" s="1"/>
  <c r="G111" i="33"/>
  <c r="G108" i="33"/>
  <c r="H108" i="33" s="1"/>
  <c r="I108" i="33" s="1"/>
  <c r="J108" i="33" s="1"/>
  <c r="K108" i="33" s="1"/>
  <c r="L108" i="33" s="1"/>
  <c r="M108" i="33" s="1"/>
  <c r="J35" i="33"/>
  <c r="S37" i="33"/>
  <c r="AA37" i="33"/>
  <c r="S39" i="33"/>
  <c r="F101" i="33"/>
  <c r="G101" i="33" s="1"/>
  <c r="H101" i="33" s="1"/>
  <c r="I101" i="33" s="1"/>
  <c r="J101" i="33" s="1"/>
  <c r="K101" i="33" s="1"/>
  <c r="L101" i="33" s="1"/>
  <c r="M101" i="33" s="1"/>
  <c r="J32" i="33"/>
  <c r="S46" i="33"/>
  <c r="W43" i="33"/>
  <c r="S43" i="33"/>
  <c r="F91" i="33"/>
  <c r="H27" i="33"/>
  <c r="F87" i="33"/>
  <c r="H25" i="33"/>
  <c r="F25" i="33"/>
  <c r="J23" i="33"/>
  <c r="F85" i="33"/>
  <c r="H23" i="33"/>
  <c r="F81" i="33"/>
  <c r="F19" i="33"/>
  <c r="S19" i="33" s="1"/>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D120" i="9"/>
  <c r="D121" i="9" s="1"/>
  <c r="D7" i="52" s="1"/>
  <c r="F34" i="67"/>
  <c r="F62" i="67" s="1"/>
  <c r="M20" i="67"/>
  <c r="F34" i="15"/>
  <c r="F62" i="15" s="1"/>
  <c r="G13" i="3"/>
  <c r="BA13" i="3"/>
  <c r="BL17" i="3"/>
  <c r="AZ17" i="3"/>
  <c r="BL13" i="3"/>
  <c r="J56" i="9"/>
  <c r="J57" i="9" s="1"/>
  <c r="J59" i="9" s="1"/>
  <c r="J61" i="9" s="1"/>
  <c r="A24" i="51"/>
  <c r="B18" i="72" s="1"/>
  <c r="U29" i="34"/>
  <c r="E32" i="6"/>
  <c r="G1" i="68"/>
  <c r="K1" i="12"/>
  <c r="E19" i="69"/>
  <c r="E19" i="68"/>
  <c r="E19" i="11"/>
  <c r="E1" i="73"/>
  <c r="G22" i="69"/>
  <c r="G22" i="68"/>
  <c r="G26" i="12"/>
  <c r="G22" i="11"/>
  <c r="C6" i="43"/>
  <c r="B19" i="53"/>
  <c r="B37" i="72" s="1"/>
  <c r="C7" i="39"/>
  <c r="C67" i="39" s="1"/>
  <c r="C7" i="35"/>
  <c r="C7" i="33"/>
  <c r="C7" i="21"/>
  <c r="C7" i="40"/>
  <c r="C63" i="40" s="1"/>
  <c r="M47" i="9"/>
  <c r="G23" i="43"/>
  <c r="C46" i="36"/>
  <c r="D46" i="36" s="1"/>
  <c r="E46" i="36" s="1"/>
  <c r="F46" i="36" s="1"/>
  <c r="G46" i="36" s="1"/>
  <c r="H46" i="36" s="1"/>
  <c r="I46" i="36" s="1"/>
  <c r="C52" i="37"/>
  <c r="D52" i="37" s="1"/>
  <c r="A4" i="51"/>
  <c r="B6" i="72" s="1"/>
  <c r="C48" i="35"/>
  <c r="D48" i="35" s="1"/>
  <c r="L20" i="6"/>
  <c r="B6" i="1"/>
  <c r="E6" i="1" s="1"/>
  <c r="K11" i="1"/>
  <c r="M11" i="1" s="1"/>
  <c r="O11" i="1" s="1"/>
  <c r="B9" i="1"/>
  <c r="E9" i="1" s="1"/>
  <c r="K7" i="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B33" i="34"/>
  <c r="AA31" i="34"/>
  <c r="AA30" i="34"/>
  <c r="AB47" i="34"/>
  <c r="AB36" i="34"/>
  <c r="AC14" i="34"/>
  <c r="AC32" i="34"/>
  <c r="AC29" i="34"/>
  <c r="W29" i="34"/>
  <c r="W46" i="34"/>
  <c r="AC46" i="34"/>
  <c r="S32" i="34"/>
  <c r="AA32" i="34"/>
  <c r="U30" i="34"/>
  <c r="AB30" i="34"/>
  <c r="U38" i="34"/>
  <c r="AA36" i="34"/>
  <c r="S36" i="34"/>
  <c r="S46" i="34"/>
  <c r="AA46" i="34"/>
  <c r="U32" i="34"/>
  <c r="AB32" i="34"/>
  <c r="U14" i="34"/>
  <c r="AB14"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AB42" i="21"/>
  <c r="U28" i="21"/>
  <c r="S45" i="21"/>
  <c r="F33" i="21"/>
  <c r="AA33" i="21" s="1"/>
  <c r="J33" i="21"/>
  <c r="AC33" i="21" s="1"/>
  <c r="H33" i="21"/>
  <c r="AB33" i="21" s="1"/>
  <c r="F37" i="21"/>
  <c r="AA37" i="21" s="1"/>
  <c r="AA26" i="21"/>
  <c r="AB46" i="21"/>
  <c r="U40" i="21"/>
  <c r="AC15" i="21"/>
  <c r="U13" i="21"/>
  <c r="AB13" i="21"/>
  <c r="S35" i="21"/>
  <c r="J37" i="21"/>
  <c r="W37" i="21" s="1"/>
  <c r="H15" i="21"/>
  <c r="U15" i="21" s="1"/>
  <c r="J17" i="21"/>
  <c r="AC17" i="21" s="1"/>
  <c r="AC19" i="21"/>
  <c r="W39" i="21"/>
  <c r="AC14" i="21"/>
  <c r="H45" i="21"/>
  <c r="U45" i="21" s="1"/>
  <c r="F29" i="21"/>
  <c r="S29" i="21" s="1"/>
  <c r="F13" i="21"/>
  <c r="AA13" i="21" s="1"/>
  <c r="AC38" i="21"/>
  <c r="H32" i="21"/>
  <c r="H9" i="21"/>
  <c r="J9" i="21"/>
  <c r="J32" i="21"/>
  <c r="W32" i="21" s="1"/>
  <c r="F32" i="21"/>
  <c r="AA31" i="21"/>
  <c r="U17" i="21"/>
  <c r="W29" i="21"/>
  <c r="S19" i="21"/>
  <c r="S9" i="21"/>
  <c r="AA9" i="21"/>
  <c r="K141" i="21"/>
  <c r="K144" i="21"/>
  <c r="K143" i="21"/>
  <c r="AB25" i="21"/>
  <c r="W13" i="21"/>
  <c r="W42" i="21"/>
  <c r="F10" i="21"/>
  <c r="AA10" i="21" s="1"/>
  <c r="K145" i="21"/>
  <c r="W25" i="21"/>
  <c r="W31"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E4" i="4"/>
  <c r="B5" i="62" s="1"/>
  <c r="B73" i="72" s="1"/>
  <c r="C4" i="4"/>
  <c r="F30" i="68"/>
  <c r="F48" i="68" s="1"/>
  <c r="F52" i="9"/>
  <c r="F32" i="15"/>
  <c r="F60" i="15" s="1"/>
  <c r="AA39" i="40"/>
  <c r="S39" i="40"/>
  <c r="S12" i="33"/>
  <c r="AA12" i="33"/>
  <c r="F54" i="9"/>
  <c r="J32" i="39"/>
  <c r="H32" i="39"/>
  <c r="AB32" i="39" s="1"/>
  <c r="AA32" i="39"/>
  <c r="S32" i="39"/>
  <c r="AB21" i="39"/>
  <c r="U21" i="39"/>
  <c r="AA21" i="39"/>
  <c r="S21" i="39"/>
  <c r="AC17" i="37"/>
  <c r="S17" i="37"/>
  <c r="J19" i="37"/>
  <c r="G75" i="37"/>
  <c r="S19" i="37"/>
  <c r="AA19" i="37"/>
  <c r="AA23" i="37"/>
  <c r="J23" i="37"/>
  <c r="W23" i="37" s="1"/>
  <c r="G79" i="37"/>
  <c r="J10" i="37"/>
  <c r="W10" i="37" s="1"/>
  <c r="G63" i="37"/>
  <c r="H11" i="37"/>
  <c r="AB11" i="37" s="1"/>
  <c r="G70" i="34"/>
  <c r="H11" i="34"/>
  <c r="U11" i="34" s="1"/>
  <c r="AB41" i="33"/>
  <c r="U41" i="33"/>
  <c r="W35" i="33"/>
  <c r="AC35" i="33"/>
  <c r="H111" i="33"/>
  <c r="I111" i="33" s="1"/>
  <c r="J111" i="33" s="1"/>
  <c r="K111" i="33" s="1"/>
  <c r="L111" i="33" s="1"/>
  <c r="M111" i="33" s="1"/>
  <c r="J36" i="33"/>
  <c r="W36" i="33" s="1"/>
  <c r="H36" i="33"/>
  <c r="U36" i="33" s="1"/>
  <c r="S36" i="33"/>
  <c r="AC32" i="33"/>
  <c r="W32" i="33"/>
  <c r="U27" i="33"/>
  <c r="AB27" i="33"/>
  <c r="G91" i="33"/>
  <c r="H91" i="33" s="1"/>
  <c r="I91" i="33" s="1"/>
  <c r="J91" i="33" s="1"/>
  <c r="K91" i="33" s="1"/>
  <c r="L91" i="33" s="1"/>
  <c r="M91" i="33" s="1"/>
  <c r="J27" i="33"/>
  <c r="W27" i="33" s="1"/>
  <c r="U25" i="33"/>
  <c r="AB25" i="33"/>
  <c r="S25" i="33"/>
  <c r="AA25" i="33"/>
  <c r="G87" i="33"/>
  <c r="H87" i="33"/>
  <c r="I87" i="33" s="1"/>
  <c r="J87" i="33" s="1"/>
  <c r="K87" i="33" s="1"/>
  <c r="L87" i="33" s="1"/>
  <c r="M87" i="33" s="1"/>
  <c r="J25" i="33"/>
  <c r="AB23" i="33"/>
  <c r="U23" i="33"/>
  <c r="F23" i="33"/>
  <c r="AA23" i="33" s="1"/>
  <c r="G85" i="33"/>
  <c r="AC23" i="33"/>
  <c r="W23" i="33"/>
  <c r="AA19" i="33"/>
  <c r="H19" i="33"/>
  <c r="G81" i="33"/>
  <c r="G79" i="33"/>
  <c r="H17" i="33"/>
  <c r="U17" i="33" s="1"/>
  <c r="F17" i="33"/>
  <c r="W17" i="33"/>
  <c r="AC17" i="33"/>
  <c r="S37" i="21"/>
  <c r="AA23" i="21"/>
  <c r="AB15" i="21"/>
  <c r="J23" i="21"/>
  <c r="F85" i="21"/>
  <c r="G85" i="21" s="1"/>
  <c r="H23" i="21"/>
  <c r="U23" i="21" s="1"/>
  <c r="S13" i="21"/>
  <c r="D6" i="52"/>
  <c r="AP7" i="1"/>
  <c r="AB45" i="21"/>
  <c r="AB9" i="21"/>
  <c r="U9" i="21"/>
  <c r="AA32" i="21"/>
  <c r="S32" i="21"/>
  <c r="W9" i="21"/>
  <c r="AC9" i="21"/>
  <c r="AB32" i="21"/>
  <c r="U32" i="21"/>
  <c r="A18" i="62"/>
  <c r="B64" i="72" s="1"/>
  <c r="U32" i="39"/>
  <c r="AC32" i="39"/>
  <c r="W32" i="39"/>
  <c r="W19" i="37"/>
  <c r="AC19" i="37"/>
  <c r="AC23" i="37"/>
  <c r="H63" i="37"/>
  <c r="I63" i="37"/>
  <c r="J63" i="37" s="1"/>
  <c r="K63" i="37" s="1"/>
  <c r="L63" i="37" s="1"/>
  <c r="M63" i="37" s="1"/>
  <c r="J11" i="37"/>
  <c r="AC11" i="37" s="1"/>
  <c r="H70" i="34"/>
  <c r="I70" i="34" s="1"/>
  <c r="J70" i="34" s="1"/>
  <c r="K70" i="34" s="1"/>
  <c r="L70" i="34" s="1"/>
  <c r="M70" i="34" s="1"/>
  <c r="J11" i="34"/>
  <c r="W11" i="34" s="1"/>
  <c r="AB36" i="33"/>
  <c r="AC27" i="33"/>
  <c r="W25" i="33"/>
  <c r="AC25" i="33"/>
  <c r="S23" i="33"/>
  <c r="AB19" i="33"/>
  <c r="U19" i="33"/>
  <c r="AA17" i="33"/>
  <c r="S17" i="33"/>
  <c r="AB17" i="33"/>
  <c r="AC23" i="21"/>
  <c r="W23" i="21"/>
  <c r="H109" i="9"/>
  <c r="M49" i="9" s="1"/>
  <c r="H112" i="9"/>
  <c r="D21" i="53" s="1"/>
  <c r="B39" i="72" s="1"/>
  <c r="H111" i="9"/>
  <c r="D126" i="9" s="1"/>
  <c r="AD3" i="71"/>
  <c r="J1" i="73"/>
  <c r="H69" i="43"/>
  <c r="C22" i="71"/>
  <c r="D22" i="71"/>
  <c r="D23" i="71"/>
  <c r="D24" i="71"/>
  <c r="U24" i="71" s="1"/>
  <c r="S24" i="71"/>
  <c r="T24" i="71"/>
  <c r="AB22" i="71"/>
  <c r="X20" i="71"/>
  <c r="X19" i="71"/>
  <c r="AA20" i="71"/>
  <c r="AA19" i="71"/>
  <c r="X23" i="71"/>
  <c r="Y19" i="71"/>
  <c r="Z19" i="71" s="1"/>
  <c r="AB20" i="71"/>
  <c r="AB19" i="71"/>
  <c r="S20" i="71"/>
  <c r="F21" i="71"/>
  <c r="F20" i="71"/>
  <c r="F19" i="71" s="1"/>
  <c r="F18" i="71" s="1"/>
  <c r="F17" i="71" s="1"/>
  <c r="Y20" i="71"/>
  <c r="Z20" i="71" s="1"/>
  <c r="X3" i="71"/>
  <c r="C21" i="71"/>
  <c r="C20" i="71"/>
  <c r="C19" i="71" s="1"/>
  <c r="C18" i="71" s="1"/>
  <c r="C17" i="71" s="1"/>
  <c r="D21" i="71"/>
  <c r="D18" i="71"/>
  <c r="T20" i="71"/>
  <c r="D19" i="71"/>
  <c r="D20" i="71"/>
  <c r="U20" i="71" s="1"/>
  <c r="L48" i="67"/>
  <c r="E8" i="76"/>
  <c r="F37" i="67"/>
  <c r="F6" i="15"/>
  <c r="M23" i="67"/>
  <c r="F5" i="73"/>
  <c r="F7" i="73"/>
  <c r="C76" i="15"/>
  <c r="M23" i="15"/>
  <c r="F16" i="15"/>
  <c r="F20" i="31"/>
  <c r="F13" i="67"/>
  <c r="F6" i="67"/>
  <c r="M26" i="15"/>
  <c r="M9" i="67"/>
  <c r="F37" i="15"/>
  <c r="E13" i="76"/>
  <c r="M22" i="67"/>
  <c r="J15" i="67"/>
  <c r="E11" i="76"/>
  <c r="F8" i="67"/>
  <c r="M6" i="15"/>
  <c r="M8" i="15"/>
  <c r="F16" i="67"/>
  <c r="F38" i="67"/>
  <c r="AO13" i="1"/>
  <c r="D7" i="73"/>
  <c r="M9" i="15"/>
  <c r="E9" i="76"/>
  <c r="B10" i="76"/>
  <c r="F4" i="73"/>
  <c r="F40" i="67"/>
  <c r="F42" i="67"/>
  <c r="F26" i="15"/>
  <c r="D3" i="73"/>
  <c r="F40" i="15"/>
  <c r="B13" i="76"/>
  <c r="E2" i="69"/>
  <c r="D35" i="9"/>
  <c r="E12" i="76"/>
  <c r="B11" i="76"/>
  <c r="F42" i="15"/>
  <c r="M8" i="67"/>
  <c r="F9" i="15"/>
  <c r="F3" i="73"/>
  <c r="B9" i="76"/>
  <c r="F36" i="15"/>
  <c r="F26" i="67"/>
  <c r="M24" i="67"/>
  <c r="B12" i="76"/>
  <c r="M6" i="67"/>
  <c r="M26" i="67"/>
  <c r="M28" i="67"/>
  <c r="B7" i="76"/>
  <c r="M28" i="15"/>
  <c r="D4" i="73"/>
  <c r="F38" i="15"/>
  <c r="M22" i="15"/>
  <c r="F13" i="15"/>
  <c r="F6" i="73"/>
  <c r="E10" i="76"/>
  <c r="M24" i="15"/>
  <c r="C76" i="67"/>
  <c r="D5" i="73"/>
  <c r="E2" i="68"/>
  <c r="J15" i="15"/>
  <c r="L47" i="67"/>
  <c r="D6" i="73"/>
  <c r="L47" i="15"/>
  <c r="D34" i="9"/>
  <c r="E7" i="76"/>
  <c r="F9" i="67"/>
  <c r="F36" i="67"/>
  <c r="F8" i="15"/>
  <c r="B8" i="76"/>
  <c r="H23" i="34" l="1"/>
  <c r="U23" i="34" s="1"/>
  <c r="W9" i="34"/>
  <c r="F23" i="34"/>
  <c r="AA23" i="34" s="1"/>
  <c r="J23" i="34"/>
  <c r="W23" i="34" s="1"/>
  <c r="AB9" i="34"/>
  <c r="U9" i="34"/>
  <c r="AZ381" i="3"/>
  <c r="AZ115" i="3"/>
  <c r="AB23" i="21"/>
  <c r="AA29" i="21"/>
  <c r="W17" i="21"/>
  <c r="AA35" i="33"/>
  <c r="AA34" i="33"/>
  <c r="G29" i="6"/>
  <c r="G30" i="6" s="1"/>
  <c r="G31" i="6" s="1"/>
  <c r="AZ373" i="3"/>
  <c r="AZ358" i="3"/>
  <c r="AZ343" i="3"/>
  <c r="AZ330" i="3"/>
  <c r="AZ371" i="3"/>
  <c r="AZ342" i="3"/>
  <c r="AZ336" i="3"/>
  <c r="AZ321" i="3"/>
  <c r="AZ304" i="3"/>
  <c r="AZ511" i="3"/>
  <c r="AZ515" i="3"/>
  <c r="AZ519" i="3"/>
  <c r="AZ565" i="3"/>
  <c r="AZ569" i="3"/>
  <c r="AZ573" i="3"/>
  <c r="AZ577" i="3"/>
  <c r="AZ508" i="3"/>
  <c r="AZ512" i="3"/>
  <c r="AZ538" i="3"/>
  <c r="AZ552" i="3"/>
  <c r="AZ560" i="3"/>
  <c r="AZ568" i="3"/>
  <c r="AZ576" i="3"/>
  <c r="S14" i="37"/>
  <c r="AA14" i="37"/>
  <c r="AB23" i="40"/>
  <c r="U23" i="40"/>
  <c r="AB32" i="33"/>
  <c r="U32" i="33"/>
  <c r="F48" i="9"/>
  <c r="O52" i="9" s="1"/>
  <c r="F32" i="82"/>
  <c r="F60" i="82" s="1"/>
  <c r="F28" i="82"/>
  <c r="C28" i="82" s="1"/>
  <c r="M18" i="82"/>
  <c r="AZ352" i="3"/>
  <c r="AZ155" i="3"/>
  <c r="U28" i="37"/>
  <c r="AB28" i="37"/>
  <c r="AB31" i="34"/>
  <c r="U31" i="34"/>
  <c r="S14" i="33"/>
  <c r="AA14" i="33"/>
  <c r="AB11" i="33"/>
  <c r="U11" i="33"/>
  <c r="AA41" i="33"/>
  <c r="S41" i="33"/>
  <c r="AA21" i="40"/>
  <c r="S21" i="40"/>
  <c r="AZ497" i="3"/>
  <c r="AZ501" i="3"/>
  <c r="AZ525" i="3"/>
  <c r="AZ533" i="3"/>
  <c r="AZ541" i="3"/>
  <c r="AZ555" i="3"/>
  <c r="AZ583" i="3"/>
  <c r="AZ510" i="3"/>
  <c r="AZ540" i="3"/>
  <c r="AZ558" i="3"/>
  <c r="U36" i="39"/>
  <c r="W36" i="39"/>
  <c r="AC45" i="39"/>
  <c r="F27" i="21"/>
  <c r="H27" i="21"/>
  <c r="F46" i="21"/>
  <c r="J46" i="21"/>
  <c r="F44" i="21"/>
  <c r="H44" i="21"/>
  <c r="J30" i="21"/>
  <c r="F30" i="21"/>
  <c r="H14" i="21"/>
  <c r="F14" i="21"/>
  <c r="W40" i="33"/>
  <c r="S26" i="33"/>
  <c r="S38" i="33"/>
  <c r="J28" i="34"/>
  <c r="H15" i="34"/>
  <c r="AB15" i="34" s="1"/>
  <c r="F15" i="34"/>
  <c r="AA15" i="34" s="1"/>
  <c r="F19" i="34"/>
  <c r="AB12" i="33"/>
  <c r="W39" i="33"/>
  <c r="U33" i="33"/>
  <c r="U34" i="35"/>
  <c r="U31" i="35"/>
  <c r="AC27" i="35"/>
  <c r="U14" i="37"/>
  <c r="W40" i="39"/>
  <c r="BL586" i="3"/>
  <c r="AZ586" i="3" s="1"/>
  <c r="BL585" i="3"/>
  <c r="AZ585" i="3" s="1"/>
  <c r="J12" i="35"/>
  <c r="F12" i="35"/>
  <c r="G551" i="3"/>
  <c r="BL550" i="3"/>
  <c r="BA550" i="3"/>
  <c r="J23" i="36"/>
  <c r="F23" i="36"/>
  <c r="G578" i="3"/>
  <c r="G562" i="3"/>
  <c r="BA551" i="3"/>
  <c r="AZ551" i="3" s="1"/>
  <c r="BL548" i="3"/>
  <c r="AZ548" i="3" s="1"/>
  <c r="E5" i="6"/>
  <c r="D19" i="12" s="1"/>
  <c r="C19" i="12" s="1"/>
  <c r="F6" i="1"/>
  <c r="F11" i="1"/>
  <c r="G11" i="1" s="1"/>
  <c r="G44" i="43"/>
  <c r="AZ411" i="3"/>
  <c r="AZ427" i="3"/>
  <c r="AZ442" i="3"/>
  <c r="AZ446" i="3"/>
  <c r="M20" i="15"/>
  <c r="F34" i="82"/>
  <c r="F62" i="82" s="1"/>
  <c r="M20" i="82"/>
  <c r="G14" i="3"/>
  <c r="BL15" i="3"/>
  <c r="AZ15" i="3" s="1"/>
  <c r="G399" i="3"/>
  <c r="BL399" i="3"/>
  <c r="AZ399" i="3" s="1"/>
  <c r="BA400" i="3"/>
  <c r="AZ400" i="3" s="1"/>
  <c r="BA401" i="3"/>
  <c r="AZ401" i="3" s="1"/>
  <c r="BA402" i="3"/>
  <c r="BL402" i="3"/>
  <c r="G404" i="3"/>
  <c r="BL404" i="3"/>
  <c r="AZ404" i="3" s="1"/>
  <c r="BA405" i="3"/>
  <c r="AZ405" i="3" s="1"/>
  <c r="BA406" i="3"/>
  <c r="AZ406" i="3" s="1"/>
  <c r="BL406" i="3"/>
  <c r="BA407" i="3"/>
  <c r="AZ407" i="3" s="1"/>
  <c r="BA408" i="3"/>
  <c r="AZ408" i="3" s="1"/>
  <c r="G411" i="3"/>
  <c r="BL411" i="3"/>
  <c r="G414" i="3"/>
  <c r="BL414" i="3"/>
  <c r="AZ414" i="3" s="1"/>
  <c r="BA415" i="3"/>
  <c r="AZ415" i="3" s="1"/>
  <c r="BL417" i="3"/>
  <c r="AZ417" i="3" s="1"/>
  <c r="G419" i="3"/>
  <c r="G421" i="3"/>
  <c r="BL421" i="3"/>
  <c r="AZ421" i="3" s="1"/>
  <c r="G423" i="3"/>
  <c r="BL423" i="3"/>
  <c r="AZ423" i="3" s="1"/>
  <c r="BA424" i="3"/>
  <c r="AZ424" i="3" s="1"/>
  <c r="G427" i="3"/>
  <c r="BL427" i="3"/>
  <c r="G430" i="3"/>
  <c r="BL430" i="3"/>
  <c r="AZ430" i="3" s="1"/>
  <c r="BA431" i="3"/>
  <c r="AZ431" i="3" s="1"/>
  <c r="BL433" i="3"/>
  <c r="AZ433" i="3" s="1"/>
  <c r="G435" i="3"/>
  <c r="G437" i="3"/>
  <c r="G438" i="3"/>
  <c r="G440" i="3"/>
  <c r="BL440" i="3"/>
  <c r="AZ440" i="3" s="1"/>
  <c r="BA443" i="3"/>
  <c r="BL443" i="3"/>
  <c r="BA444" i="3"/>
  <c r="AZ444" i="3" s="1"/>
  <c r="G449" i="3"/>
  <c r="BL449" i="3"/>
  <c r="AZ449" i="3" s="1"/>
  <c r="G451" i="3"/>
  <c r="G453" i="3"/>
  <c r="BL453" i="3"/>
  <c r="AZ453" i="3" s="1"/>
  <c r="G455" i="3"/>
  <c r="BL455" i="3"/>
  <c r="AZ455" i="3" s="1"/>
  <c r="BA456" i="3"/>
  <c r="AZ456" i="3" s="1"/>
  <c r="BA457" i="3"/>
  <c r="AZ457" i="3" s="1"/>
  <c r="BA458" i="3"/>
  <c r="BL458" i="3"/>
  <c r="G460" i="3"/>
  <c r="BL460" i="3"/>
  <c r="AZ460" i="3" s="1"/>
  <c r="BA461" i="3"/>
  <c r="AZ461" i="3" s="1"/>
  <c r="BA462" i="3"/>
  <c r="AZ462" i="3" s="1"/>
  <c r="BL462" i="3"/>
  <c r="BA463" i="3"/>
  <c r="AZ463" i="3" s="1"/>
  <c r="BL465" i="3"/>
  <c r="AZ465" i="3" s="1"/>
  <c r="BA466" i="3"/>
  <c r="AZ466" i="3" s="1"/>
  <c r="G469" i="3"/>
  <c r="G471" i="3"/>
  <c r="BL471" i="3"/>
  <c r="AZ471" i="3" s="1"/>
  <c r="BA472" i="3"/>
  <c r="AZ472" i="3" s="1"/>
  <c r="AZ244" i="3"/>
  <c r="AZ141" i="3"/>
  <c r="AZ22" i="3"/>
  <c r="AZ103" i="3"/>
  <c r="G473" i="3"/>
  <c r="G474" i="3"/>
  <c r="BL474" i="3"/>
  <c r="BA475" i="3"/>
  <c r="AZ475" i="3" s="1"/>
  <c r="G480" i="3"/>
  <c r="BL480" i="3"/>
  <c r="G482" i="3"/>
  <c r="BL482" i="3"/>
  <c r="AZ482" i="3" s="1"/>
  <c r="BA483" i="3"/>
  <c r="AZ483" i="3" s="1"/>
  <c r="G486" i="3"/>
  <c r="BL486" i="3"/>
  <c r="G488" i="3"/>
  <c r="BL488" i="3"/>
  <c r="BA489" i="3"/>
  <c r="AZ489" i="3" s="1"/>
  <c r="BA490" i="3"/>
  <c r="AZ490" i="3" s="1"/>
  <c r="BA491" i="3"/>
  <c r="AZ491" i="3" s="1"/>
  <c r="BA303" i="3"/>
  <c r="AZ303" i="3" s="1"/>
  <c r="BA307" i="3"/>
  <c r="AZ307" i="3" s="1"/>
  <c r="BL312" i="3"/>
  <c r="AZ312" i="3" s="1"/>
  <c r="BL317" i="3"/>
  <c r="AZ317" i="3" s="1"/>
  <c r="G323" i="3"/>
  <c r="BL324" i="3"/>
  <c r="AZ324" i="3" s="1"/>
  <c r="BL330" i="3"/>
  <c r="BA332" i="3"/>
  <c r="AZ332" i="3" s="1"/>
  <c r="BA335" i="3"/>
  <c r="AZ335" i="3" s="1"/>
  <c r="BA339" i="3"/>
  <c r="AZ339" i="3" s="1"/>
  <c r="G345" i="3"/>
  <c r="BL348" i="3"/>
  <c r="AZ348" i="3" s="1"/>
  <c r="BA352" i="3"/>
  <c r="BL354" i="3"/>
  <c r="AZ354" i="3" s="1"/>
  <c r="BA358" i="3"/>
  <c r="BL363" i="3"/>
  <c r="AZ363" i="3" s="1"/>
  <c r="BL367" i="3"/>
  <c r="AZ367" i="3" s="1"/>
  <c r="G369" i="3"/>
  <c r="BL381" i="3"/>
  <c r="BL386" i="3"/>
  <c r="AZ386" i="3" s="1"/>
  <c r="G392" i="3"/>
  <c r="BL393" i="3"/>
  <c r="AZ393" i="3" s="1"/>
  <c r="BL396" i="3"/>
  <c r="AZ396" i="3" s="1"/>
  <c r="BA397" i="3"/>
  <c r="AZ397" i="3" s="1"/>
  <c r="BL209" i="3"/>
  <c r="AZ209" i="3" s="1"/>
  <c r="BA210" i="3"/>
  <c r="AZ210" i="3" s="1"/>
  <c r="G213" i="3"/>
  <c r="G214" i="3"/>
  <c r="G215" i="3"/>
  <c r="G216" i="3"/>
  <c r="BL216" i="3"/>
  <c r="BA217" i="3"/>
  <c r="AZ217" i="3" s="1"/>
  <c r="BA218" i="3"/>
  <c r="AZ218" i="3" s="1"/>
  <c r="G222" i="3"/>
  <c r="G223" i="3"/>
  <c r="G224" i="3"/>
  <c r="G225" i="3"/>
  <c r="BL225" i="3"/>
  <c r="AZ225" i="3" s="1"/>
  <c r="BA226" i="3"/>
  <c r="AZ226" i="3" s="1"/>
  <c r="BA227" i="3"/>
  <c r="AZ227" i="3" s="1"/>
  <c r="BL229" i="3"/>
  <c r="AZ229" i="3" s="1"/>
  <c r="G231" i="3"/>
  <c r="BL231" i="3"/>
  <c r="BL233" i="3"/>
  <c r="AZ233" i="3" s="1"/>
  <c r="BL235" i="3"/>
  <c r="AZ235" i="3" s="1"/>
  <c r="G237" i="3"/>
  <c r="G238" i="3"/>
  <c r="G239" i="3"/>
  <c r="BL239" i="3"/>
  <c r="BL241" i="3"/>
  <c r="AZ241" i="3" s="1"/>
  <c r="G243" i="3"/>
  <c r="G244" i="3"/>
  <c r="BL244" i="3"/>
  <c r="BA246" i="3"/>
  <c r="AZ246" i="3" s="1"/>
  <c r="BL248" i="3"/>
  <c r="AZ248" i="3" s="1"/>
  <c r="BL250" i="3"/>
  <c r="AZ250" i="3" s="1"/>
  <c r="G253" i="3"/>
  <c r="G254" i="3"/>
  <c r="G255" i="3"/>
  <c r="BL255" i="3"/>
  <c r="AZ255" i="3" s="1"/>
  <c r="BL257" i="3"/>
  <c r="AZ257" i="3" s="1"/>
  <c r="BA258" i="3"/>
  <c r="AZ258" i="3" s="1"/>
  <c r="BA259" i="3"/>
  <c r="AZ259" i="3" s="1"/>
  <c r="BL261" i="3"/>
  <c r="AZ261" i="3" s="1"/>
  <c r="G263" i="3"/>
  <c r="G264" i="3"/>
  <c r="BL264" i="3"/>
  <c r="BL266" i="3"/>
  <c r="AZ266" i="3" s="1"/>
  <c r="G268" i="3"/>
  <c r="G269" i="3"/>
  <c r="G270" i="3"/>
  <c r="BL270" i="3"/>
  <c r="AZ270" i="3" s="1"/>
  <c r="G273" i="3"/>
  <c r="G274" i="3"/>
  <c r="BL274" i="3"/>
  <c r="G277" i="3"/>
  <c r="BL277" i="3"/>
  <c r="BA278" i="3"/>
  <c r="AZ278" i="3" s="1"/>
  <c r="BA279" i="3"/>
  <c r="AZ279" i="3" s="1"/>
  <c r="BA280" i="3"/>
  <c r="AZ280" i="3" s="1"/>
  <c r="BA281" i="3"/>
  <c r="AZ281" i="3" s="1"/>
  <c r="BL283" i="3"/>
  <c r="AZ283" i="3" s="1"/>
  <c r="BA284" i="3"/>
  <c r="AZ284" i="3" s="1"/>
  <c r="BL286" i="3"/>
  <c r="AZ286" i="3" s="1"/>
  <c r="BL288" i="3"/>
  <c r="AZ288" i="3" s="1"/>
  <c r="BA289" i="3"/>
  <c r="AZ289" i="3" s="1"/>
  <c r="BL291" i="3"/>
  <c r="AZ291" i="3" s="1"/>
  <c r="BA292" i="3"/>
  <c r="AZ292" i="3" s="1"/>
  <c r="G295" i="3"/>
  <c r="G296" i="3"/>
  <c r="G297" i="3"/>
  <c r="G298" i="3"/>
  <c r="BL298" i="3"/>
  <c r="G301" i="3"/>
  <c r="BL301" i="3"/>
  <c r="BA302" i="3"/>
  <c r="AZ302" i="3" s="1"/>
  <c r="BA113" i="3"/>
  <c r="AZ113" i="3" s="1"/>
  <c r="BA114" i="3"/>
  <c r="AZ114" i="3" s="1"/>
  <c r="BL115" i="3"/>
  <c r="G119" i="3"/>
  <c r="G122" i="3"/>
  <c r="BL122" i="3"/>
  <c r="BA124" i="3"/>
  <c r="AZ124" i="3" s="1"/>
  <c r="BL125" i="3"/>
  <c r="AZ125" i="3" s="1"/>
  <c r="BA126" i="3"/>
  <c r="AZ126" i="3" s="1"/>
  <c r="BL127" i="3"/>
  <c r="AZ127" i="3" s="1"/>
  <c r="BA129" i="3"/>
  <c r="AZ129" i="3" s="1"/>
  <c r="BA130" i="3"/>
  <c r="AZ130" i="3" s="1"/>
  <c r="BL131" i="3"/>
  <c r="AZ131" i="3" s="1"/>
  <c r="G136" i="3"/>
  <c r="BL138" i="3"/>
  <c r="AZ138" i="3" s="1"/>
  <c r="BA140" i="3"/>
  <c r="AZ140" i="3" s="1"/>
  <c r="BL141" i="3"/>
  <c r="G144" i="3"/>
  <c r="BL146" i="3"/>
  <c r="AZ146" i="3" s="1"/>
  <c r="BA148" i="3"/>
  <c r="AZ148" i="3" s="1"/>
  <c r="G150" i="3"/>
  <c r="G151" i="3"/>
  <c r="BA153" i="3"/>
  <c r="AZ153" i="3" s="1"/>
  <c r="BA154" i="3"/>
  <c r="AZ154" i="3" s="1"/>
  <c r="BL155" i="3"/>
  <c r="BL158" i="3"/>
  <c r="AZ158" i="3" s="1"/>
  <c r="BA160" i="3"/>
  <c r="AZ160" i="3" s="1"/>
  <c r="BL161" i="3"/>
  <c r="AZ161" i="3" s="1"/>
  <c r="G164" i="3"/>
  <c r="BA165" i="3"/>
  <c r="AZ165" i="3" s="1"/>
  <c r="BA166" i="3"/>
  <c r="AZ166" i="3" s="1"/>
  <c r="BL167" i="3"/>
  <c r="AZ167" i="3" s="1"/>
  <c r="G170" i="3"/>
  <c r="G171" i="3"/>
  <c r="G172" i="3"/>
  <c r="BA173" i="3"/>
  <c r="AZ173" i="3" s="1"/>
  <c r="BA174" i="3"/>
  <c r="AZ174" i="3" s="1"/>
  <c r="BL175" i="3"/>
  <c r="AZ175" i="3" s="1"/>
  <c r="BA177" i="3"/>
  <c r="AZ177" i="3" s="1"/>
  <c r="BA178" i="3"/>
  <c r="AZ178" i="3" s="1"/>
  <c r="BL179" i="3"/>
  <c r="AZ179" i="3" s="1"/>
  <c r="BL182" i="3"/>
  <c r="AZ182" i="3" s="1"/>
  <c r="BA184" i="3"/>
  <c r="AZ184" i="3" s="1"/>
  <c r="BL185" i="3"/>
  <c r="AZ185" i="3" s="1"/>
  <c r="G188" i="3"/>
  <c r="BA189" i="3"/>
  <c r="AZ189" i="3" s="1"/>
  <c r="BA190" i="3"/>
  <c r="AZ190" i="3" s="1"/>
  <c r="BL191" i="3"/>
  <c r="AZ191" i="3" s="1"/>
  <c r="BA193" i="3"/>
  <c r="AZ193" i="3" s="1"/>
  <c r="BA194" i="3"/>
  <c r="AZ194" i="3" s="1"/>
  <c r="BL195" i="3"/>
  <c r="AZ195" i="3" s="1"/>
  <c r="BL198" i="3"/>
  <c r="AZ198" i="3" s="1"/>
  <c r="BA200" i="3"/>
  <c r="AZ200" i="3" s="1"/>
  <c r="BL201" i="3"/>
  <c r="G204" i="3"/>
  <c r="AZ70" i="3"/>
  <c r="F3" i="35"/>
  <c r="G1" i="82"/>
  <c r="C44" i="71"/>
  <c r="D43" i="71"/>
  <c r="C47" i="71"/>
  <c r="D47" i="71" s="1"/>
  <c r="D46" i="71"/>
  <c r="E23" i="71"/>
  <c r="E22" i="71" s="1"/>
  <c r="E21" i="71" s="1"/>
  <c r="E20" i="71" s="1"/>
  <c r="V24" i="71"/>
  <c r="BA205" i="3"/>
  <c r="AZ205" i="3" s="1"/>
  <c r="BA206" i="3"/>
  <c r="AZ206" i="3" s="1"/>
  <c r="G19" i="3"/>
  <c r="G20" i="3"/>
  <c r="G5" i="3" s="1"/>
  <c r="B3" i="3" s="1"/>
  <c r="G21" i="3"/>
  <c r="G22" i="3"/>
  <c r="BL22" i="3"/>
  <c r="BA23" i="3"/>
  <c r="AZ23" i="3" s="1"/>
  <c r="BA24" i="3"/>
  <c r="AZ24" i="3" s="1"/>
  <c r="BL26" i="3"/>
  <c r="AZ26" i="3" s="1"/>
  <c r="BA27" i="3"/>
  <c r="AZ27" i="3" s="1"/>
  <c r="BA28" i="3"/>
  <c r="AZ28" i="3" s="1"/>
  <c r="BA29" i="3"/>
  <c r="AZ29" i="3" s="1"/>
  <c r="BL31" i="3"/>
  <c r="AZ31" i="3" s="1"/>
  <c r="BL33" i="3"/>
  <c r="AZ33" i="3" s="1"/>
  <c r="BA34" i="3"/>
  <c r="AZ34" i="3" s="1"/>
  <c r="BA35" i="3"/>
  <c r="AZ35" i="3" s="1"/>
  <c r="BL37" i="3"/>
  <c r="AZ37" i="3" s="1"/>
  <c r="BA38" i="3"/>
  <c r="AZ38" i="3" s="1"/>
  <c r="BA39" i="3"/>
  <c r="AZ39" i="3" s="1"/>
  <c r="BL41" i="3"/>
  <c r="AZ41" i="3" s="1"/>
  <c r="BL43" i="3"/>
  <c r="AZ43" i="3" s="1"/>
  <c r="BA44" i="3"/>
  <c r="AZ44" i="3" s="1"/>
  <c r="BA45" i="3"/>
  <c r="AZ45" i="3" s="1"/>
  <c r="BL47" i="3"/>
  <c r="AZ47" i="3" s="1"/>
  <c r="BA48" i="3"/>
  <c r="AZ48" i="3" s="1"/>
  <c r="BL50" i="3"/>
  <c r="AZ50" i="3" s="1"/>
  <c r="G53" i="3"/>
  <c r="G54" i="3"/>
  <c r="BL54" i="3"/>
  <c r="AZ54" i="3" s="1"/>
  <c r="G57" i="3"/>
  <c r="BL57" i="3"/>
  <c r="AZ57" i="3" s="1"/>
  <c r="BL59" i="3"/>
  <c r="AZ59" i="3" s="1"/>
  <c r="BA60" i="3"/>
  <c r="AZ60" i="3" s="1"/>
  <c r="BA61" i="3"/>
  <c r="AZ61" i="3" s="1"/>
  <c r="BL63" i="3"/>
  <c r="AZ63" i="3" s="1"/>
  <c r="BA64" i="3"/>
  <c r="AZ64" i="3" s="1"/>
  <c r="BL66" i="3"/>
  <c r="AZ66" i="3" s="1"/>
  <c r="G69" i="3"/>
  <c r="G70" i="3"/>
  <c r="BL70" i="3"/>
  <c r="BL72" i="3"/>
  <c r="AZ72" i="3" s="1"/>
  <c r="BA73" i="3"/>
  <c r="AZ73" i="3" s="1"/>
  <c r="BA74" i="3"/>
  <c r="AZ74" i="3" s="1"/>
  <c r="BA75" i="3"/>
  <c r="AZ75" i="3" s="1"/>
  <c r="BL77" i="3"/>
  <c r="AZ77" i="3" s="1"/>
  <c r="BA78" i="3"/>
  <c r="AZ78" i="3" s="1"/>
  <c r="BA79" i="3"/>
  <c r="AZ79" i="3" s="1"/>
  <c r="BA80" i="3"/>
  <c r="AZ80" i="3" s="1"/>
  <c r="BL82" i="3"/>
  <c r="AZ82" i="3" s="1"/>
  <c r="BL84" i="3"/>
  <c r="AZ84" i="3" s="1"/>
  <c r="BL86" i="3"/>
  <c r="AZ86" i="3" s="1"/>
  <c r="BA87" i="3"/>
  <c r="AZ87" i="3" s="1"/>
  <c r="BA88" i="3"/>
  <c r="AZ88" i="3" s="1"/>
  <c r="BA89" i="3"/>
  <c r="AZ89" i="3" s="1"/>
  <c r="G92" i="3"/>
  <c r="BL92" i="3"/>
  <c r="AZ92" i="3" s="1"/>
  <c r="BL94" i="3"/>
  <c r="AZ94" i="3" s="1"/>
  <c r="BA95" i="3"/>
  <c r="AZ95" i="3" s="1"/>
  <c r="BL97" i="3"/>
  <c r="AZ97" i="3" s="1"/>
  <c r="BA98" i="3"/>
  <c r="AZ98" i="3" s="1"/>
  <c r="G101" i="3"/>
  <c r="G102" i="3"/>
  <c r="G103" i="3"/>
  <c r="BL103" i="3"/>
  <c r="BA104" i="3"/>
  <c r="AZ104" i="3" s="1"/>
  <c r="BA105" i="3"/>
  <c r="AZ105" i="3" s="1"/>
  <c r="BL107" i="3"/>
  <c r="AZ107" i="3" s="1"/>
  <c r="BA108" i="3"/>
  <c r="AZ108" i="3" s="1"/>
  <c r="BA109" i="3"/>
  <c r="AZ109" i="3" s="1"/>
  <c r="BA110" i="3"/>
  <c r="AZ110" i="3" s="1"/>
  <c r="BA111" i="3"/>
  <c r="AZ111" i="3" s="1"/>
  <c r="BA112" i="3"/>
  <c r="AZ112" i="3" s="1"/>
  <c r="AC21" i="37"/>
  <c r="C29" i="39"/>
  <c r="B68" i="43"/>
  <c r="B77" i="43"/>
  <c r="D66" i="71"/>
  <c r="O66" i="71"/>
  <c r="O65" i="71"/>
  <c r="D51" i="71"/>
  <c r="C52" i="71"/>
  <c r="C55" i="71"/>
  <c r="D54" i="71"/>
  <c r="T64" i="71"/>
  <c r="D39" i="71"/>
  <c r="N65" i="71"/>
  <c r="D67" i="71"/>
  <c r="AA27" i="71"/>
  <c r="AA25" i="71"/>
  <c r="AB28" i="71"/>
  <c r="F28" i="71"/>
  <c r="F27" i="71" s="1"/>
  <c r="F26" i="71" s="1"/>
  <c r="C31" i="71"/>
  <c r="X27" i="71"/>
  <c r="Y27" i="71"/>
  <c r="Z27" i="71" s="1"/>
  <c r="Y25" i="71"/>
  <c r="Z25" i="71" s="1"/>
  <c r="AB37" i="71"/>
  <c r="Y37" i="71"/>
  <c r="Z37" i="71" s="1"/>
  <c r="AA36" i="71"/>
  <c r="AA35" i="71"/>
  <c r="AA31" i="71"/>
  <c r="AB29" i="71"/>
  <c r="X29" i="71"/>
  <c r="F31" i="71"/>
  <c r="F32" i="71" s="1"/>
  <c r="V32" i="71" s="1"/>
  <c r="F35" i="71"/>
  <c r="F36" i="71" s="1"/>
  <c r="V36" i="71" s="1"/>
  <c r="AA34" i="71"/>
  <c r="F39" i="71"/>
  <c r="F40" i="71" s="1"/>
  <c r="V40" i="71" s="1"/>
  <c r="E47" i="71"/>
  <c r="E48" i="71" s="1"/>
  <c r="U48" i="71" s="1"/>
  <c r="B51" i="71"/>
  <c r="B52" i="71" s="1"/>
  <c r="S52" i="71" s="1"/>
  <c r="M7" i="1"/>
  <c r="J19" i="34"/>
  <c r="AC19" i="34" s="1"/>
  <c r="U19" i="34"/>
  <c r="S15" i="34"/>
  <c r="F37" i="34"/>
  <c r="AA37" i="34" s="1"/>
  <c r="D22" i="15"/>
  <c r="AC15" i="34"/>
  <c r="F34" i="68"/>
  <c r="C36" i="68" s="1"/>
  <c r="O7" i="1"/>
  <c r="P7" i="1" s="1"/>
  <c r="F17" i="34"/>
  <c r="H88" i="34"/>
  <c r="I88" i="34" s="1"/>
  <c r="J88" i="34" s="1"/>
  <c r="K88" i="34" s="1"/>
  <c r="L88" i="34" s="1"/>
  <c r="M88" i="34" s="1"/>
  <c r="H25" i="34"/>
  <c r="F25" i="34"/>
  <c r="J25" i="34"/>
  <c r="AC25" i="34" s="1"/>
  <c r="AB17" i="34"/>
  <c r="W33" i="34"/>
  <c r="J37" i="34"/>
  <c r="AC37" i="34" s="1"/>
  <c r="F40" i="34"/>
  <c r="S40" i="34" s="1"/>
  <c r="J40" i="34"/>
  <c r="AC23" i="34"/>
  <c r="AC17" i="34"/>
  <c r="U21" i="34"/>
  <c r="J43" i="34"/>
  <c r="H43" i="34"/>
  <c r="AB43" i="34" s="1"/>
  <c r="AA39" i="34"/>
  <c r="U39" i="34"/>
  <c r="AC39" i="34"/>
  <c r="AA40" i="34"/>
  <c r="U44" i="34"/>
  <c r="AC45" i="34"/>
  <c r="S43" i="34"/>
  <c r="U43" i="34"/>
  <c r="AB40" i="34"/>
  <c r="AC36" i="34"/>
  <c r="S23" i="34"/>
  <c r="AB23" i="34"/>
  <c r="S21" i="34"/>
  <c r="AB45" i="34"/>
  <c r="AA45" i="34"/>
  <c r="S8" i="34"/>
  <c r="H50" i="43"/>
  <c r="G50" i="43" s="1"/>
  <c r="M50" i="43" s="1"/>
  <c r="N50" i="43" s="1"/>
  <c r="J54" i="43"/>
  <c r="D54" i="43"/>
  <c r="M54" i="43"/>
  <c r="N54" i="43" s="1"/>
  <c r="H67" i="43"/>
  <c r="F28" i="15"/>
  <c r="C28" i="15" s="1"/>
  <c r="F32" i="67"/>
  <c r="F60" i="67" s="1"/>
  <c r="F28" i="67"/>
  <c r="C28" i="67" s="1"/>
  <c r="D68" i="9"/>
  <c r="M18" i="15"/>
  <c r="F30" i="69"/>
  <c r="F48" i="69" s="1"/>
  <c r="M18" i="67"/>
  <c r="F31" i="12"/>
  <c r="C31" i="12" s="1"/>
  <c r="F30" i="11"/>
  <c r="C48" i="11" s="1"/>
  <c r="C24" i="12"/>
  <c r="C40" i="68"/>
  <c r="C21" i="68"/>
  <c r="C40" i="69"/>
  <c r="K8" i="1"/>
  <c r="E19" i="71"/>
  <c r="E18" i="71" s="1"/>
  <c r="E17" i="71" s="1"/>
  <c r="E16" i="71" s="1"/>
  <c r="V20" i="71"/>
  <c r="D17" i="71"/>
  <c r="C16" i="71"/>
  <c r="M23" i="43" s="1"/>
  <c r="D19" i="53"/>
  <c r="B38" i="72" s="1"/>
  <c r="D16" i="53"/>
  <c r="B34" i="72" s="1"/>
  <c r="AZ521" i="3"/>
  <c r="AB31" i="21"/>
  <c r="U31" i="21"/>
  <c r="W45" i="21"/>
  <c r="AC45" i="21"/>
  <c r="BL5" i="3"/>
  <c r="AC11" i="35"/>
  <c r="H12" i="36"/>
  <c r="H24" i="36"/>
  <c r="AZ409" i="3"/>
  <c r="AZ416" i="3"/>
  <c r="AZ425" i="3"/>
  <c r="AZ432" i="3"/>
  <c r="AZ445" i="3"/>
  <c r="AZ447" i="3"/>
  <c r="AZ464" i="3"/>
  <c r="AZ467" i="3"/>
  <c r="AZ474" i="3"/>
  <c r="AZ480" i="3"/>
  <c r="AZ486" i="3"/>
  <c r="AZ488" i="3"/>
  <c r="AZ216" i="3"/>
  <c r="G28" i="6"/>
  <c r="F29" i="6"/>
  <c r="E29" i="6" s="1"/>
  <c r="K15" i="1" s="1"/>
  <c r="AA41" i="34"/>
  <c r="H23" i="35"/>
  <c r="J23" i="35"/>
  <c r="F25" i="37"/>
  <c r="J25" i="37"/>
  <c r="F26" i="37"/>
  <c r="H26" i="37"/>
  <c r="F44" i="39"/>
  <c r="H38" i="40"/>
  <c r="J38" i="40"/>
  <c r="H39" i="40"/>
  <c r="AZ231" i="3"/>
  <c r="AZ239" i="3"/>
  <c r="AZ264" i="3"/>
  <c r="AZ274" i="3"/>
  <c r="AZ277" i="3"/>
  <c r="AZ298" i="3"/>
  <c r="AZ301" i="3"/>
  <c r="AZ122" i="3"/>
  <c r="AZ220" i="3"/>
  <c r="AZ201" i="3"/>
  <c r="AZ207" i="3"/>
  <c r="AZ25" i="3"/>
  <c r="AZ30" i="3"/>
  <c r="AZ36" i="3"/>
  <c r="AZ40" i="3"/>
  <c r="AZ46" i="3"/>
  <c r="AZ49" i="3"/>
  <c r="AZ62" i="3"/>
  <c r="AZ65" i="3"/>
  <c r="AZ76" i="3"/>
  <c r="AZ81" i="3"/>
  <c r="AZ90" i="3"/>
  <c r="AZ96" i="3"/>
  <c r="AZ99" i="3"/>
  <c r="AZ106" i="3"/>
  <c r="AZ134" i="3"/>
  <c r="AZ137" i="3"/>
  <c r="AZ145" i="3"/>
  <c r="AB21" i="21"/>
  <c r="AC21" i="34"/>
  <c r="T40" i="71"/>
  <c r="D40" i="71"/>
  <c r="C27" i="71"/>
  <c r="T28" i="71"/>
  <c r="D28" i="71"/>
  <c r="U28" i="71" s="1"/>
  <c r="AB21" i="33"/>
  <c r="T44" i="71"/>
  <c r="D44" i="71"/>
  <c r="S21" i="21"/>
  <c r="U18" i="36"/>
  <c r="AB27" i="71"/>
  <c r="S28" i="71"/>
  <c r="AB33" i="71"/>
  <c r="Y33" i="71"/>
  <c r="Z33" i="71" s="1"/>
  <c r="X32" i="71"/>
  <c r="X37" i="71"/>
  <c r="AA29" i="71"/>
  <c r="Y9" i="71"/>
  <c r="Z9" i="71" s="1"/>
  <c r="Y10" i="71"/>
  <c r="Z10" i="71" s="1"/>
  <c r="AA9" i="71"/>
  <c r="AA10" i="71"/>
  <c r="AB24" i="71"/>
  <c r="Y21" i="71"/>
  <c r="Z21" i="71" s="1"/>
  <c r="AB21" i="71"/>
  <c r="Y18" i="71"/>
  <c r="Z18" i="71" s="1"/>
  <c r="AB18" i="71"/>
  <c r="X14" i="71"/>
  <c r="AA12" i="71"/>
  <c r="X17" i="71"/>
  <c r="AA17" i="71"/>
  <c r="X9" i="71"/>
  <c r="X10" i="71"/>
  <c r="AB10" i="71"/>
  <c r="AB9" i="71"/>
  <c r="V68" i="71"/>
  <c r="F67" i="71"/>
  <c r="AA24" i="71"/>
  <c r="X22" i="71"/>
  <c r="AA22" i="71"/>
  <c r="X21" i="71"/>
  <c r="AA21" i="71"/>
  <c r="X18" i="71"/>
  <c r="AA18" i="71"/>
  <c r="Y14" i="71"/>
  <c r="Z14" i="71" s="1"/>
  <c r="Y17" i="71"/>
  <c r="Z17" i="71" s="1"/>
  <c r="AB17" i="71"/>
  <c r="X24" i="71"/>
  <c r="Y24" i="71"/>
  <c r="Z24" i="71" s="1"/>
  <c r="AB15" i="71"/>
  <c r="AB11" i="71"/>
  <c r="AB14" i="71"/>
  <c r="X11" i="71"/>
  <c r="Y12" i="71"/>
  <c r="Z12" i="71" s="1"/>
  <c r="Y13" i="71"/>
  <c r="Z13" i="71" s="1"/>
  <c r="Y23" i="71"/>
  <c r="Z23" i="71" s="1"/>
  <c r="Y22" i="71"/>
  <c r="Z22" i="71" s="1"/>
  <c r="AA23" i="71"/>
  <c r="AB23" i="71"/>
  <c r="X15" i="71"/>
  <c r="AA15" i="71"/>
  <c r="AB12" i="71"/>
  <c r="AB13" i="71"/>
  <c r="AA11" i="71"/>
  <c r="AA13" i="71"/>
  <c r="AA14" i="71"/>
  <c r="X12" i="71"/>
  <c r="X13" i="71"/>
  <c r="Y11" i="71"/>
  <c r="Z11" i="71" s="1"/>
  <c r="H83" i="43"/>
  <c r="S22" i="31"/>
  <c r="R22" i="31" s="1"/>
  <c r="D74" i="43"/>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14" i="6"/>
  <c r="E63" i="39" s="1"/>
  <c r="I4" i="6"/>
  <c r="F30" i="6"/>
  <c r="E28" i="6"/>
  <c r="K14" i="1" s="1"/>
  <c r="L19" i="6"/>
  <c r="L27" i="6" s="1"/>
  <c r="M6" i="1"/>
  <c r="O6" i="1" s="1"/>
  <c r="T13" i="1"/>
  <c r="C58" i="21"/>
  <c r="D58" i="21" s="1"/>
  <c r="C58" i="33"/>
  <c r="C59" i="34"/>
  <c r="D59" i="34" s="1"/>
  <c r="E59" i="34" s="1"/>
  <c r="F59" i="34" s="1"/>
  <c r="G59" i="34" s="1"/>
  <c r="H59" i="34" s="1"/>
  <c r="I59" i="34" s="1"/>
  <c r="J59" i="34" s="1"/>
  <c r="K59" i="34" s="1"/>
  <c r="L59" i="34" s="1"/>
  <c r="M59" i="34" s="1"/>
  <c r="N59" i="34" s="1"/>
  <c r="O59" i="34" s="1"/>
  <c r="F31" i="15"/>
  <c r="F31" i="67"/>
  <c r="W10" i="36"/>
  <c r="U10" i="36"/>
  <c r="S10" i="36"/>
  <c r="AA10" i="35"/>
  <c r="W10" i="35"/>
  <c r="U10" i="37"/>
  <c r="S10" i="37"/>
  <c r="AC10" i="37"/>
  <c r="AA10" i="33"/>
  <c r="AC10" i="33"/>
  <c r="AB10" i="33"/>
  <c r="U10" i="21"/>
  <c r="S10" i="21"/>
  <c r="W10" i="21"/>
  <c r="AB27" i="36"/>
  <c r="S27" i="36"/>
  <c r="AC27" i="36"/>
  <c r="AC8" i="35"/>
  <c r="U8" i="35"/>
  <c r="H26" i="35"/>
  <c r="F26" i="35"/>
  <c r="J26" i="35"/>
  <c r="W33" i="37"/>
  <c r="AA11" i="37"/>
  <c r="AB11" i="34"/>
  <c r="AA11" i="34"/>
  <c r="AC32" i="21"/>
  <c r="W33" i="21"/>
  <c r="AB8" i="21"/>
  <c r="P74" i="67"/>
  <c r="H62" i="43"/>
  <c r="H58" i="43"/>
  <c r="G58" i="43" s="1"/>
  <c r="H51" i="43"/>
  <c r="G51" i="43" s="1"/>
  <c r="H56" i="43"/>
  <c r="G56" i="43" s="1"/>
  <c r="H65" i="43"/>
  <c r="D72" i="43"/>
  <c r="D76" i="43"/>
  <c r="D80" i="43"/>
  <c r="D61" i="43"/>
  <c r="P61" i="15"/>
  <c r="C94" i="9"/>
  <c r="C92" i="9"/>
  <c r="C48" i="69"/>
  <c r="C48" i="68"/>
  <c r="C30" i="68"/>
  <c r="C77" i="9"/>
  <c r="C74" i="9" s="1"/>
  <c r="C21" i="69"/>
  <c r="J84" i="43"/>
  <c r="J85" i="43"/>
  <c r="J86" i="43"/>
  <c r="J87" i="43"/>
  <c r="J88" i="43"/>
  <c r="J89" i="43"/>
  <c r="J90" i="43"/>
  <c r="D83" i="43"/>
  <c r="E83" i="43" s="1"/>
  <c r="B81" i="43" s="1"/>
  <c r="D66" i="43"/>
  <c r="D64" i="43"/>
  <c r="D62" i="43"/>
  <c r="D67" i="43"/>
  <c r="D65" i="43"/>
  <c r="D63" i="43"/>
  <c r="D69" i="43"/>
  <c r="D73" i="43"/>
  <c r="D75" i="43"/>
  <c r="D79" i="43"/>
  <c r="D22" i="67"/>
  <c r="AQ13" i="1"/>
  <c r="Q16" i="1"/>
  <c r="F27" i="69" s="1"/>
  <c r="E8" i="6"/>
  <c r="F27" i="6" s="1"/>
  <c r="D33" i="43" s="1"/>
  <c r="D1" i="43" s="1"/>
  <c r="E12" i="6"/>
  <c r="E57" i="40" s="1"/>
  <c r="E15" i="6"/>
  <c r="E64" i="39" s="1"/>
  <c r="E11" i="6"/>
  <c r="E60" i="39" s="1"/>
  <c r="E10" i="6"/>
  <c r="E13" i="6"/>
  <c r="H16" i="1"/>
  <c r="P6" i="1"/>
  <c r="C13" i="12" s="1"/>
  <c r="P11" i="1"/>
  <c r="D9" i="11"/>
  <c r="C9" i="11" s="1"/>
  <c r="AZ13" i="3"/>
  <c r="O9" i="1"/>
  <c r="P9" i="1" s="1"/>
  <c r="O12" i="1"/>
  <c r="P12" i="1" s="1"/>
  <c r="H73" i="43"/>
  <c r="H90" i="43"/>
  <c r="C23" i="43"/>
  <c r="O23" i="43"/>
  <c r="I18" i="43"/>
  <c r="E17" i="43" s="1"/>
  <c r="C17" i="43" s="1"/>
  <c r="A1" i="79"/>
  <c r="H55" i="43"/>
  <c r="G55" i="43" s="1"/>
  <c r="H86" i="43"/>
  <c r="H87" i="43"/>
  <c r="H89" i="43"/>
  <c r="H88" i="43"/>
  <c r="H84" i="43"/>
  <c r="C69" i="39"/>
  <c r="D67" i="39"/>
  <c r="D69" i="39" s="1"/>
  <c r="A19" i="51"/>
  <c r="B14" i="72" s="1"/>
  <c r="T35" i="4"/>
  <c r="H110" i="9"/>
  <c r="D18" i="53" s="1"/>
  <c r="B35" i="72" s="1"/>
  <c r="H52" i="43"/>
  <c r="G52" i="43" s="1"/>
  <c r="K5" i="4"/>
  <c r="B47" i="48" s="1"/>
  <c r="Y8" i="71"/>
  <c r="Z8" i="71" s="1"/>
  <c r="X8" i="71"/>
  <c r="AB8" i="71"/>
  <c r="AA8" i="71"/>
  <c r="L68" i="9"/>
  <c r="M68" i="9" s="1"/>
  <c r="L65" i="9"/>
  <c r="M65" i="9" s="1"/>
  <c r="L66" i="9"/>
  <c r="M66" i="9" s="1"/>
  <c r="L64" i="9"/>
  <c r="M64" i="9" s="1"/>
  <c r="L63" i="9"/>
  <c r="M63" i="9" s="1"/>
  <c r="M69" i="9" s="1"/>
  <c r="N69" i="9" s="1"/>
  <c r="L67" i="9"/>
  <c r="M67" i="9" s="1"/>
  <c r="B8" i="74"/>
  <c r="C8" i="74" s="1"/>
  <c r="D127" i="9"/>
  <c r="D13" i="52" s="1"/>
  <c r="D12" i="52"/>
  <c r="D20" i="53"/>
  <c r="B40" i="72" s="1"/>
  <c r="H76" i="43"/>
  <c r="H72" i="43"/>
  <c r="H63" i="43"/>
  <c r="H61" i="43"/>
  <c r="H53" i="43"/>
  <c r="G53" i="43" s="1"/>
  <c r="H79" i="43"/>
  <c r="D124" i="9"/>
  <c r="H74" i="43"/>
  <c r="H57" i="43"/>
  <c r="G57" i="43" s="1"/>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J7" i="36"/>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Y16" i="71"/>
  <c r="Z16" i="71" s="1"/>
  <c r="Y15" i="71"/>
  <c r="Z15" i="71" s="1"/>
  <c r="AA16" i="71"/>
  <c r="AB3" i="71"/>
  <c r="B16" i="71"/>
  <c r="X16" i="71"/>
  <c r="AB16" i="71"/>
  <c r="Y3" i="71"/>
  <c r="Z3" i="71" s="1"/>
  <c r="F16" i="71"/>
  <c r="F15" i="71" s="1"/>
  <c r="F14" i="71" s="1"/>
  <c r="F13" i="71" s="1"/>
  <c r="F12" i="71" s="1"/>
  <c r="F11" i="71" s="1"/>
  <c r="F10" i="71" s="1"/>
  <c r="F9" i="71" s="1"/>
  <c r="F8" i="71" s="1"/>
  <c r="F7" i="71" s="1"/>
  <c r="F6" i="71" s="1"/>
  <c r="F5" i="71" s="1"/>
  <c r="AF3" i="71"/>
  <c r="P26" i="43" s="1"/>
  <c r="Q71" i="15"/>
  <c r="K1" i="73"/>
  <c r="I1" i="73"/>
  <c r="B39" i="1" s="1"/>
  <c r="F51" i="67"/>
  <c r="F65" i="67"/>
  <c r="J53" i="67"/>
  <c r="J57" i="67"/>
  <c r="J55" i="67" s="1"/>
  <c r="J58" i="67" s="1"/>
  <c r="Q50" i="67" s="1"/>
  <c r="L56" i="67"/>
  <c r="I54" i="67"/>
  <c r="F51" i="15"/>
  <c r="F66" i="67"/>
  <c r="L59" i="15"/>
  <c r="N59" i="15"/>
  <c r="M59" i="15"/>
  <c r="F66" i="15"/>
  <c r="Q71" i="67"/>
  <c r="F64" i="15"/>
  <c r="C27" i="67"/>
  <c r="C27" i="15"/>
  <c r="F65" i="15"/>
  <c r="N59" i="67"/>
  <c r="L59" i="67"/>
  <c r="L58" i="67"/>
  <c r="M59" i="67"/>
  <c r="B13" i="70"/>
  <c r="F68" i="67"/>
  <c r="F64" i="67"/>
  <c r="F68" i="15"/>
  <c r="C36" i="69"/>
  <c r="M29" i="67"/>
  <c r="F43" i="15"/>
  <c r="M29" i="15"/>
  <c r="F7" i="67"/>
  <c r="F43" i="67"/>
  <c r="F7" i="15"/>
  <c r="L48" i="15"/>
  <c r="G1" i="73"/>
  <c r="J53" i="15" l="1"/>
  <c r="L56" i="15" s="1"/>
  <c r="I54" i="15"/>
  <c r="L58" i="15"/>
  <c r="Q73" i="15" s="1"/>
  <c r="J57" i="15"/>
  <c r="J55" i="15" s="1"/>
  <c r="J58" i="15" s="1"/>
  <c r="Q50" i="15" s="1"/>
  <c r="E70" i="3"/>
  <c r="E53" i="3"/>
  <c r="M5" i="87"/>
  <c r="E253" i="3"/>
  <c r="E318" i="3"/>
  <c r="E549" i="3"/>
  <c r="E107" i="3"/>
  <c r="U6" i="3"/>
  <c r="E411" i="3"/>
  <c r="E548" i="3"/>
  <c r="E432" i="3"/>
  <c r="E367" i="3"/>
  <c r="E547" i="3"/>
  <c r="E403" i="3"/>
  <c r="E546" i="3"/>
  <c r="E71" i="3"/>
  <c r="E92" i="3"/>
  <c r="E126" i="3"/>
  <c r="E210" i="3"/>
  <c r="E331" i="3"/>
  <c r="E384" i="3"/>
  <c r="E44" i="3"/>
  <c r="E441" i="3"/>
  <c r="E559" i="3"/>
  <c r="AB6" i="3"/>
  <c r="E387" i="3"/>
  <c r="E335" i="3"/>
  <c r="E215" i="3"/>
  <c r="E189" i="3"/>
  <c r="E69" i="3"/>
  <c r="E278" i="3"/>
  <c r="E563" i="3"/>
  <c r="E172" i="3"/>
  <c r="E445" i="3"/>
  <c r="E535" i="3"/>
  <c r="E161" i="3"/>
  <c r="E135" i="3"/>
  <c r="E191" i="3"/>
  <c r="E263" i="3"/>
  <c r="E423" i="3"/>
  <c r="AI6" i="3"/>
  <c r="E385" i="3"/>
  <c r="E246" i="3"/>
  <c r="X6" i="3"/>
  <c r="E583" i="3"/>
  <c r="E458" i="3"/>
  <c r="E111" i="3"/>
  <c r="E567" i="3"/>
  <c r="E145" i="3"/>
  <c r="E379" i="3"/>
  <c r="Z6" i="3"/>
  <c r="AG6" i="3"/>
  <c r="AO6" i="3"/>
  <c r="E448" i="3"/>
  <c r="E485" i="3"/>
  <c r="P6" i="3"/>
  <c r="E400" i="3"/>
  <c r="E443" i="3"/>
  <c r="E345" i="3"/>
  <c r="E558" i="3"/>
  <c r="E557" i="3"/>
  <c r="E581" i="3"/>
  <c r="E531" i="3"/>
  <c r="E444" i="3"/>
  <c r="E489" i="3"/>
  <c r="E404" i="3"/>
  <c r="E28" i="3"/>
  <c r="E88" i="3"/>
  <c r="E121" i="3"/>
  <c r="E182" i="3"/>
  <c r="E166" i="3"/>
  <c r="E211" i="3"/>
  <c r="E295" i="3"/>
  <c r="E273" i="3"/>
  <c r="E316" i="3"/>
  <c r="E377" i="3"/>
  <c r="E334" i="3"/>
  <c r="E572" i="3"/>
  <c r="E30" i="3"/>
  <c r="E109" i="3"/>
  <c r="E480" i="3"/>
  <c r="E175" i="3"/>
  <c r="E319" i="3"/>
  <c r="E530" i="3"/>
  <c r="E501" i="3"/>
  <c r="E343" i="3"/>
  <c r="E153" i="3"/>
  <c r="E305" i="3"/>
  <c r="E426" i="3"/>
  <c r="E508" i="3"/>
  <c r="E328" i="3"/>
  <c r="E388" i="3"/>
  <c r="O6" i="3"/>
  <c r="E555" i="3"/>
  <c r="E574" i="3"/>
  <c r="E410" i="3"/>
  <c r="E359" i="3"/>
  <c r="E337" i="3"/>
  <c r="E285" i="3"/>
  <c r="E143" i="3"/>
  <c r="E97" i="3"/>
  <c r="E270" i="3"/>
  <c r="E390" i="3"/>
  <c r="E533" i="3"/>
  <c r="S6" i="3"/>
  <c r="AR6" i="3"/>
  <c r="E523" i="3"/>
  <c r="E561" i="3"/>
  <c r="E506" i="3"/>
  <c r="E538" i="3"/>
  <c r="E418" i="3"/>
  <c r="E439" i="3"/>
  <c r="E338" i="3"/>
  <c r="E380" i="3"/>
  <c r="E321" i="3"/>
  <c r="E169" i="3"/>
  <c r="E185" i="3"/>
  <c r="E261" i="3"/>
  <c r="E304" i="3"/>
  <c r="E528" i="3"/>
  <c r="E565" i="3"/>
  <c r="E183" i="3"/>
  <c r="E213" i="3"/>
  <c r="E361" i="3"/>
  <c r="E17" i="3"/>
  <c r="E503" i="3"/>
  <c r="E302" i="3"/>
  <c r="E180" i="3"/>
  <c r="E221" i="3"/>
  <c r="E91" i="3"/>
  <c r="E134" i="3"/>
  <c r="E159" i="3"/>
  <c r="E303" i="3"/>
  <c r="E350" i="3"/>
  <c r="E402" i="3"/>
  <c r="E586" i="3"/>
  <c r="AN6" i="3"/>
  <c r="E495" i="3"/>
  <c r="E353" i="3"/>
  <c r="E124" i="3"/>
  <c r="E280" i="3"/>
  <c r="E399" i="3"/>
  <c r="AA6" i="3"/>
  <c r="E347" i="3"/>
  <c r="E571" i="3"/>
  <c r="E271" i="3"/>
  <c r="E585" i="3"/>
  <c r="E515" i="3"/>
  <c r="E478" i="3"/>
  <c r="E414" i="3"/>
  <c r="E477" i="3"/>
  <c r="E505" i="3"/>
  <c r="AS6" i="3"/>
  <c r="E476" i="3"/>
  <c r="E447" i="3"/>
  <c r="E27" i="3"/>
  <c r="E162" i="3"/>
  <c r="E186" i="3"/>
  <c r="E272" i="3"/>
  <c r="E291" i="3"/>
  <c r="E317" i="3"/>
  <c r="AM6" i="3"/>
  <c r="E29" i="3"/>
  <c r="E125" i="3"/>
  <c r="E217" i="3"/>
  <c r="E366" i="3"/>
  <c r="E526" i="3"/>
  <c r="E553" i="3"/>
  <c r="E268" i="3"/>
  <c r="E282" i="3"/>
  <c r="E322" i="3"/>
  <c r="N6" i="3"/>
  <c r="AJ6" i="3"/>
  <c r="E239" i="3"/>
  <c r="E509" i="3"/>
  <c r="E516" i="3"/>
  <c r="E579" i="3"/>
  <c r="E569" i="3"/>
  <c r="E431" i="3"/>
  <c r="E396" i="3"/>
  <c r="E247" i="3"/>
  <c r="E229" i="3"/>
  <c r="E201" i="3"/>
  <c r="E151" i="3"/>
  <c r="E311" i="3"/>
  <c r="E358" i="3"/>
  <c r="E514" i="3"/>
  <c r="E570" i="3"/>
  <c r="E551" i="3"/>
  <c r="M6" i="3"/>
  <c r="V6" i="3"/>
  <c r="E407" i="3"/>
  <c r="E320" i="3"/>
  <c r="E294" i="3"/>
  <c r="E230" i="3"/>
  <c r="E130" i="3"/>
  <c r="E114" i="3"/>
  <c r="E415" i="3"/>
  <c r="E395" i="3"/>
  <c r="E260" i="3"/>
  <c r="E550" i="3"/>
  <c r="E117" i="3"/>
  <c r="E290" i="3"/>
  <c r="E61" i="3"/>
  <c r="E245" i="3"/>
  <c r="E382" i="3"/>
  <c r="E578" i="3"/>
  <c r="E518" i="3"/>
  <c r="E293" i="3"/>
  <c r="E336" i="3"/>
  <c r="E301" i="3"/>
  <c r="E298" i="3"/>
  <c r="E269" i="3"/>
  <c r="E254" i="3"/>
  <c r="E237" i="3"/>
  <c r="E231" i="3"/>
  <c r="E216" i="3"/>
  <c r="BA5" i="3"/>
  <c r="D9" i="68"/>
  <c r="C9" i="68" s="1"/>
  <c r="D9" i="69"/>
  <c r="C9" i="69" s="1"/>
  <c r="B20" i="31"/>
  <c r="B21" i="31" s="1"/>
  <c r="D16" i="71"/>
  <c r="U16" i="71" s="1"/>
  <c r="D17" i="53"/>
  <c r="B36" i="72" s="1"/>
  <c r="U15" i="34"/>
  <c r="T52" i="71"/>
  <c r="D52" i="71"/>
  <c r="AZ458" i="3"/>
  <c r="AZ443" i="3"/>
  <c r="AZ402" i="3"/>
  <c r="G6" i="1"/>
  <c r="C10" i="34"/>
  <c r="I24" i="43"/>
  <c r="C24" i="43" s="1"/>
  <c r="AA23" i="36"/>
  <c r="S23" i="36"/>
  <c r="AZ550" i="3"/>
  <c r="W12" i="35"/>
  <c r="AC12" i="35"/>
  <c r="W28" i="34"/>
  <c r="AC28" i="34"/>
  <c r="AA14" i="21"/>
  <c r="S14" i="21"/>
  <c r="S30" i="21"/>
  <c r="AA30" i="21"/>
  <c r="U44" i="21"/>
  <c r="AB44" i="21"/>
  <c r="AC46" i="21"/>
  <c r="W46" i="21"/>
  <c r="AB27" i="21"/>
  <c r="U27" i="21"/>
  <c r="AZ5" i="3"/>
  <c r="D31" i="71"/>
  <c r="C32" i="71"/>
  <c r="D55" i="71"/>
  <c r="C56" i="71"/>
  <c r="AC23" i="36"/>
  <c r="W23" i="36"/>
  <c r="S12" i="35"/>
  <c r="AA12" i="35"/>
  <c r="AA19" i="34"/>
  <c r="S19" i="34"/>
  <c r="U14" i="21"/>
  <c r="AB14" i="21"/>
  <c r="W30" i="21"/>
  <c r="AC30" i="21"/>
  <c r="AA44" i="21"/>
  <c r="S44" i="21"/>
  <c r="AA46" i="21"/>
  <c r="S46" i="21"/>
  <c r="AA27" i="21"/>
  <c r="S27" i="21"/>
  <c r="C6" i="15"/>
  <c r="C32" i="15" s="1"/>
  <c r="E77" i="3"/>
  <c r="B14" i="74"/>
  <c r="C34" i="34"/>
  <c r="W19" i="34"/>
  <c r="W37" i="34"/>
  <c r="S37" i="34"/>
  <c r="AA17" i="34"/>
  <c r="S17" i="34"/>
  <c r="AB25" i="34"/>
  <c r="U25" i="34"/>
  <c r="W25" i="34"/>
  <c r="S25" i="34"/>
  <c r="AA25" i="34"/>
  <c r="W40" i="34"/>
  <c r="AC40" i="34"/>
  <c r="W43" i="34"/>
  <c r="AC43" i="34"/>
  <c r="F11" i="82"/>
  <c r="M11" i="82"/>
  <c r="J10" i="82" s="1"/>
  <c r="K50" i="43"/>
  <c r="J50" i="43" s="1"/>
  <c r="K55" i="43"/>
  <c r="M55" i="43"/>
  <c r="N55" i="43" s="1"/>
  <c r="K56" i="43"/>
  <c r="M56" i="43"/>
  <c r="N56" i="43" s="1"/>
  <c r="M58" i="43"/>
  <c r="N58" i="43" s="1"/>
  <c r="K58" i="43"/>
  <c r="M57" i="43"/>
  <c r="N57" i="43" s="1"/>
  <c r="K57" i="43"/>
  <c r="J57" i="43" s="1"/>
  <c r="D57" i="43" s="1"/>
  <c r="M53" i="43"/>
  <c r="N53" i="43" s="1"/>
  <c r="K53" i="43"/>
  <c r="M52" i="43"/>
  <c r="N52" i="43" s="1"/>
  <c r="K52" i="43"/>
  <c r="K51" i="43"/>
  <c r="M51" i="43"/>
  <c r="N51" i="43" s="1"/>
  <c r="D50" i="43"/>
  <c r="C30" i="11"/>
  <c r="F71" i="15"/>
  <c r="F71" i="67"/>
  <c r="C6" i="67"/>
  <c r="C32" i="67" s="1"/>
  <c r="F50" i="67"/>
  <c r="C49" i="67" s="1"/>
  <c r="M7" i="67"/>
  <c r="J6" i="67" s="1"/>
  <c r="J18" i="67" s="1"/>
  <c r="M7" i="15"/>
  <c r="J6" i="15" s="1"/>
  <c r="J18" i="15" s="1"/>
  <c r="F50" i="15"/>
  <c r="C49" i="15" s="1"/>
  <c r="M8" i="1"/>
  <c r="G16" i="1"/>
  <c r="F10" i="39" s="1"/>
  <c r="AA10" i="39" s="1"/>
  <c r="E207" i="3"/>
  <c r="E196" i="3"/>
  <c r="E397" i="3"/>
  <c r="E93" i="3"/>
  <c r="E279" i="3"/>
  <c r="E433" i="3"/>
  <c r="E457" i="3"/>
  <c r="E330" i="3"/>
  <c r="E31" i="3"/>
  <c r="E351" i="3"/>
  <c r="E150" i="3"/>
  <c r="E72" i="3"/>
  <c r="E450" i="3"/>
  <c r="E562" i="3"/>
  <c r="E527" i="3"/>
  <c r="E573" i="3"/>
  <c r="E511" i="3"/>
  <c r="E14" i="3"/>
  <c r="E357" i="3"/>
  <c r="E257" i="3"/>
  <c r="E208" i="3"/>
  <c r="E168" i="3"/>
  <c r="E54" i="3"/>
  <c r="E475" i="3"/>
  <c r="E471" i="3"/>
  <c r="E537" i="3"/>
  <c r="W6" i="3"/>
  <c r="E288" i="3"/>
  <c r="E438" i="3"/>
  <c r="E474" i="3"/>
  <c r="E529" i="3"/>
  <c r="E532" i="3"/>
  <c r="E45" i="3"/>
  <c r="E85" i="3"/>
  <c r="E576" i="3"/>
  <c r="E327" i="3"/>
  <c r="E164" i="3"/>
  <c r="E204" i="3"/>
  <c r="E252" i="3"/>
  <c r="E89" i="3"/>
  <c r="E236" i="3"/>
  <c r="E368" i="3"/>
  <c r="I6" i="3"/>
  <c r="E227" i="3"/>
  <c r="E32" i="3"/>
  <c r="E74" i="3"/>
  <c r="E580" i="3"/>
  <c r="E362" i="3"/>
  <c r="E394" i="3"/>
  <c r="E315" i="3"/>
  <c r="E274" i="3"/>
  <c r="E214" i="3"/>
  <c r="E256" i="3"/>
  <c r="E171" i="3"/>
  <c r="E203" i="3"/>
  <c r="E146" i="3"/>
  <c r="E73" i="3"/>
  <c r="E106" i="3"/>
  <c r="E55" i="3"/>
  <c r="E454" i="3"/>
  <c r="E496" i="3"/>
  <c r="E468" i="3"/>
  <c r="E429" i="3"/>
  <c r="E577" i="3"/>
  <c r="AE6" i="3"/>
  <c r="E587" i="3"/>
  <c r="E344" i="3"/>
  <c r="E465" i="3"/>
  <c r="E424" i="3"/>
  <c r="E406" i="3"/>
  <c r="E481" i="3"/>
  <c r="E472" i="3"/>
  <c r="E437" i="3"/>
  <c r="E560" i="3"/>
  <c r="Q6" i="3"/>
  <c r="K6" i="3"/>
  <c r="E193" i="3"/>
  <c r="E99" i="3"/>
  <c r="E314" i="3"/>
  <c r="E453" i="3"/>
  <c r="E519" i="3"/>
  <c r="E313" i="3"/>
  <c r="E224" i="3"/>
  <c r="E157" i="3"/>
  <c r="E306" i="3"/>
  <c r="E352" i="3"/>
  <c r="E136" i="3"/>
  <c r="E461" i="3"/>
  <c r="E122" i="3"/>
  <c r="E133" i="3"/>
  <c r="E177" i="3"/>
  <c r="E277" i="3"/>
  <c r="E120" i="3"/>
  <c r="E228" i="3"/>
  <c r="E262" i="3"/>
  <c r="AK6" i="3"/>
  <c r="E128" i="3"/>
  <c r="E545" i="3"/>
  <c r="E434" i="3"/>
  <c r="E181" i="3"/>
  <c r="E238" i="3"/>
  <c r="E568" i="3"/>
  <c r="E156" i="3"/>
  <c r="K16" i="1"/>
  <c r="B29" i="1" s="1"/>
  <c r="C8" i="68" s="1"/>
  <c r="E59" i="40"/>
  <c r="F7" i="36"/>
  <c r="J7" i="37"/>
  <c r="H7" i="36"/>
  <c r="C26" i="71"/>
  <c r="D26" i="71" s="1"/>
  <c r="D27" i="71"/>
  <c r="U39" i="40"/>
  <c r="AB39" i="40"/>
  <c r="AB38" i="40"/>
  <c r="U38" i="40"/>
  <c r="AB26" i="37"/>
  <c r="U26" i="37"/>
  <c r="AC25" i="37"/>
  <c r="W25" i="37"/>
  <c r="AC23" i="35"/>
  <c r="W23" i="35"/>
  <c r="U12" i="36"/>
  <c r="AB12" i="36"/>
  <c r="E510" i="3"/>
  <c r="E539" i="3"/>
  <c r="E165" i="3"/>
  <c r="E536" i="3"/>
  <c r="E244" i="3"/>
  <c r="E148" i="3"/>
  <c r="E149" i="3"/>
  <c r="E212" i="3"/>
  <c r="E167" i="3"/>
  <c r="E199" i="3"/>
  <c r="E141" i="3"/>
  <c r="E286" i="3"/>
  <c r="E312" i="3"/>
  <c r="E575" i="3"/>
  <c r="AD6" i="3"/>
  <c r="E499" i="3"/>
  <c r="E542" i="3"/>
  <c r="R6" i="3"/>
  <c r="E552" i="3"/>
  <c r="E502" i="3"/>
  <c r="E421" i="3"/>
  <c r="E442" i="3"/>
  <c r="E464" i="3"/>
  <c r="E466" i="3"/>
  <c r="E487" i="3"/>
  <c r="E541" i="3"/>
  <c r="E398" i="3"/>
  <c r="E430" i="3"/>
  <c r="E416" i="3"/>
  <c r="E449" i="3"/>
  <c r="E459" i="3"/>
  <c r="E255" i="3"/>
  <c r="E374" i="3"/>
  <c r="I3" i="6"/>
  <c r="E566" i="3"/>
  <c r="AP6" i="3"/>
  <c r="E500" i="3"/>
  <c r="E554" i="3"/>
  <c r="E582" i="3"/>
  <c r="E517" i="3"/>
  <c r="E413" i="3"/>
  <c r="E435" i="3"/>
  <c r="E460" i="3"/>
  <c r="E491" i="3"/>
  <c r="E520" i="3"/>
  <c r="E417" i="3"/>
  <c r="E436" i="3"/>
  <c r="E479" i="3"/>
  <c r="E39" i="3"/>
  <c r="E56" i="3"/>
  <c r="E90" i="3"/>
  <c r="E37" i="3"/>
  <c r="E57" i="3"/>
  <c r="E95" i="3"/>
  <c r="E131" i="3"/>
  <c r="E152" i="3"/>
  <c r="E187" i="3"/>
  <c r="E132" i="3"/>
  <c r="E155" i="3"/>
  <c r="E192" i="3"/>
  <c r="E240" i="3"/>
  <c r="E258" i="3"/>
  <c r="E297" i="3"/>
  <c r="E241" i="3"/>
  <c r="E259" i="3"/>
  <c r="E292" i="3"/>
  <c r="E348" i="3"/>
  <c r="E363" i="3"/>
  <c r="E378" i="3"/>
  <c r="E349" i="3"/>
  <c r="E375" i="3"/>
  <c r="E389" i="3"/>
  <c r="E504" i="3"/>
  <c r="E544" i="3"/>
  <c r="E58" i="3"/>
  <c r="E329" i="3"/>
  <c r="E223" i="3"/>
  <c r="E105" i="3"/>
  <c r="E564" i="3"/>
  <c r="E543" i="3"/>
  <c r="E486" i="3"/>
  <c r="E422" i="3"/>
  <c r="E376" i="3"/>
  <c r="J6" i="3"/>
  <c r="E419" i="3"/>
  <c r="E401" i="3"/>
  <c r="E40" i="3"/>
  <c r="E178" i="3"/>
  <c r="E202" i="3"/>
  <c r="E226" i="3"/>
  <c r="E346" i="3"/>
  <c r="E372" i="3"/>
  <c r="E60" i="3"/>
  <c r="E43" i="3"/>
  <c r="E540" i="3"/>
  <c r="E473" i="3"/>
  <c r="E15" i="3"/>
  <c r="E455" i="3"/>
  <c r="E79" i="3"/>
  <c r="E78" i="3"/>
  <c r="E129" i="3"/>
  <c r="E190" i="3"/>
  <c r="E174" i="3"/>
  <c r="E220" i="3"/>
  <c r="E275" i="3"/>
  <c r="E235" i="3"/>
  <c r="E324" i="3"/>
  <c r="E383" i="3"/>
  <c r="E342" i="3"/>
  <c r="E522" i="3"/>
  <c r="E52" i="3"/>
  <c r="E36" i="3"/>
  <c r="E112" i="3"/>
  <c r="E123" i="3"/>
  <c r="E147" i="3"/>
  <c r="E289" i="3"/>
  <c r="E340" i="3"/>
  <c r="E364" i="3"/>
  <c r="E102" i="3"/>
  <c r="E80" i="3"/>
  <c r="E113" i="3"/>
  <c r="E158" i="3"/>
  <c r="E287" i="3"/>
  <c r="E308" i="3"/>
  <c r="E326" i="3"/>
  <c r="E22" i="3"/>
  <c r="E83" i="3"/>
  <c r="E205" i="3"/>
  <c r="E296" i="3"/>
  <c r="E140" i="3"/>
  <c r="E197" i="3"/>
  <c r="E173" i="3"/>
  <c r="E369" i="3"/>
  <c r="E525" i="3"/>
  <c r="E534" i="3"/>
  <c r="T6" i="3"/>
  <c r="E405" i="3"/>
  <c r="E456" i="3"/>
  <c r="E469" i="3"/>
  <c r="E512" i="3"/>
  <c r="E408" i="3"/>
  <c r="E451" i="3"/>
  <c r="E360" i="3"/>
  <c r="E556" i="3"/>
  <c r="E497" i="3"/>
  <c r="E13" i="3"/>
  <c r="E494" i="3"/>
  <c r="E452" i="3"/>
  <c r="E470" i="3"/>
  <c r="E420" i="3"/>
  <c r="E26" i="3"/>
  <c r="E104" i="3"/>
  <c r="E41" i="3"/>
  <c r="E115" i="3"/>
  <c r="E198" i="3"/>
  <c r="E139" i="3"/>
  <c r="E225" i="3"/>
  <c r="E281" i="3"/>
  <c r="E243" i="3"/>
  <c r="E332" i="3"/>
  <c r="E391" i="3"/>
  <c r="E356" i="3"/>
  <c r="AL6" i="3"/>
  <c r="E42" i="3"/>
  <c r="E76" i="3"/>
  <c r="E110" i="3"/>
  <c r="E59" i="3"/>
  <c r="E488" i="3"/>
  <c r="E409" i="3"/>
  <c r="E462" i="3"/>
  <c r="E484" i="3"/>
  <c r="E425" i="3"/>
  <c r="E446" i="3"/>
  <c r="E467" i="3"/>
  <c r="E47" i="3"/>
  <c r="E64" i="3"/>
  <c r="E98" i="3"/>
  <c r="E46" i="3"/>
  <c r="E65" i="3"/>
  <c r="E103" i="3"/>
  <c r="E138" i="3"/>
  <c r="E160" i="3"/>
  <c r="E195" i="3"/>
  <c r="E142" i="3"/>
  <c r="E163" i="3"/>
  <c r="E200" i="3"/>
  <c r="E248" i="3"/>
  <c r="E267" i="3"/>
  <c r="E209" i="3"/>
  <c r="E249" i="3"/>
  <c r="E266" i="3"/>
  <c r="E300" i="3"/>
  <c r="E307" i="3"/>
  <c r="E371" i="3"/>
  <c r="E386" i="3"/>
  <c r="E310" i="3"/>
  <c r="E354" i="3"/>
  <c r="E492" i="3"/>
  <c r="E584" i="3"/>
  <c r="E23" i="3"/>
  <c r="E66" i="3"/>
  <c r="E84" i="3"/>
  <c r="E24" i="3"/>
  <c r="E67" i="3"/>
  <c r="E48" i="3"/>
  <c r="E33" i="3"/>
  <c r="E87" i="3"/>
  <c r="E144" i="3"/>
  <c r="E127" i="3"/>
  <c r="E184" i="3"/>
  <c r="E250" i="3"/>
  <c r="E233" i="3"/>
  <c r="E284" i="3"/>
  <c r="E355" i="3"/>
  <c r="E341" i="3"/>
  <c r="E381" i="3"/>
  <c r="Y6" i="3"/>
  <c r="E68" i="3"/>
  <c r="E51" i="3"/>
  <c r="E63" i="3"/>
  <c r="E19" i="3"/>
  <c r="E81" i="3"/>
  <c r="E154" i="3"/>
  <c r="E118" i="3"/>
  <c r="E179" i="3"/>
  <c r="E264" i="3"/>
  <c r="E222" i="3"/>
  <c r="E283" i="3"/>
  <c r="E323" i="3"/>
  <c r="E309" i="3"/>
  <c r="E373" i="3"/>
  <c r="E513" i="3"/>
  <c r="E82" i="3"/>
  <c r="E21" i="3"/>
  <c r="E16" i="3"/>
  <c r="E188" i="3"/>
  <c r="E116" i="3"/>
  <c r="E393" i="3"/>
  <c r="E493" i="3"/>
  <c r="E427" i="3"/>
  <c r="E507" i="3"/>
  <c r="E440" i="3"/>
  <c r="E490" i="3"/>
  <c r="AH6" i="3"/>
  <c r="E498" i="3"/>
  <c r="E483" i="3"/>
  <c r="E463" i="3"/>
  <c r="E25" i="3"/>
  <c r="E108" i="3"/>
  <c r="E119" i="3"/>
  <c r="E242" i="3"/>
  <c r="E276" i="3"/>
  <c r="E333" i="3"/>
  <c r="L6" i="3"/>
  <c r="E94" i="3"/>
  <c r="E75" i="3"/>
  <c r="E428" i="3"/>
  <c r="E482" i="3"/>
  <c r="E412" i="3"/>
  <c r="E18" i="3"/>
  <c r="E96" i="3"/>
  <c r="E38" i="3"/>
  <c r="E100" i="3"/>
  <c r="E170" i="3"/>
  <c r="E137" i="3"/>
  <c r="E194" i="3"/>
  <c r="E234" i="3"/>
  <c r="E219" i="3"/>
  <c r="E299" i="3"/>
  <c r="E339" i="3"/>
  <c r="E325" i="3"/>
  <c r="E392" i="3"/>
  <c r="AQ6" i="3"/>
  <c r="E35" i="3"/>
  <c r="E86" i="3"/>
  <c r="E34" i="3"/>
  <c r="E49" i="3"/>
  <c r="E206" i="3"/>
  <c r="E232" i="3"/>
  <c r="E251" i="3"/>
  <c r="E370" i="3"/>
  <c r="AF6" i="3"/>
  <c r="AC6" i="3" s="1"/>
  <c r="E50" i="3"/>
  <c r="E20" i="3"/>
  <c r="E62" i="3"/>
  <c r="E176" i="3"/>
  <c r="E218" i="3"/>
  <c r="E265" i="3"/>
  <c r="E365" i="3"/>
  <c r="E524" i="3"/>
  <c r="E101" i="3"/>
  <c r="B15" i="71"/>
  <c r="B14" i="71" s="1"/>
  <c r="B13" i="71" s="1"/>
  <c r="B12" i="71" s="1"/>
  <c r="S16" i="71"/>
  <c r="F66" i="71"/>
  <c r="Q67" i="71"/>
  <c r="AC38" i="40"/>
  <c r="W38" i="40"/>
  <c r="AA44" i="39"/>
  <c r="S44" i="39"/>
  <c r="S26" i="37"/>
  <c r="AA26" i="37"/>
  <c r="S25" i="37"/>
  <c r="AA25" i="37"/>
  <c r="U23" i="35"/>
  <c r="AB23" i="35"/>
  <c r="AB24" i="36"/>
  <c r="U24" i="36"/>
  <c r="C15" i="71"/>
  <c r="T16" i="71"/>
  <c r="E521" i="3"/>
  <c r="E15" i="71"/>
  <c r="E14" i="71" s="1"/>
  <c r="E13" i="71" s="1"/>
  <c r="E12" i="71" s="1"/>
  <c r="V16" i="71"/>
  <c r="E61" i="43"/>
  <c r="B59" i="43" s="1"/>
  <c r="E30" i="6"/>
  <c r="E56" i="39"/>
  <c r="H7" i="34"/>
  <c r="AB7" i="34" s="1"/>
  <c r="E67" i="39"/>
  <c r="E69" i="39" s="1"/>
  <c r="J7" i="34"/>
  <c r="W7" i="34" s="1"/>
  <c r="F7" i="34"/>
  <c r="S7" i="34" s="1"/>
  <c r="AA26" i="35"/>
  <c r="S26" i="35"/>
  <c r="AC26" i="35"/>
  <c r="W26" i="35"/>
  <c r="AB26" i="35"/>
  <c r="U26" i="35"/>
  <c r="E61" i="39"/>
  <c r="E56" i="40"/>
  <c r="C47" i="69"/>
  <c r="D45" i="69" s="1"/>
  <c r="E72" i="43"/>
  <c r="B70" i="43" s="1"/>
  <c r="C29" i="69"/>
  <c r="D27" i="69" s="1"/>
  <c r="F45" i="69"/>
  <c r="F27" i="11"/>
  <c r="C29" i="11" s="1"/>
  <c r="D27" i="11" s="1"/>
  <c r="F28" i="12"/>
  <c r="C29" i="12" s="1"/>
  <c r="D28" i="12" s="1"/>
  <c r="E60" i="40"/>
  <c r="E27" i="6"/>
  <c r="K26" i="6" s="1"/>
  <c r="M26" i="6" s="1"/>
  <c r="I26" i="6" s="1"/>
  <c r="S26" i="6" s="1"/>
  <c r="F31" i="6"/>
  <c r="E51" i="40"/>
  <c r="E16" i="6"/>
  <c r="E58" i="40"/>
  <c r="E62" i="39"/>
  <c r="AY6" i="3"/>
  <c r="E3" i="6"/>
  <c r="M14" i="1"/>
  <c r="D5" i="43"/>
  <c r="C7" i="43"/>
  <c r="C5" i="43" s="1"/>
  <c r="D10" i="52"/>
  <c r="D125" i="9"/>
  <c r="D11" i="52" s="1"/>
  <c r="B7" i="74"/>
  <c r="C7" i="74" s="1"/>
  <c r="F67" i="39"/>
  <c r="F59" i="67"/>
  <c r="H7" i="37"/>
  <c r="AB7" i="37" s="1"/>
  <c r="T42" i="37" s="1"/>
  <c r="G42" i="37" s="1"/>
  <c r="B40" i="1"/>
  <c r="H7" i="33"/>
  <c r="J7" i="33"/>
  <c r="D65" i="40"/>
  <c r="E63" i="40"/>
  <c r="F48" i="35"/>
  <c r="S7" i="36"/>
  <c r="AA7" i="36"/>
  <c r="R36" i="36" s="1"/>
  <c r="AC7" i="37"/>
  <c r="V42" i="37" s="1"/>
  <c r="I42" i="37" s="1"/>
  <c r="W7" i="37"/>
  <c r="AB7" i="36"/>
  <c r="T36" i="36" s="1"/>
  <c r="G36" i="36" s="1"/>
  <c r="U7" i="36"/>
  <c r="F7" i="33"/>
  <c r="E58" i="21"/>
  <c r="AC7" i="36"/>
  <c r="V36" i="36" s="1"/>
  <c r="I36" i="36" s="1"/>
  <c r="W7" i="36"/>
  <c r="F7" i="37"/>
  <c r="M17" i="67"/>
  <c r="M17" i="15"/>
  <c r="F59" i="15"/>
  <c r="P28" i="43"/>
  <c r="B66" i="40" s="1"/>
  <c r="P25" i="43"/>
  <c r="P29" i="43"/>
  <c r="P27" i="43"/>
  <c r="B70" i="39" s="1"/>
  <c r="Q60" i="67"/>
  <c r="Q73" i="67"/>
  <c r="M11" i="67"/>
  <c r="J10" i="67" s="1"/>
  <c r="F11" i="15"/>
  <c r="M11" i="15"/>
  <c r="F11" i="67"/>
  <c r="F1" i="67"/>
  <c r="Q52" i="67"/>
  <c r="Q61" i="67"/>
  <c r="Q74" i="67"/>
  <c r="Q74" i="15"/>
  <c r="Q61" i="15"/>
  <c r="AE11" i="1"/>
  <c r="AE9" i="1"/>
  <c r="AE8" i="1"/>
  <c r="AE12" i="1"/>
  <c r="AE10" i="1"/>
  <c r="F27" i="68"/>
  <c r="M24" i="82"/>
  <c r="F38" i="82"/>
  <c r="M26" i="82"/>
  <c r="M9" i="82"/>
  <c r="M28" i="82"/>
  <c r="J15" i="82"/>
  <c r="F6" i="82"/>
  <c r="F40" i="82"/>
  <c r="F13" i="82"/>
  <c r="F37" i="82"/>
  <c r="L47" i="82"/>
  <c r="M29" i="82"/>
  <c r="F26" i="82"/>
  <c r="F7" i="82"/>
  <c r="F16" i="82"/>
  <c r="C16" i="67"/>
  <c r="C16" i="15"/>
  <c r="F9" i="82"/>
  <c r="C76" i="82"/>
  <c r="M8" i="82"/>
  <c r="F42" i="82"/>
  <c r="L48" i="82"/>
  <c r="M23" i="82"/>
  <c r="F41" i="67"/>
  <c r="M22" i="82"/>
  <c r="M6" i="82"/>
  <c r="F8" i="82"/>
  <c r="F36" i="82"/>
  <c r="F43" i="82"/>
  <c r="F1" i="15" l="1"/>
  <c r="Q60" i="15"/>
  <c r="Q52" i="15"/>
  <c r="F71" i="82"/>
  <c r="F68" i="82"/>
  <c r="N59" i="82"/>
  <c r="L58" i="82"/>
  <c r="L59" i="82"/>
  <c r="M59" i="82"/>
  <c r="F65" i="82"/>
  <c r="C27" i="82"/>
  <c r="F66" i="82"/>
  <c r="F64" i="82"/>
  <c r="C6" i="82"/>
  <c r="L57" i="82"/>
  <c r="L56" i="82"/>
  <c r="L60" i="82"/>
  <c r="J57" i="82"/>
  <c r="J55" i="82" s="1"/>
  <c r="J58" i="82" s="1"/>
  <c r="Q50" i="82" s="1"/>
  <c r="J60" i="82"/>
  <c r="Q48" i="82" s="1"/>
  <c r="I54" i="82"/>
  <c r="J59" i="82"/>
  <c r="J53" i="82"/>
  <c r="F51" i="82"/>
  <c r="Q71" i="82"/>
  <c r="M7" i="82"/>
  <c r="J6" i="82" s="1"/>
  <c r="F50" i="82"/>
  <c r="C22" i="78"/>
  <c r="E22" i="78" s="1"/>
  <c r="G22" i="78" s="1"/>
  <c r="C66" i="34"/>
  <c r="F10" i="34"/>
  <c r="H10" i="34"/>
  <c r="J10" i="34"/>
  <c r="T56" i="71"/>
  <c r="D56" i="71"/>
  <c r="T32" i="71"/>
  <c r="D32" i="71"/>
  <c r="J34" i="34"/>
  <c r="F34" i="34"/>
  <c r="H34" i="34"/>
  <c r="H6" i="3"/>
  <c r="J10" i="15"/>
  <c r="J5" i="15" s="1"/>
  <c r="J24" i="15" s="1"/>
  <c r="L36" i="43"/>
  <c r="L37" i="43" s="1"/>
  <c r="F24" i="82"/>
  <c r="C53" i="82"/>
  <c r="C10" i="82"/>
  <c r="J52" i="43"/>
  <c r="D52" i="43"/>
  <c r="J53" i="43"/>
  <c r="D53" i="43"/>
  <c r="J58" i="43"/>
  <c r="D58" i="43"/>
  <c r="J51" i="43"/>
  <c r="D51" i="43"/>
  <c r="J56" i="43"/>
  <c r="D56" i="43"/>
  <c r="D55" i="43"/>
  <c r="J55" i="43"/>
  <c r="J5" i="67"/>
  <c r="J24" i="67" s="1"/>
  <c r="O8" i="1"/>
  <c r="P8" i="1" s="1"/>
  <c r="J10" i="39"/>
  <c r="W10" i="39" s="1"/>
  <c r="S10" i="39"/>
  <c r="H10" i="39"/>
  <c r="U10" i="39" s="1"/>
  <c r="H10" i="40"/>
  <c r="AB10" i="40" s="1"/>
  <c r="F10" i="40"/>
  <c r="S10" i="40" s="1"/>
  <c r="J10" i="40"/>
  <c r="AC10" i="40" s="1"/>
  <c r="E65" i="39"/>
  <c r="D15" i="71"/>
  <c r="C14" i="71"/>
  <c r="Q66" i="71"/>
  <c r="Q65" i="71"/>
  <c r="B11" i="71"/>
  <c r="B10" i="71" s="1"/>
  <c r="B9" i="71" s="1"/>
  <c r="B8" i="71" s="1"/>
  <c r="B7" i="71" s="1"/>
  <c r="B6" i="71" s="1"/>
  <c r="B5" i="71" s="1"/>
  <c r="S12" i="71"/>
  <c r="E11" i="71"/>
  <c r="E10" i="71" s="1"/>
  <c r="E9" i="71" s="1"/>
  <c r="E8" i="71" s="1"/>
  <c r="E7" i="71" s="1"/>
  <c r="E6" i="71" s="1"/>
  <c r="E5" i="71" s="1"/>
  <c r="V12" i="71"/>
  <c r="AC7" i="34"/>
  <c r="U7" i="34"/>
  <c r="AA7" i="34"/>
  <c r="AG11" i="1"/>
  <c r="AG9" i="1"/>
  <c r="AG10" i="1"/>
  <c r="AG8" i="1"/>
  <c r="AG12" i="1"/>
  <c r="AG7" i="1"/>
  <c r="F69" i="67"/>
  <c r="C47" i="11"/>
  <c r="D45" i="11" s="1"/>
  <c r="E6" i="3"/>
  <c r="K21" i="6"/>
  <c r="S8" i="1" s="1"/>
  <c r="E8" i="70" s="1"/>
  <c r="F45" i="68"/>
  <c r="C47" i="68"/>
  <c r="D45" i="68" s="1"/>
  <c r="C29" i="68"/>
  <c r="D27" i="68" s="1"/>
  <c r="K25" i="6"/>
  <c r="K20" i="6"/>
  <c r="K23" i="6"/>
  <c r="K22" i="6"/>
  <c r="E31" i="6"/>
  <c r="K24" i="6"/>
  <c r="K19" i="6"/>
  <c r="S6" i="1" s="1"/>
  <c r="O14" i="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AB10" i="39"/>
  <c r="W10" i="40"/>
  <c r="AC10" i="39"/>
  <c r="U7" i="37"/>
  <c r="G67" i="39"/>
  <c r="F69" i="39"/>
  <c r="F58" i="21"/>
  <c r="R37" i="36"/>
  <c r="E36" i="36"/>
  <c r="F63" i="40"/>
  <c r="E65" i="40"/>
  <c r="W7" i="33"/>
  <c r="AC7" i="33"/>
  <c r="V48" i="33" s="1"/>
  <c r="I48" i="33" s="1"/>
  <c r="AA7" i="37"/>
  <c r="R42" i="37" s="1"/>
  <c r="S7" i="37"/>
  <c r="I40" i="36"/>
  <c r="J40" i="36" s="1"/>
  <c r="S7" i="33"/>
  <c r="AA7" i="33"/>
  <c r="R48" i="33" s="1"/>
  <c r="G40" i="36"/>
  <c r="H40" i="36" s="1"/>
  <c r="G41" i="36"/>
  <c r="H41" i="36" s="1"/>
  <c r="G46" i="37"/>
  <c r="H46" i="37" s="1"/>
  <c r="G47" i="37"/>
  <c r="H47" i="37" s="1"/>
  <c r="I46" i="37"/>
  <c r="J46" i="37" s="1"/>
  <c r="G48" i="35"/>
  <c r="U7" i="33"/>
  <c r="AB7" i="33"/>
  <c r="T48" i="33" s="1"/>
  <c r="G48" i="33" s="1"/>
  <c r="C53" i="67"/>
  <c r="C48" i="67" s="1"/>
  <c r="C10" i="67"/>
  <c r="C5" i="67" s="1"/>
  <c r="C38" i="67" s="1"/>
  <c r="C53" i="15"/>
  <c r="C48" i="15" s="1"/>
  <c r="C66" i="15" s="1"/>
  <c r="C10" i="15"/>
  <c r="C5" i="15" s="1"/>
  <c r="C38" i="15" s="1"/>
  <c r="F25" i="12"/>
  <c r="F22" i="69"/>
  <c r="F41" i="69" s="1"/>
  <c r="F24" i="67"/>
  <c r="C24" i="67" s="1"/>
  <c r="F22" i="11"/>
  <c r="F22" i="68"/>
  <c r="F24" i="15"/>
  <c r="C24" i="15" s="1"/>
  <c r="F41" i="15"/>
  <c r="C16" i="82"/>
  <c r="M27" i="82"/>
  <c r="AE6" i="1"/>
  <c r="M27" i="67"/>
  <c r="AG6" i="1" l="1"/>
  <c r="C5" i="82"/>
  <c r="C38" i="82" s="1"/>
  <c r="J18" i="82"/>
  <c r="J19" i="82"/>
  <c r="J5" i="82"/>
  <c r="J24" i="82" s="1"/>
  <c r="AB10" i="34"/>
  <c r="U10" i="34"/>
  <c r="C49" i="82"/>
  <c r="C61" i="82" s="1"/>
  <c r="L46" i="82"/>
  <c r="C32" i="82"/>
  <c r="C33" i="82"/>
  <c r="Q73" i="82"/>
  <c r="Q60" i="82"/>
  <c r="AC10" i="34"/>
  <c r="W10" i="34"/>
  <c r="AA10" i="34"/>
  <c r="S10" i="34"/>
  <c r="H24" i="78"/>
  <c r="H23" i="78"/>
  <c r="H25" i="78"/>
  <c r="F1" i="82"/>
  <c r="Q52" i="82"/>
  <c r="Q57" i="82"/>
  <c r="Q66" i="82"/>
  <c r="Q74" i="82"/>
  <c r="Q61" i="82"/>
  <c r="AA34" i="34"/>
  <c r="R49" i="34" s="1"/>
  <c r="S34" i="34"/>
  <c r="AB34" i="34"/>
  <c r="T49" i="34" s="1"/>
  <c r="G49" i="34" s="1"/>
  <c r="G53" i="34" s="1"/>
  <c r="H53" i="34" s="1"/>
  <c r="U34" i="34"/>
  <c r="AC34" i="34"/>
  <c r="V49" i="34" s="1"/>
  <c r="I49" i="34" s="1"/>
  <c r="W34" i="34"/>
  <c r="Q36" i="43"/>
  <c r="M36" i="43"/>
  <c r="P36" i="43"/>
  <c r="O36" i="43"/>
  <c r="N36" i="43"/>
  <c r="C24" i="82"/>
  <c r="E50" i="43"/>
  <c r="B48" i="43" s="1"/>
  <c r="C28" i="43" s="1"/>
  <c r="O16" i="1"/>
  <c r="U10" i="40"/>
  <c r="AA10" i="40"/>
  <c r="D14" i="71"/>
  <c r="C13" i="71"/>
  <c r="P37" i="43"/>
  <c r="M37" i="43"/>
  <c r="Q37" i="43"/>
  <c r="O37" i="43"/>
  <c r="N37" i="43"/>
  <c r="M21" i="6"/>
  <c r="I21" i="6" s="1"/>
  <c r="S21" i="6" s="1"/>
  <c r="E6" i="70"/>
  <c r="F69" i="15"/>
  <c r="M24" i="6"/>
  <c r="I24" i="6" s="1"/>
  <c r="S24" i="6" s="1"/>
  <c r="S11" i="1"/>
  <c r="E11" i="70" s="1"/>
  <c r="M22" i="6"/>
  <c r="I22" i="6" s="1"/>
  <c r="S22" i="6" s="1"/>
  <c r="S9" i="1"/>
  <c r="AQ8" i="1"/>
  <c r="T8" i="1"/>
  <c r="AR8" i="1"/>
  <c r="M20" i="6"/>
  <c r="I20" i="6" s="1"/>
  <c r="S20" i="6" s="1"/>
  <c r="S7" i="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5" i="6"/>
  <c r="D15" i="6"/>
  <c r="D22" i="6"/>
  <c r="D21" i="6"/>
  <c r="D24" i="6"/>
  <c r="D20" i="6"/>
  <c r="M19" i="9"/>
  <c r="C118" i="9" s="1"/>
  <c r="B2" i="74" s="1"/>
  <c r="D26" i="6"/>
  <c r="D8" i="6"/>
  <c r="D14" i="6"/>
  <c r="D6" i="6"/>
  <c r="D9" i="6"/>
  <c r="D10" i="6"/>
  <c r="L19" i="9"/>
  <c r="D29" i="6"/>
  <c r="H24" i="6"/>
  <c r="D19" i="6"/>
  <c r="C18" i="4"/>
  <c r="D23" i="6"/>
  <c r="D5" i="6"/>
  <c r="D12" i="6"/>
  <c r="D11" i="6"/>
  <c r="D13" i="6"/>
  <c r="D28" i="6"/>
  <c r="E61" i="40"/>
  <c r="H26" i="6"/>
  <c r="P14" i="1"/>
  <c r="P16" i="1" s="1"/>
  <c r="C11" i="12" s="1"/>
  <c r="N16" i="1"/>
  <c r="L16" i="1"/>
  <c r="H67" i="39"/>
  <c r="G69" i="39"/>
  <c r="R49" i="33"/>
  <c r="E48" i="33"/>
  <c r="I53" i="33" s="1"/>
  <c r="J53" i="33" s="1"/>
  <c r="I52" i="33"/>
  <c r="J52" i="33" s="1"/>
  <c r="E40" i="36"/>
  <c r="F40" i="36" s="1"/>
  <c r="E41" i="36"/>
  <c r="F41" i="36" s="1"/>
  <c r="G52" i="33"/>
  <c r="H52" i="33" s="1"/>
  <c r="G53" i="33"/>
  <c r="H53" i="33" s="1"/>
  <c r="H48" i="35"/>
  <c r="I41" i="36"/>
  <c r="J41" i="36" s="1"/>
  <c r="R43" i="37"/>
  <c r="E42" i="37"/>
  <c r="G63" i="40"/>
  <c r="F65" i="40"/>
  <c r="C37" i="36"/>
  <c r="C36" i="36"/>
  <c r="G58" i="21"/>
  <c r="F41" i="68"/>
  <c r="C60" i="15"/>
  <c r="C26" i="69"/>
  <c r="D22" i="69" s="1"/>
  <c r="C44" i="69"/>
  <c r="D41" i="69" s="1"/>
  <c r="C44" i="68"/>
  <c r="D41" i="68" s="1"/>
  <c r="C26" i="68"/>
  <c r="D22" i="68" s="1"/>
  <c r="C26" i="12"/>
  <c r="D25" i="12" s="1"/>
  <c r="C44" i="11"/>
  <c r="D41" i="11" s="1"/>
  <c r="C23" i="11"/>
  <c r="C24" i="11"/>
  <c r="C26" i="11"/>
  <c r="D22" i="11" s="1"/>
  <c r="C66" i="67"/>
  <c r="C60" i="67"/>
  <c r="D10" i="69"/>
  <c r="C34" i="69"/>
  <c r="D10" i="68"/>
  <c r="C17" i="67"/>
  <c r="C17" i="15"/>
  <c r="C14" i="67"/>
  <c r="M27" i="15"/>
  <c r="AE7" i="1"/>
  <c r="C17" i="82"/>
  <c r="C25" i="11" l="1"/>
  <c r="C22" i="11" s="1"/>
  <c r="C31" i="11" s="1"/>
  <c r="C48" i="82"/>
  <c r="C66" i="82" s="1"/>
  <c r="E49" i="34"/>
  <c r="R50" i="34"/>
  <c r="C49" i="34" s="1"/>
  <c r="I53" i="34"/>
  <c r="J53" i="34" s="1"/>
  <c r="G54" i="34"/>
  <c r="H54" i="34" s="1"/>
  <c r="I54" i="34"/>
  <c r="J54" i="34" s="1"/>
  <c r="E7" i="70"/>
  <c r="D30" i="6"/>
  <c r="C50" i="34"/>
  <c r="T13" i="43"/>
  <c r="V13" i="43" s="1"/>
  <c r="T9" i="43"/>
  <c r="V9" i="43" s="1"/>
  <c r="T16" i="43"/>
  <c r="V16" i="43" s="1"/>
  <c r="T12" i="43"/>
  <c r="V12" i="43" s="1"/>
  <c r="T8" i="43"/>
  <c r="V8" i="43" s="1"/>
  <c r="T3" i="43"/>
  <c r="V3" i="43" s="1"/>
  <c r="T6" i="43"/>
  <c r="V6" i="43" s="1"/>
  <c r="C40" i="43"/>
  <c r="C41" i="43"/>
  <c r="T15" i="43"/>
  <c r="V15" i="43" s="1"/>
  <c r="T11" i="43"/>
  <c r="V11" i="43" s="1"/>
  <c r="T7" i="43"/>
  <c r="V7" i="43" s="1"/>
  <c r="T14" i="43"/>
  <c r="V14" i="43" s="1"/>
  <c r="T10" i="43"/>
  <c r="V10" i="43" s="1"/>
  <c r="T4" i="43"/>
  <c r="V4" i="43" s="1"/>
  <c r="T2" i="43"/>
  <c r="V2" i="43" s="1"/>
  <c r="T5" i="43"/>
  <c r="V5" i="43" s="1"/>
  <c r="C37" i="43"/>
  <c r="C39" i="43"/>
  <c r="C38" i="43"/>
  <c r="C42" i="43"/>
  <c r="H22" i="6"/>
  <c r="H21" i="6"/>
  <c r="H25" i="6"/>
  <c r="R25" i="6" s="1"/>
  <c r="R12" i="1" s="1"/>
  <c r="C12" i="71"/>
  <c r="D13" i="71"/>
  <c r="C18" i="67"/>
  <c r="C15" i="67"/>
  <c r="H23" i="6"/>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R23" i="6"/>
  <c r="R10" i="1" s="1"/>
  <c r="D27" i="6"/>
  <c r="D31" i="6" s="1"/>
  <c r="D8" i="74"/>
  <c r="D7" i="74"/>
  <c r="R21" i="6"/>
  <c r="R8" i="1" s="1"/>
  <c r="C10" i="69"/>
  <c r="C8" i="69" s="1"/>
  <c r="C5" i="69" s="1"/>
  <c r="D19" i="69"/>
  <c r="F50" i="69"/>
  <c r="F50" i="11"/>
  <c r="F50" i="68"/>
  <c r="C4" i="52"/>
  <c r="B45" i="72" s="1"/>
  <c r="A10" i="51"/>
  <c r="B9" i="72" s="1"/>
  <c r="A7" i="51"/>
  <c r="B7" i="72" s="1"/>
  <c r="C10" i="68"/>
  <c r="D19" i="68"/>
  <c r="H69" i="39"/>
  <c r="I67" i="39"/>
  <c r="G65" i="40"/>
  <c r="H63" i="40"/>
  <c r="C43" i="37"/>
  <c r="C42" i="37"/>
  <c r="I48" i="35"/>
  <c r="C48" i="33"/>
  <c r="C49" i="33"/>
  <c r="H58" i="21"/>
  <c r="E47" i="37"/>
  <c r="F47" i="37" s="1"/>
  <c r="E46" i="37"/>
  <c r="F46" i="37" s="1"/>
  <c r="I47" i="37"/>
  <c r="J47" i="37" s="1"/>
  <c r="E53" i="33"/>
  <c r="F53" i="33" s="1"/>
  <c r="E52" i="33"/>
  <c r="F52" i="33" s="1"/>
  <c r="C33" i="15"/>
  <c r="C33" i="67"/>
  <c r="J19" i="67"/>
  <c r="C34" i="68"/>
  <c r="C14" i="15"/>
  <c r="F41" i="82"/>
  <c r="C14" i="82"/>
  <c r="C60" i="82" l="1"/>
  <c r="F69" i="82"/>
  <c r="C18" i="82"/>
  <c r="C15" i="82"/>
  <c r="E54" i="34"/>
  <c r="F54" i="34" s="1"/>
  <c r="E53" i="34"/>
  <c r="F53" i="34" s="1"/>
  <c r="U20" i="43"/>
  <c r="E42" i="43"/>
  <c r="G42" i="43"/>
  <c r="I42" i="43" s="1"/>
  <c r="E39" i="43"/>
  <c r="G39" i="43"/>
  <c r="I39" i="43" s="1"/>
  <c r="E41" i="43"/>
  <c r="G41" i="43"/>
  <c r="I41" i="43" s="1"/>
  <c r="G38" i="43"/>
  <c r="I38" i="43" s="1"/>
  <c r="E38" i="43"/>
  <c r="E37" i="43"/>
  <c r="G37" i="43"/>
  <c r="I37" i="43" s="1"/>
  <c r="E40" i="43"/>
  <c r="G40" i="43"/>
  <c r="I40" i="43" s="1"/>
  <c r="C11" i="71"/>
  <c r="T12" i="71"/>
  <c r="D12" i="71"/>
  <c r="U12" i="71" s="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G3" i="43" s="1"/>
  <c r="C23" i="69"/>
  <c r="I69" i="39"/>
  <c r="J67" i="39"/>
  <c r="I63" i="40"/>
  <c r="H65" i="40"/>
  <c r="I58" i="21"/>
  <c r="J58" i="21" s="1"/>
  <c r="K58" i="21" s="1"/>
  <c r="L58" i="21" s="1"/>
  <c r="M58" i="21" s="1"/>
  <c r="N58" i="21" s="1"/>
  <c r="O58" i="21" s="1"/>
  <c r="H7" i="21" s="1"/>
  <c r="J7" i="21"/>
  <c r="F7" i="21"/>
  <c r="J48" i="35"/>
  <c r="C19" i="82" l="1"/>
  <c r="C20" i="82" s="1"/>
  <c r="C26" i="82" s="1"/>
  <c r="H26" i="43"/>
  <c r="G26" i="43"/>
  <c r="N370" i="46"/>
  <c r="N94" i="46"/>
  <c r="J26" i="43"/>
  <c r="F26" i="43"/>
  <c r="E26" i="43"/>
  <c r="Z7" i="43"/>
  <c r="B116" i="43"/>
  <c r="C10" i="71"/>
  <c r="D11" i="71"/>
  <c r="C23" i="67"/>
  <c r="C29" i="67" s="1"/>
  <c r="J59" i="67" s="1"/>
  <c r="J60" i="67" s="1"/>
  <c r="Q48" i="67" s="1"/>
  <c r="C19" i="15"/>
  <c r="C20" i="15" s="1"/>
  <c r="C26" i="15" s="1"/>
  <c r="C33" i="68"/>
  <c r="C39" i="68" s="1"/>
  <c r="C30" i="12"/>
  <c r="C28" i="12" s="1"/>
  <c r="C38" i="11"/>
  <c r="C35" i="11"/>
  <c r="H27" i="6"/>
  <c r="R19" i="6"/>
  <c r="C27" i="12"/>
  <c r="C25" i="12" s="1"/>
  <c r="C20" i="69"/>
  <c r="C28" i="69" s="1"/>
  <c r="C27" i="69" s="1"/>
  <c r="C24" i="68"/>
  <c r="C39" i="69"/>
  <c r="C43" i="69" s="1"/>
  <c r="C42" i="69"/>
  <c r="J69" i="39"/>
  <c r="K67" i="39"/>
  <c r="U7" i="21"/>
  <c r="AB7" i="21"/>
  <c r="T48" i="21" s="1"/>
  <c r="G48" i="21" s="1"/>
  <c r="S7" i="21"/>
  <c r="AA7" i="21"/>
  <c r="R48" i="21" s="1"/>
  <c r="J63" i="40"/>
  <c r="I65" i="40"/>
  <c r="K48" i="35"/>
  <c r="L48" i="35" s="1"/>
  <c r="M48" i="35" s="1"/>
  <c r="N48" i="35" s="1"/>
  <c r="O48" i="35" s="1"/>
  <c r="H7" i="35" s="1"/>
  <c r="J7" i="35"/>
  <c r="AC7" i="21"/>
  <c r="V48" i="21" s="1"/>
  <c r="I48" i="21" s="1"/>
  <c r="W7" i="21"/>
  <c r="C23" i="82" l="1"/>
  <c r="C29" i="82" s="1"/>
  <c r="D26" i="43"/>
  <c r="C25" i="43" s="1"/>
  <c r="I121" i="43"/>
  <c r="J121" i="43" s="1"/>
  <c r="K121" i="43" s="1"/>
  <c r="L121" i="43" s="1"/>
  <c r="M121" i="43" s="1"/>
  <c r="B119" i="43"/>
  <c r="C119" i="43" s="1"/>
  <c r="I120" i="43"/>
  <c r="J120" i="43" s="1"/>
  <c r="K120" i="43" s="1"/>
  <c r="L120" i="43" s="1"/>
  <c r="M120" i="43" s="1"/>
  <c r="B120" i="43"/>
  <c r="C120" i="43" s="1"/>
  <c r="I118" i="43"/>
  <c r="J118" i="43" s="1"/>
  <c r="K118" i="43" s="1"/>
  <c r="L118" i="43" s="1"/>
  <c r="M118" i="43" s="1"/>
  <c r="B121" i="43"/>
  <c r="C121" i="43" s="1"/>
  <c r="D118" i="43"/>
  <c r="E118" i="43" s="1"/>
  <c r="F118" i="43" s="1"/>
  <c r="G118" i="43" s="1"/>
  <c r="H118" i="43" s="1"/>
  <c r="B122" i="43"/>
  <c r="C122" i="43" s="1"/>
  <c r="I122" i="43"/>
  <c r="J122" i="43" s="1"/>
  <c r="K122" i="43" s="1"/>
  <c r="L122" i="43" s="1"/>
  <c r="M122" i="43" s="1"/>
  <c r="D119" i="43"/>
  <c r="E119" i="43" s="1"/>
  <c r="F119" i="43" s="1"/>
  <c r="G119" i="43" s="1"/>
  <c r="H119" i="43" s="1"/>
  <c r="G121" i="43"/>
  <c r="H121" i="43" s="1"/>
  <c r="D120" i="43"/>
  <c r="E120" i="43" s="1"/>
  <c r="F120" i="43" s="1"/>
  <c r="G120" i="43" s="1"/>
  <c r="H120" i="43" s="1"/>
  <c r="I119" i="43"/>
  <c r="J119" i="43" s="1"/>
  <c r="K119" i="43" s="1"/>
  <c r="L119" i="43" s="1"/>
  <c r="M119" i="43" s="1"/>
  <c r="D121" i="43"/>
  <c r="E121" i="43" s="1"/>
  <c r="F121" i="43" s="1"/>
  <c r="D122" i="43"/>
  <c r="E122" i="43" s="1"/>
  <c r="F122" i="43" s="1"/>
  <c r="G122" i="43" s="1"/>
  <c r="H122" i="43" s="1"/>
  <c r="B118" i="43"/>
  <c r="C34" i="43"/>
  <c r="E34" i="43" s="1"/>
  <c r="C31" i="43" s="1"/>
  <c r="C9" i="71"/>
  <c r="D10"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M21" i="15"/>
  <c r="M21" i="67"/>
  <c r="F35" i="15"/>
  <c r="M21" i="82"/>
  <c r="F35" i="82"/>
  <c r="F35" i="67"/>
  <c r="C30" i="43" l="1"/>
  <c r="B2" i="43" s="1"/>
  <c r="B3" i="43" s="1"/>
  <c r="C33" i="43"/>
  <c r="E33" i="43" s="1"/>
  <c r="C57" i="82"/>
  <c r="C64" i="82" s="1"/>
  <c r="C13" i="82"/>
  <c r="Q49" i="82"/>
  <c r="C36" i="82"/>
  <c r="J14" i="82"/>
  <c r="C118" i="43"/>
  <c r="D116" i="43" s="1"/>
  <c r="F63" i="82"/>
  <c r="C62" i="82" s="1"/>
  <c r="C59" i="82" s="1"/>
  <c r="C34" i="82"/>
  <c r="C31" i="82" s="1"/>
  <c r="J20" i="82"/>
  <c r="J17" i="82" s="1"/>
  <c r="C8" i="71"/>
  <c r="D9" i="7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H51"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B6" i="76"/>
  <c r="E6" i="76"/>
  <c r="B2" i="76" l="1"/>
  <c r="C6" i="68"/>
  <c r="C7" i="68" s="1"/>
  <c r="C5" i="68" s="1"/>
  <c r="Q70" i="82"/>
  <c r="C75" i="82"/>
  <c r="C37" i="82"/>
  <c r="H36" i="82" s="1"/>
  <c r="C56" i="82"/>
  <c r="C65" i="82" s="1"/>
  <c r="C58" i="82" s="1"/>
  <c r="C67" i="82" s="1"/>
  <c r="C68" i="82" s="1"/>
  <c r="C71" i="82" s="1"/>
  <c r="J13" i="82"/>
  <c r="J23" i="82" s="1"/>
  <c r="J22" i="82"/>
  <c r="E2" i="76"/>
  <c r="C23" i="68"/>
  <c r="C20" i="68"/>
  <c r="C7" i="71"/>
  <c r="D8" i="7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D2" i="21"/>
  <c r="B3" i="76" l="1"/>
  <c r="C30" i="82"/>
  <c r="C39" i="82" s="1"/>
  <c r="J16" i="82"/>
  <c r="J25" i="82" s="1"/>
  <c r="J26" i="82" s="1"/>
  <c r="J29" i="82" s="1"/>
  <c r="C28" i="68"/>
  <c r="C27" i="68" s="1"/>
  <c r="C25" i="68"/>
  <c r="C22" i="68" s="1"/>
  <c r="D7" i="71"/>
  <c r="C6" i="71"/>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L51" i="67"/>
  <c r="L51" i="82"/>
  <c r="D2" i="33"/>
  <c r="Q67" i="82" l="1"/>
  <c r="Q69" i="82"/>
  <c r="Q68" i="82" s="1"/>
  <c r="C40" i="82"/>
  <c r="Q65" i="82" s="1"/>
  <c r="Q75" i="82" s="1"/>
  <c r="C80" i="82"/>
  <c r="C79" i="82" s="1"/>
  <c r="C31" i="68"/>
  <c r="C52" i="68" s="1"/>
  <c r="B2" i="68" s="1"/>
  <c r="B3" i="68" s="1"/>
  <c r="L57" i="67"/>
  <c r="L60" i="67" s="1"/>
  <c r="L46" i="67" s="1"/>
  <c r="D2" i="67" s="1"/>
  <c r="B2" i="67" s="1"/>
  <c r="Q67" i="67"/>
  <c r="D6" i="71"/>
  <c r="C5" i="71"/>
  <c r="D5" i="71" s="1"/>
  <c r="Q65" i="67"/>
  <c r="B2" i="33"/>
  <c r="B3" i="33" s="1"/>
  <c r="C83" i="67"/>
  <c r="C82" i="67" s="1"/>
  <c r="Q47" i="67"/>
  <c r="Q53" i="67" s="1"/>
  <c r="C46" i="67"/>
  <c r="Q56" i="67"/>
  <c r="C43" i="67"/>
  <c r="C80" i="15"/>
  <c r="C79" i="15" s="1"/>
  <c r="C40" i="15"/>
  <c r="C46" i="15" s="1"/>
  <c r="H7" i="39"/>
  <c r="J7" i="39"/>
  <c r="S7" i="39"/>
  <c r="AA7" i="39"/>
  <c r="R47" i="39" s="1"/>
  <c r="O63" i="40"/>
  <c r="O65" i="40" s="1"/>
  <c r="N65" i="40"/>
  <c r="D2" i="35"/>
  <c r="D2" i="37"/>
  <c r="L51" i="15"/>
  <c r="D2" i="36"/>
  <c r="D2" i="34"/>
  <c r="C43" i="82" l="1"/>
  <c r="C83" i="82"/>
  <c r="C82" i="82" s="1"/>
  <c r="Q47" i="82"/>
  <c r="Q53" i="82" s="1"/>
  <c r="B2" i="82"/>
  <c r="B3" i="82" s="1"/>
  <c r="C46" i="82"/>
  <c r="Q56" i="82"/>
  <c r="Q62" i="82" s="1"/>
  <c r="C57" i="68"/>
  <c r="C56" i="68" s="1"/>
  <c r="C17" i="9"/>
  <c r="C18" i="9" s="1"/>
  <c r="D18" i="9" s="1"/>
  <c r="Q57" i="67"/>
  <c r="Q62" i="67" s="1"/>
  <c r="Q66" i="67"/>
  <c r="Q75" i="67" s="1"/>
  <c r="M24" i="43"/>
  <c r="B3" i="67"/>
  <c r="L57" i="15"/>
  <c r="L60" i="15" s="1"/>
  <c r="Q57" i="15" s="1"/>
  <c r="Q67" i="15"/>
  <c r="B2" i="36"/>
  <c r="B3" i="36" s="1"/>
  <c r="B2" i="35"/>
  <c r="B3" i="35" s="1"/>
  <c r="M3" i="35"/>
  <c r="B2" i="37"/>
  <c r="B3" i="37" s="1"/>
  <c r="B2" i="34"/>
  <c r="Q47" i="15"/>
  <c r="Q53" i="15" s="1"/>
  <c r="C43" i="15"/>
  <c r="Q65" i="15"/>
  <c r="C83" i="15"/>
  <c r="C82" i="15" s="1"/>
  <c r="Q56" i="15"/>
  <c r="W7" i="39"/>
  <c r="AC7" i="39"/>
  <c r="V47" i="39" s="1"/>
  <c r="I47" i="39" s="1"/>
  <c r="E47" i="39"/>
  <c r="R48" i="39"/>
  <c r="U7" i="39"/>
  <c r="AB7" i="39"/>
  <c r="T47" i="39" s="1"/>
  <c r="G47" i="39" s="1"/>
  <c r="J7" i="40"/>
  <c r="F7" i="40"/>
  <c r="H7" i="40"/>
  <c r="AO10" i="1"/>
  <c r="AO8" i="1"/>
  <c r="AO7" i="1"/>
  <c r="AO12" i="1"/>
  <c r="AO9" i="1"/>
  <c r="C19" i="9"/>
  <c r="AO11" i="1"/>
  <c r="C102" i="9" l="1"/>
  <c r="C21" i="9"/>
  <c r="B3" i="34"/>
  <c r="L46" i="15"/>
  <c r="B2"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20" i="9"/>
  <c r="AO6" i="1"/>
  <c r="C103" i="9" l="1"/>
  <c r="B6" i="70"/>
  <c r="B2" i="70" s="1"/>
  <c r="B3" i="15"/>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19" i="9"/>
  <c r="D21" i="9" l="1"/>
  <c r="D102" i="9"/>
  <c r="G19" i="9"/>
  <c r="D22" i="9"/>
  <c r="B3" i="70"/>
  <c r="C42" i="40"/>
  <c r="C43" i="40"/>
  <c r="E47" i="40"/>
  <c r="F47" i="40" s="1"/>
  <c r="E46" i="40"/>
  <c r="F46" i="40" s="1"/>
  <c r="I47" i="40"/>
  <c r="J47" i="40" s="1"/>
  <c r="D20" i="9"/>
  <c r="G21" i="9" l="1"/>
  <c r="D14" i="74"/>
  <c r="G20" i="9"/>
  <c r="C32" i="9" s="1"/>
  <c r="C35" i="9" s="1"/>
  <c r="C34" i="9" s="1"/>
  <c r="D103" i="9"/>
  <c r="B58" i="40"/>
  <c r="F58" i="40" s="1"/>
  <c r="B54" i="40"/>
  <c r="F54" i="40" s="1"/>
  <c r="B53" i="40"/>
  <c r="F53" i="40" s="1"/>
  <c r="B59" i="40"/>
  <c r="F59" i="40" s="1"/>
  <c r="B52" i="40"/>
  <c r="F52" i="40" s="1"/>
  <c r="B56" i="40"/>
  <c r="F56" i="40" s="1"/>
  <c r="B60" i="40"/>
  <c r="F60" i="40" s="1"/>
  <c r="B57" i="40"/>
  <c r="F57" i="40" s="1"/>
  <c r="B51" i="40"/>
  <c r="F51" i="40" s="1"/>
  <c r="F61" i="40"/>
  <c r="B2" i="40" s="1"/>
  <c r="B3" i="40" s="1"/>
  <c r="E14" i="74" l="1"/>
  <c r="F14" i="74"/>
  <c r="B5" i="74"/>
  <c r="D5" i="74" s="1"/>
  <c r="B6" i="74" l="1"/>
  <c r="D6" i="74" s="1"/>
  <c r="N60" i="9"/>
  <c r="N61" i="9"/>
  <c r="N58" i="9"/>
  <c r="P57" i="9"/>
  <c r="N59" i="9"/>
  <c r="C104" i="9"/>
  <c r="H4" i="52"/>
  <c r="D52" i="9"/>
  <c r="D53" i="9"/>
  <c r="C105" i="9"/>
  <c r="I4" i="52"/>
  <c r="B30" i="72"/>
  <c r="N57" i="9"/>
  <c r="C5" i="74"/>
  <c r="M48" i="9"/>
  <c r="B22" i="72"/>
  <c r="C81" i="9"/>
  <c r="D13" i="53"/>
  <c r="D14" i="53"/>
  <c r="B32" i="72"/>
  <c r="B47" i="72"/>
  <c r="B51" i="72"/>
  <c r="B31" i="72"/>
  <c r="D8" i="52"/>
  <c r="H102" i="9"/>
  <c r="D7" i="53"/>
  <c r="B21" i="72"/>
  <c r="C78" i="9"/>
  <c r="C73" i="9"/>
  <c r="F4" i="52"/>
  <c r="C93" i="9"/>
  <c r="C86" i="9"/>
  <c r="C6" i="74"/>
  <c r="H108" i="9"/>
  <c r="D15" i="53"/>
  <c r="D6" i="53"/>
  <c r="D5" i="53"/>
  <c r="B20" i="72"/>
  <c r="D55" i="9"/>
  <c r="M53" i="9"/>
  <c r="C68" i="9"/>
  <c r="D54" i="9"/>
  <c r="D4" i="52"/>
  <c r="B53" i="72"/>
  <c r="H119" i="9"/>
  <c r="H5" i="52"/>
  <c r="D118" i="9"/>
  <c r="D119" i="9"/>
  <c r="D5" i="52"/>
  <c r="B49" i="72"/>
  <c r="E118" i="9"/>
  <c r="E4" i="52"/>
  <c r="B48" i="72"/>
  <c r="E96" i="9"/>
  <c r="E97" i="9"/>
  <c r="F119" i="9"/>
  <c r="F5" i="52"/>
  <c r="C96" i="9"/>
  <c r="F118" i="9"/>
  <c r="G118" i="9"/>
  <c r="G4" i="52"/>
  <c r="B52" i="72"/>
  <c r="C72" i="9"/>
  <c r="C79" i="9"/>
  <c r="C80" i="9"/>
  <c r="E80" i="9"/>
  <c r="E81" i="9"/>
  <c r="D59" i="9"/>
  <c r="M55" i="9"/>
  <c r="H107" i="9"/>
  <c r="D122" i="9"/>
  <c r="D123" i="9"/>
  <c r="D9" i="52"/>
  <c r="M54" i="9"/>
  <c r="C97" i="9"/>
  <c r="D58" i="9"/>
  <c r="D56" i="9"/>
  <c r="C85" i="9"/>
  <c r="C95" i="9"/>
  <c r="I118" i="9"/>
  <c r="H118" i="9"/>
  <c r="H101" i="9"/>
  <c r="D45" i="9"/>
  <c r="C64" i="9"/>
  <c r="C63" i="9"/>
  <c r="C67" i="9"/>
</calcChain>
</file>

<file path=xl/comments1.xml><?xml version="1.0" encoding="utf-8"?>
<comments xmlns="http://schemas.openxmlformats.org/spreadsheetml/2006/main">
  <authors>
    <author>USER</author>
  </authors>
  <commentList>
    <comment ref="A13" authorId="0" shape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weiliru</author>
  </authors>
  <commentList>
    <comment ref="F4" authorId="0" shapeId="0">
      <text>
        <r>
          <rPr>
            <sz val="12"/>
            <color indexed="81"/>
            <rFont val="仿宋_GB2312"/>
            <family val="3"/>
            <charset val="134"/>
          </rPr>
          <t>没有时，请选择"——"</t>
        </r>
        <r>
          <rPr>
            <sz val="9"/>
            <color indexed="81"/>
            <rFont val="宋体"/>
            <family val="3"/>
            <charset val="134"/>
          </rPr>
          <t xml:space="preserve">
</t>
        </r>
      </text>
    </comment>
    <comment ref="H4" authorId="0" shapeId="0">
      <text>
        <r>
          <rPr>
            <sz val="12"/>
            <color indexed="81"/>
            <rFont val="仿宋_GB2312"/>
            <family val="3"/>
            <charset val="134"/>
          </rPr>
          <t>没有时，请选择"——"</t>
        </r>
        <r>
          <rPr>
            <sz val="9"/>
            <color indexed="81"/>
            <rFont val="宋体"/>
            <family val="3"/>
            <charset val="134"/>
          </rPr>
          <t xml:space="preserve">
</t>
        </r>
      </text>
    </comment>
    <comment ref="B10" authorId="1" shapeId="0">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shapeId="0">
      <text>
        <r>
          <rPr>
            <sz val="12"/>
            <color indexed="81"/>
            <rFont val="楷体_GB2312"/>
            <family val="3"/>
            <charset val="134"/>
          </rPr>
          <t>如果有推广名请自行加入</t>
        </r>
        <r>
          <rPr>
            <sz val="9"/>
            <color indexed="81"/>
            <rFont val="宋体"/>
            <family val="3"/>
            <charset val="134"/>
          </rPr>
          <t xml:space="preserve">
</t>
        </r>
      </text>
    </comment>
    <comment ref="B11" authorId="0" shapeId="0">
      <text>
        <r>
          <rPr>
            <sz val="12"/>
            <color indexed="81"/>
            <rFont val="宋体"/>
            <family val="3"/>
            <charset val="134"/>
          </rPr>
          <t xml:space="preserve">名称在右侧单元格录入
</t>
        </r>
      </text>
    </comment>
    <comment ref="D13" authorId="2" shapeId="0">
      <text>
        <r>
          <rPr>
            <b/>
            <sz val="9"/>
            <color indexed="81"/>
            <rFont val="宋体"/>
            <family val="3"/>
            <charset val="134"/>
          </rPr>
          <t>weiliru:</t>
        </r>
        <r>
          <rPr>
            <sz val="9"/>
            <color indexed="81"/>
            <rFont val="宋体"/>
            <family val="3"/>
            <charset val="134"/>
          </rPr>
          <t xml:space="preserve">
按出让合同应为2044.8.31</t>
        </r>
      </text>
    </comment>
    <comment ref="F13" authorId="2" shapeId="0">
      <text>
        <r>
          <rPr>
            <b/>
            <sz val="9"/>
            <color indexed="81"/>
            <rFont val="宋体"/>
            <family val="3"/>
            <charset val="134"/>
          </rPr>
          <t>weiliru:</t>
        </r>
        <r>
          <rPr>
            <sz val="9"/>
            <color indexed="81"/>
            <rFont val="宋体"/>
            <family val="3"/>
            <charset val="134"/>
          </rPr>
          <t xml:space="preserve">
按出让合同应为2054.8.31</t>
        </r>
      </text>
    </comment>
    <comment ref="B16" authorId="0" shapeId="0">
      <text>
        <r>
          <rPr>
            <sz val="12"/>
            <color indexed="81"/>
            <rFont val="宋体"/>
            <family val="3"/>
            <charset val="134"/>
          </rPr>
          <t>如：住宅、办公、地下车库</t>
        </r>
        <r>
          <rPr>
            <sz val="9"/>
            <color indexed="81"/>
            <rFont val="宋体"/>
            <family val="3"/>
            <charset val="134"/>
          </rPr>
          <t xml:space="preserve">
</t>
        </r>
      </text>
    </comment>
    <comment ref="F16" authorId="0" shapeId="0">
      <text>
        <r>
          <rPr>
            <sz val="12"/>
            <color indexed="81"/>
            <rFont val="宋体"/>
            <family val="3"/>
            <charset val="134"/>
          </rPr>
          <t>如：住宅67.6年、办公及车库37.6年</t>
        </r>
        <r>
          <rPr>
            <sz val="9"/>
            <color indexed="81"/>
            <rFont val="宋体"/>
            <family val="3"/>
            <charset val="134"/>
          </rPr>
          <t xml:space="preserve">
</t>
        </r>
      </text>
    </comment>
    <comment ref="E18" authorId="0" shapeId="0">
      <text>
        <r>
          <rPr>
            <sz val="11"/>
            <color indexed="81"/>
            <rFont val="宋体"/>
            <family val="3"/>
            <charset val="134"/>
          </rPr>
          <t xml:space="preserve">有相同面积依据时，仅在土地面积依据处录入。
</t>
        </r>
      </text>
    </comment>
    <comment ref="C28" authorId="1" shapeId="0">
      <text>
        <r>
          <rPr>
            <sz val="11"/>
            <color indexed="81"/>
            <rFont val="楷体_GB2312"/>
            <family val="3"/>
            <charset val="134"/>
          </rPr>
          <t>其他特殊项请在右侧录入</t>
        </r>
      </text>
    </comment>
    <comment ref="C30" authorId="1" shapeId="0">
      <text>
        <r>
          <rPr>
            <sz val="11"/>
            <color indexed="81"/>
            <rFont val="宋体"/>
            <family val="3"/>
            <charset val="134"/>
          </rPr>
          <t>廉租房、公租房、限价房、自住房</t>
        </r>
        <r>
          <rPr>
            <sz val="9"/>
            <color indexed="81"/>
            <rFont val="宋体"/>
            <family val="3"/>
            <charset val="134"/>
          </rPr>
          <t xml:space="preserve">
</t>
        </r>
      </text>
    </comment>
    <comment ref="E31" authorId="1" shapeId="0">
      <text>
        <r>
          <rPr>
            <sz val="11"/>
            <color indexed="81"/>
            <rFont val="宋体"/>
            <family val="3"/>
            <charset val="134"/>
          </rPr>
          <t xml:space="preserve">工程停工、土地闲置、年久失修等
</t>
        </r>
      </text>
    </comment>
    <comment ref="E32" authorId="1" shapeId="0">
      <text>
        <r>
          <rPr>
            <sz val="11"/>
            <color indexed="81"/>
            <rFont val="宋体"/>
            <family val="3"/>
            <charset val="134"/>
          </rPr>
          <t xml:space="preserve">工程停工、土地闲置、年久失修等
</t>
        </r>
      </text>
    </comment>
    <comment ref="E33" authorId="1" shapeId="0">
      <text>
        <r>
          <rPr>
            <sz val="11"/>
            <color indexed="81"/>
            <rFont val="宋体"/>
            <family val="3"/>
            <charset val="134"/>
          </rPr>
          <t xml:space="preserve">工程停工、土地闲置、年久失修等
</t>
        </r>
      </text>
    </comment>
    <comment ref="K42" authorId="1" shapeId="0">
      <text>
        <r>
          <rPr>
            <sz val="11"/>
            <color indexed="81"/>
            <rFont val="楷体_GB2312"/>
            <family val="3"/>
            <charset val="134"/>
          </rPr>
          <t>现房/在建（简单填写进度）/未建</t>
        </r>
        <r>
          <rPr>
            <sz val="9"/>
            <color indexed="81"/>
            <rFont val="宋体"/>
            <family val="3"/>
            <charset val="134"/>
          </rPr>
          <t xml:space="preserve">
</t>
        </r>
      </text>
    </comment>
    <comment ref="K43" authorId="1" shapeId="0">
      <text>
        <r>
          <rPr>
            <sz val="11"/>
            <color indexed="81"/>
            <rFont val="楷体_GB2312"/>
            <family val="3"/>
            <charset val="134"/>
          </rPr>
          <t>现房/在建（简单填写进度）/未建</t>
        </r>
        <r>
          <rPr>
            <sz val="9"/>
            <color indexed="81"/>
            <rFont val="宋体"/>
            <family val="3"/>
            <charset val="134"/>
          </rPr>
          <t xml:space="preserve">
</t>
        </r>
      </text>
    </comment>
    <comment ref="K44" authorId="1" shapeId="0">
      <text>
        <r>
          <rPr>
            <sz val="11"/>
            <color indexed="81"/>
            <rFont val="楷体_GB2312"/>
            <family val="3"/>
            <charset val="134"/>
          </rPr>
          <t>现房/在建（简单填写进度）/未建</t>
        </r>
        <r>
          <rPr>
            <sz val="9"/>
            <color indexed="81"/>
            <rFont val="宋体"/>
            <family val="3"/>
            <charset val="134"/>
          </rPr>
          <t xml:space="preserve">
</t>
        </r>
      </text>
    </comment>
    <comment ref="K45" authorId="1" shapeId="0">
      <text>
        <r>
          <rPr>
            <sz val="11"/>
            <color indexed="81"/>
            <rFont val="楷体_GB2312"/>
            <family val="3"/>
            <charset val="134"/>
          </rPr>
          <t>现房/在建（简单填写进度）/未建</t>
        </r>
        <r>
          <rPr>
            <sz val="9"/>
            <color indexed="81"/>
            <rFont val="宋体"/>
            <family val="3"/>
            <charset val="134"/>
          </rPr>
          <t xml:space="preserve">
</t>
        </r>
      </text>
    </comment>
    <comment ref="K46" authorId="1" shapeId="0">
      <text>
        <r>
          <rPr>
            <sz val="11"/>
            <color indexed="81"/>
            <rFont val="楷体_GB2312"/>
            <family val="3"/>
            <charset val="134"/>
          </rPr>
          <t>现房/在建（简单填写进度）/未建</t>
        </r>
        <r>
          <rPr>
            <sz val="9"/>
            <color indexed="81"/>
            <rFont val="宋体"/>
            <family val="3"/>
            <charset val="134"/>
          </rPr>
          <t xml:space="preserve">
</t>
        </r>
      </text>
    </comment>
    <comment ref="K47" authorId="1" shapeId="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shape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text>
        <r>
          <rPr>
            <sz val="10"/>
            <color indexed="81"/>
            <rFont val="宋体"/>
            <family val="3"/>
            <charset val="134"/>
          </rPr>
          <t>依《国土证》或《不动产证》录入</t>
        </r>
        <r>
          <rPr>
            <sz val="9"/>
            <color indexed="81"/>
            <rFont val="宋体"/>
            <family val="3"/>
            <charset val="134"/>
          </rPr>
          <t xml:space="preserve">
</t>
        </r>
      </text>
    </comment>
    <comment ref="AC8" authorId="0" shape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shape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weiliru</author>
    <author>moqikay</author>
  </authors>
  <commentList>
    <comment ref="U5" authorId="0" shapeId="0">
      <text>
        <r>
          <rPr>
            <sz val="12"/>
            <color indexed="81"/>
            <rFont val="宋体"/>
            <family val="3"/>
            <charset val="134"/>
          </rPr>
          <t xml:space="preserve">按套计取，在AF列录入套数；
按每车位计取，在AF列录入车位数；
按收益面积计取，在AF列录入收益面积
</t>
        </r>
      </text>
    </comment>
    <comment ref="W5" authorId="0" shape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shapeId="0">
      <text>
        <r>
          <rPr>
            <sz val="10"/>
            <color indexed="81"/>
            <rFont val="宋体"/>
            <family val="3"/>
            <charset val="134"/>
          </rPr>
          <t>取值范围：
1.5%-2.5%</t>
        </r>
        <r>
          <rPr>
            <sz val="9"/>
            <color indexed="81"/>
            <rFont val="宋体"/>
            <family val="3"/>
            <charset val="134"/>
          </rPr>
          <t xml:space="preserve">
</t>
        </r>
      </text>
    </comment>
    <comment ref="AL5" authorId="0" shape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shapeId="0">
      <text>
        <r>
          <rPr>
            <sz val="10"/>
            <color indexed="81"/>
            <rFont val="宋体"/>
            <family val="3"/>
            <charset val="134"/>
          </rPr>
          <t>取值范围：
1%-3%</t>
        </r>
        <r>
          <rPr>
            <sz val="9"/>
            <color indexed="81"/>
            <rFont val="宋体"/>
            <family val="3"/>
            <charset val="134"/>
          </rPr>
          <t xml:space="preserve">
</t>
        </r>
      </text>
    </comment>
    <comment ref="E6" authorId="1" shapeId="0">
      <text>
        <r>
          <rPr>
            <b/>
            <sz val="9"/>
            <color indexed="81"/>
            <rFont val="宋体"/>
            <family val="3"/>
            <charset val="134"/>
          </rPr>
          <t>weiliru:</t>
        </r>
        <r>
          <rPr>
            <sz val="9"/>
            <color indexed="81"/>
            <rFont val="宋体"/>
            <family val="3"/>
            <charset val="134"/>
          </rPr>
          <t xml:space="preserve">
修改</t>
        </r>
      </text>
    </comment>
    <comment ref="W6" authorId="1" shapeId="0">
      <text>
        <r>
          <rPr>
            <b/>
            <sz val="9"/>
            <color indexed="81"/>
            <rFont val="宋体"/>
            <family val="3"/>
            <charset val="134"/>
          </rPr>
          <t>weiliru:</t>
        </r>
        <r>
          <rPr>
            <sz val="9"/>
            <color indexed="81"/>
            <rFont val="宋体"/>
            <family val="3"/>
            <charset val="134"/>
          </rPr>
          <t xml:space="preserve">
是考虑整租的原因吗？</t>
        </r>
      </text>
    </comment>
    <comment ref="E7" authorId="1" shapeId="0">
      <text>
        <r>
          <rPr>
            <b/>
            <sz val="9"/>
            <color indexed="81"/>
            <rFont val="宋体"/>
            <family val="3"/>
            <charset val="134"/>
          </rPr>
          <t>weiliru:</t>
        </r>
        <r>
          <rPr>
            <sz val="9"/>
            <color indexed="81"/>
            <rFont val="宋体"/>
            <family val="3"/>
            <charset val="134"/>
          </rPr>
          <t xml:space="preserve">
修改</t>
        </r>
      </text>
    </comment>
    <comment ref="B44" authorId="2" shapeId="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shapeId="0">
      <text>
        <r>
          <rPr>
            <sz val="12"/>
            <color indexed="81"/>
            <rFont val="宋体"/>
            <family val="3"/>
            <charset val="134"/>
          </rPr>
          <t xml:space="preserve">指区域居住用地比例、居住小区规模和社区发展完善程度
</t>
        </r>
      </text>
    </comment>
    <comment ref="F3" authorId="0" shapeId="0">
      <text>
        <r>
          <rPr>
            <sz val="12"/>
            <color indexed="81"/>
            <rFont val="宋体"/>
            <family val="3"/>
            <charset val="134"/>
          </rPr>
          <t xml:space="preserve">也指工业区成熟度，工业区性质、相关产业的配套及集聚状况
</t>
        </r>
      </text>
    </comment>
    <comment ref="B4" authorId="0" shape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text>
        <r>
          <rPr>
            <sz val="12"/>
            <color indexed="81"/>
            <rFont val="宋体"/>
            <family val="3"/>
            <charset val="134"/>
          </rPr>
          <t>侧重对外交通、货运交通状况</t>
        </r>
        <r>
          <rPr>
            <sz val="9"/>
            <color indexed="81"/>
            <rFont val="宋体"/>
            <family val="3"/>
            <charset val="134"/>
          </rPr>
          <t xml:space="preserve">
</t>
        </r>
      </text>
    </comment>
    <comment ref="B5" authorId="0" shape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text>
        <r>
          <rPr>
            <sz val="12"/>
            <color indexed="81"/>
            <rFont val="宋体"/>
            <family val="3"/>
            <charset val="134"/>
          </rPr>
          <t>侧重公共交通通达、停车便捷程度</t>
        </r>
        <r>
          <rPr>
            <sz val="9"/>
            <color indexed="81"/>
            <rFont val="宋体"/>
            <family val="3"/>
            <charset val="134"/>
          </rPr>
          <t xml:space="preserve">
</t>
        </r>
      </text>
    </comment>
    <comment ref="F7" authorId="0" shapeId="0">
      <text>
        <r>
          <rPr>
            <sz val="12"/>
            <color indexed="81"/>
            <rFont val="宋体"/>
            <family val="3"/>
            <charset val="134"/>
          </rPr>
          <t>主要指污染排放状况及治理状况、距离危险设施或污染源的临近程度、自然条件等</t>
        </r>
      </text>
    </comment>
    <comment ref="B9" authorId="0" shape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shapeId="0">
      <text>
        <r>
          <rPr>
            <sz val="12"/>
            <color indexed="81"/>
            <rFont val="楷体_GB2312"/>
            <family val="3"/>
            <charset val="134"/>
          </rPr>
          <t>不分项目类型时为空即可</t>
        </r>
        <r>
          <rPr>
            <sz val="9"/>
            <color indexed="81"/>
            <rFont val="宋体"/>
            <family val="3"/>
            <charset val="134"/>
          </rPr>
          <t xml:space="preserve">
</t>
        </r>
      </text>
    </comment>
    <comment ref="L18" authorId="0" shapeId="0">
      <text>
        <r>
          <rPr>
            <sz val="12"/>
            <color indexed="81"/>
            <rFont val="宋体"/>
            <family val="3"/>
            <charset val="134"/>
          </rPr>
          <t>C1单元格选空即为估价对象全部</t>
        </r>
        <r>
          <rPr>
            <sz val="9"/>
            <color indexed="81"/>
            <rFont val="宋体"/>
            <family val="3"/>
            <charset val="134"/>
          </rPr>
          <t xml:space="preserve">
</t>
        </r>
      </text>
    </comment>
    <comment ref="A24" authorId="1" shapeId="0">
      <text>
        <r>
          <rPr>
            <sz val="11"/>
            <color indexed="81"/>
            <rFont val="宋体"/>
            <family val="3"/>
            <charset val="134"/>
          </rPr>
          <t>需在下方列示计算过程</t>
        </r>
        <r>
          <rPr>
            <sz val="9"/>
            <color indexed="81"/>
            <rFont val="宋体"/>
            <family val="3"/>
            <charset val="134"/>
          </rPr>
          <t xml:space="preserve">
</t>
        </r>
      </text>
    </comment>
    <comment ref="H75" authorId="2" shapeId="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shape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shape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Sky123.Org</author>
    <author>崔锴</author>
    <author>USER</author>
    <author>moqikay</author>
    <author>1-cuikai</author>
  </authors>
  <commentList>
    <comment ref="C6" authorId="0" shapeId="0">
      <text>
        <r>
          <rPr>
            <b/>
            <sz val="9"/>
            <color indexed="81"/>
            <rFont val="宋体"/>
            <family val="3"/>
            <charset val="134"/>
          </rPr>
          <t>对应区片地价表</t>
        </r>
        <r>
          <rPr>
            <sz val="9"/>
            <color indexed="81"/>
            <rFont val="宋体"/>
            <family val="3"/>
            <charset val="134"/>
          </rPr>
          <t xml:space="preserve">
</t>
        </r>
      </text>
    </comment>
    <comment ref="Y9" authorId="1" shapeId="0">
      <text>
        <r>
          <rPr>
            <sz val="11"/>
            <color indexed="81"/>
            <rFont val="宋体"/>
            <family val="3"/>
            <charset val="134"/>
          </rPr>
          <t xml:space="preserve">录入层数，将对应的结果录入至左侧相应层的楼层修正系数单元格中
</t>
        </r>
      </text>
    </comment>
    <comment ref="C16" authorId="1" shapeId="0">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shapeId="0">
      <text>
        <r>
          <rPr>
            <sz val="12"/>
            <color indexed="81"/>
            <rFont val="宋体"/>
            <family val="3"/>
            <charset val="134"/>
          </rPr>
          <t>1.05~1.1</t>
        </r>
        <r>
          <rPr>
            <sz val="9"/>
            <color indexed="81"/>
            <rFont val="宋体"/>
            <family val="3"/>
            <charset val="134"/>
          </rPr>
          <t xml:space="preserve">
</t>
        </r>
      </text>
    </comment>
    <comment ref="E16" authorId="1" shapeId="0">
      <text>
        <r>
          <rPr>
            <sz val="12"/>
            <color indexed="81"/>
            <rFont val="宋体"/>
            <family val="3"/>
            <charset val="134"/>
          </rPr>
          <t>＜500米，   1.1  ~ 1.15
500~1000米，1.05 ~ 1.1
1000~1500,  1.0  ~ 1.05</t>
        </r>
        <r>
          <rPr>
            <sz val="9"/>
            <color indexed="81"/>
            <rFont val="宋体"/>
            <family val="3"/>
            <charset val="134"/>
          </rPr>
          <t xml:space="preserve">
</t>
        </r>
      </text>
    </comment>
    <comment ref="D21" authorId="2" shapeId="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shapeId="0">
      <text>
        <r>
          <rPr>
            <b/>
            <sz val="14"/>
            <color indexed="81"/>
            <rFont val="宋体"/>
            <family val="3"/>
            <charset val="134"/>
          </rPr>
          <t>工业选“中心城区”</t>
        </r>
        <r>
          <rPr>
            <sz val="9"/>
            <color indexed="81"/>
            <rFont val="宋体"/>
            <family val="3"/>
            <charset val="134"/>
          </rPr>
          <t xml:space="preserve">
</t>
        </r>
      </text>
    </comment>
    <comment ref="B35" authorId="4" shapeId="0">
      <text>
        <r>
          <rPr>
            <sz val="9"/>
            <color indexed="81"/>
            <rFont val="宋体"/>
            <family val="3"/>
            <charset val="134"/>
          </rPr>
          <t xml:space="preserve">地下商业：地上主用途需选商业
地下办公：地上主用途需选办公
地下仓储及车库：按地上主用途计算
</t>
        </r>
      </text>
    </comment>
    <comment ref="G44" authorId="4" shapeId="0">
      <text>
        <r>
          <rPr>
            <sz val="9"/>
            <color indexed="81"/>
            <rFont val="宋体"/>
            <family val="3"/>
            <charset val="134"/>
          </rPr>
          <t xml:space="preserve">需在此处填写剩余土地年限
</t>
        </r>
      </text>
    </comment>
    <comment ref="C111" authorId="0" shapeId="0">
      <text>
        <r>
          <rPr>
            <b/>
            <sz val="9"/>
            <color indexed="81"/>
            <rFont val="宋体"/>
            <family val="3"/>
            <charset val="134"/>
          </rPr>
          <t xml:space="preserve">所在楼层
</t>
        </r>
        <r>
          <rPr>
            <sz val="9"/>
            <color indexed="81"/>
            <rFont val="宋体"/>
            <family val="3"/>
            <charset val="134"/>
          </rPr>
          <t xml:space="preserve">
</t>
        </r>
      </text>
    </comment>
    <comment ref="D111" authorId="0" shapeId="0">
      <text>
        <r>
          <rPr>
            <b/>
            <sz val="9"/>
            <color indexed="81"/>
            <rFont val="宋体"/>
            <family val="3"/>
            <charset val="134"/>
          </rPr>
          <t xml:space="preserve">所在楼层
</t>
        </r>
        <r>
          <rPr>
            <sz val="9"/>
            <color indexed="81"/>
            <rFont val="宋体"/>
            <family val="3"/>
            <charset val="134"/>
          </rPr>
          <t xml:space="preserve">
</t>
        </r>
      </text>
    </comment>
    <comment ref="E111" authorId="0" shapeId="0">
      <text>
        <r>
          <rPr>
            <b/>
            <sz val="9"/>
            <color indexed="81"/>
            <rFont val="宋体"/>
            <family val="3"/>
            <charset val="134"/>
          </rPr>
          <t xml:space="preserve">所在楼层
</t>
        </r>
        <r>
          <rPr>
            <sz val="9"/>
            <color indexed="81"/>
            <rFont val="宋体"/>
            <family val="3"/>
            <charset val="134"/>
          </rPr>
          <t xml:space="preserve">
</t>
        </r>
      </text>
    </comment>
    <comment ref="F111" authorId="0" shapeId="0">
      <text>
        <r>
          <rPr>
            <b/>
            <sz val="9"/>
            <color indexed="81"/>
            <rFont val="宋体"/>
            <family val="3"/>
            <charset val="134"/>
          </rPr>
          <t xml:space="preserve">所在楼层
</t>
        </r>
        <r>
          <rPr>
            <sz val="9"/>
            <color indexed="81"/>
            <rFont val="宋体"/>
            <family val="3"/>
            <charset val="134"/>
          </rPr>
          <t xml:space="preserve">
</t>
        </r>
      </text>
    </comment>
    <comment ref="G111" authorId="0" shapeId="0">
      <text>
        <r>
          <rPr>
            <b/>
            <sz val="9"/>
            <color indexed="81"/>
            <rFont val="宋体"/>
            <family val="3"/>
            <charset val="134"/>
          </rPr>
          <t xml:space="preserve">所在楼层
</t>
        </r>
        <r>
          <rPr>
            <sz val="9"/>
            <color indexed="81"/>
            <rFont val="宋体"/>
            <family val="3"/>
            <charset val="134"/>
          </rPr>
          <t xml:space="preserve">
</t>
        </r>
      </text>
    </comment>
    <comment ref="H111" authorId="0" shapeId="0">
      <text>
        <r>
          <rPr>
            <b/>
            <sz val="9"/>
            <color indexed="81"/>
            <rFont val="宋体"/>
            <family val="3"/>
            <charset val="134"/>
          </rPr>
          <t xml:space="preserve">所在楼层
</t>
        </r>
        <r>
          <rPr>
            <sz val="9"/>
            <color indexed="81"/>
            <rFont val="宋体"/>
            <family val="3"/>
            <charset val="134"/>
          </rPr>
          <t xml:space="preserve">
</t>
        </r>
      </text>
    </comment>
    <comment ref="I111" authorId="0" shapeId="0">
      <text>
        <r>
          <rPr>
            <b/>
            <sz val="9"/>
            <color indexed="81"/>
            <rFont val="宋体"/>
            <family val="3"/>
            <charset val="134"/>
          </rPr>
          <t xml:space="preserve">所在楼层
</t>
        </r>
        <r>
          <rPr>
            <sz val="9"/>
            <color indexed="81"/>
            <rFont val="宋体"/>
            <family val="3"/>
            <charset val="134"/>
          </rPr>
          <t xml:space="preserve">
</t>
        </r>
      </text>
    </comment>
    <comment ref="J111" authorId="0" shapeId="0">
      <text>
        <r>
          <rPr>
            <b/>
            <sz val="9"/>
            <color indexed="81"/>
            <rFont val="宋体"/>
            <family val="3"/>
            <charset val="134"/>
          </rPr>
          <t xml:space="preserve">所在楼层
</t>
        </r>
        <r>
          <rPr>
            <sz val="9"/>
            <color indexed="81"/>
            <rFont val="宋体"/>
            <family val="3"/>
            <charset val="134"/>
          </rPr>
          <t xml:space="preserve">
</t>
        </r>
      </text>
    </comment>
    <comment ref="K111" authorId="0" shapeId="0">
      <text>
        <r>
          <rPr>
            <b/>
            <sz val="9"/>
            <color indexed="81"/>
            <rFont val="宋体"/>
            <family val="3"/>
            <charset val="134"/>
          </rPr>
          <t xml:space="preserve">所在楼层
</t>
        </r>
        <r>
          <rPr>
            <sz val="9"/>
            <color indexed="81"/>
            <rFont val="宋体"/>
            <family val="3"/>
            <charset val="134"/>
          </rPr>
          <t xml:space="preserve">
</t>
        </r>
      </text>
    </comment>
    <comment ref="L111" authorId="0" shapeId="0">
      <text>
        <r>
          <rPr>
            <b/>
            <sz val="9"/>
            <color indexed="81"/>
            <rFont val="宋体"/>
            <family val="3"/>
            <charset val="134"/>
          </rPr>
          <t xml:space="preserve">所在楼层
</t>
        </r>
        <r>
          <rPr>
            <sz val="9"/>
            <color indexed="81"/>
            <rFont val="宋体"/>
            <family val="3"/>
            <charset val="134"/>
          </rPr>
          <t xml:space="preserve">
</t>
        </r>
      </text>
    </comment>
    <comment ref="M111" authorId="0" shapeId="0">
      <text>
        <r>
          <rPr>
            <b/>
            <sz val="9"/>
            <color indexed="81"/>
            <rFont val="宋体"/>
            <family val="3"/>
            <charset val="134"/>
          </rPr>
          <t xml:space="preserve">所在楼层
</t>
        </r>
        <r>
          <rPr>
            <sz val="9"/>
            <color indexed="81"/>
            <rFont val="宋体"/>
            <family val="3"/>
            <charset val="134"/>
          </rPr>
          <t xml:space="preserve">
</t>
        </r>
      </text>
    </comment>
    <comment ref="N111" authorId="0" shapeId="0">
      <text>
        <r>
          <rPr>
            <b/>
            <sz val="9"/>
            <color indexed="81"/>
            <rFont val="宋体"/>
            <family val="3"/>
            <charset val="134"/>
          </rPr>
          <t xml:space="preserve">所在楼层
</t>
        </r>
        <r>
          <rPr>
            <sz val="9"/>
            <color indexed="81"/>
            <rFont val="宋体"/>
            <family val="3"/>
            <charset val="134"/>
          </rPr>
          <t xml:space="preserve">
</t>
        </r>
      </text>
    </comment>
    <comment ref="D116" authorId="0" shape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I52" authorId="0" shape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text>
        <r>
          <rPr>
            <sz val="11"/>
            <color indexed="81"/>
            <rFont val="宋体"/>
            <family val="3"/>
            <charset val="134"/>
          </rPr>
          <t>在建项目均选择“是”</t>
        </r>
      </text>
    </comment>
    <comment ref="F59" authorId="1" shape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text>
        <r>
          <rPr>
            <sz val="10"/>
            <color indexed="81"/>
            <rFont val="宋体"/>
            <family val="3"/>
            <charset val="134"/>
          </rPr>
          <t xml:space="preserve">在建
</t>
        </r>
      </text>
    </comment>
    <comment ref="N59" authorId="0" shapeId="0">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崔锴</author>
  </authors>
  <commentList>
    <comment ref="I52" authorId="0" shape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text>
        <r>
          <rPr>
            <sz val="10"/>
            <color indexed="81"/>
            <rFont val="宋体"/>
            <family val="3"/>
            <charset val="134"/>
          </rPr>
          <t xml:space="preserve">需注意，采用基准地价系数修正法中土地结果计算时，土地报酬率应采用该方法中报酬率（还原率）。
</t>
        </r>
      </text>
    </comment>
    <comment ref="L55" authorId="0" shapeId="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I52" authorId="0" shape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text>
        <r>
          <rPr>
            <sz val="11"/>
            <color indexed="81"/>
            <rFont val="宋体"/>
            <family val="3"/>
            <charset val="134"/>
          </rPr>
          <t>在建项目均选择“是”</t>
        </r>
      </text>
    </comment>
    <comment ref="F59" authorId="1" shape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text>
        <r>
          <rPr>
            <sz val="10"/>
            <color indexed="81"/>
            <rFont val="宋体"/>
            <family val="3"/>
            <charset val="134"/>
          </rPr>
          <t xml:space="preserve">在建
</t>
        </r>
      </text>
    </comment>
    <comment ref="N59" authorId="0" shapeId="0">
      <text>
        <r>
          <rPr>
            <sz val="10"/>
            <color indexed="81"/>
            <rFont val="宋体"/>
            <family val="3"/>
            <charset val="134"/>
          </rPr>
          <t xml:space="preserve">土地
</t>
        </r>
      </text>
    </comment>
  </commentList>
</comments>
</file>

<file path=xl/comments14.xml><?xml version="1.0" encoding="utf-8"?>
<comments xmlns="http://schemas.openxmlformats.org/spreadsheetml/2006/main">
  <authors>
    <author>崔锴</author>
    <author>USER</author>
  </authors>
  <commentList>
    <comment ref="K48" authorId="0" shapeId="0">
      <text>
        <r>
          <rPr>
            <b/>
            <sz val="9"/>
            <color indexed="81"/>
            <rFont val="宋体"/>
            <family val="3"/>
            <charset val="134"/>
          </rPr>
          <t>权重验证</t>
        </r>
        <r>
          <rPr>
            <sz val="9"/>
            <color indexed="81"/>
            <rFont val="宋体"/>
            <family val="3"/>
            <charset val="134"/>
          </rPr>
          <t xml:space="preserve">
</t>
        </r>
      </text>
    </comment>
    <comment ref="C58" authorId="1" shapeId="0">
      <text>
        <r>
          <rPr>
            <b/>
            <sz val="12"/>
            <color indexed="81"/>
            <rFont val="宋体"/>
            <family val="3"/>
            <charset val="134"/>
          </rPr>
          <t>价值时点所在月度</t>
        </r>
        <r>
          <rPr>
            <sz val="12"/>
            <color indexed="81"/>
            <rFont val="宋体"/>
            <family val="3"/>
            <charset val="134"/>
          </rPr>
          <t xml:space="preserve">
</t>
        </r>
      </text>
    </comment>
    <comment ref="B102"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8" authorId="0" shapeId="0">
      <text>
        <r>
          <rPr>
            <b/>
            <sz val="9"/>
            <color indexed="81"/>
            <rFont val="宋体"/>
            <family val="3"/>
            <charset val="134"/>
          </rPr>
          <t>权重验证</t>
        </r>
        <r>
          <rPr>
            <sz val="9"/>
            <color indexed="81"/>
            <rFont val="宋体"/>
            <family val="3"/>
            <charset val="134"/>
          </rPr>
          <t xml:space="preserve">
</t>
        </r>
      </text>
    </comment>
    <comment ref="C58" authorId="1" shapeId="0">
      <text>
        <r>
          <rPr>
            <b/>
            <sz val="12"/>
            <color indexed="81"/>
            <rFont val="宋体"/>
            <family val="3"/>
            <charset val="134"/>
          </rPr>
          <t>价值时点所在月度</t>
        </r>
        <r>
          <rPr>
            <sz val="12"/>
            <color indexed="81"/>
            <rFont val="宋体"/>
            <family val="3"/>
            <charset val="134"/>
          </rPr>
          <t xml:space="preserve">
</t>
        </r>
      </text>
    </comment>
    <comment ref="B102"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weiliru</author>
    <author>崔锴</author>
    <author>USER</author>
  </authors>
  <commentList>
    <comment ref="D9" authorId="0" shapeId="0">
      <text>
        <r>
          <rPr>
            <b/>
            <sz val="9"/>
            <color indexed="81"/>
            <rFont val="宋体"/>
            <family val="3"/>
            <charset val="134"/>
          </rPr>
          <t>weiliru:</t>
        </r>
        <r>
          <rPr>
            <sz val="9"/>
            <color indexed="81"/>
            <rFont val="宋体"/>
            <family val="3"/>
            <charset val="134"/>
          </rPr>
          <t xml:space="preserve">
估价对象为40年商业，用途应修正</t>
        </r>
      </text>
    </comment>
    <comment ref="K49" authorId="1" shapeId="0">
      <text>
        <r>
          <rPr>
            <b/>
            <sz val="9"/>
            <color indexed="81"/>
            <rFont val="宋体"/>
            <family val="3"/>
            <charset val="134"/>
          </rPr>
          <t>权重验证</t>
        </r>
        <r>
          <rPr>
            <sz val="9"/>
            <color indexed="81"/>
            <rFont val="宋体"/>
            <family val="3"/>
            <charset val="134"/>
          </rPr>
          <t xml:space="preserve">
</t>
        </r>
      </text>
    </comment>
    <comment ref="C59" authorId="2" shapeId="0">
      <text>
        <r>
          <rPr>
            <b/>
            <sz val="12"/>
            <color indexed="81"/>
            <rFont val="宋体"/>
            <family val="3"/>
            <charset val="134"/>
          </rPr>
          <t>价值时点所在月度</t>
        </r>
        <r>
          <rPr>
            <sz val="12"/>
            <color indexed="81"/>
            <rFont val="宋体"/>
            <family val="3"/>
            <charset val="134"/>
          </rPr>
          <t xml:space="preserve">
</t>
        </r>
      </text>
    </comment>
    <comment ref="B103" authorId="2"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2" authorId="0" shapeId="0">
      <text>
        <r>
          <rPr>
            <b/>
            <sz val="9"/>
            <color indexed="81"/>
            <rFont val="宋体"/>
            <family val="3"/>
            <charset val="134"/>
          </rPr>
          <t>权重验证</t>
        </r>
        <r>
          <rPr>
            <sz val="9"/>
            <color indexed="81"/>
            <rFont val="宋体"/>
            <family val="3"/>
            <charset val="134"/>
          </rPr>
          <t xml:space="preserve">
</t>
        </r>
      </text>
    </comment>
    <comment ref="C52" authorId="1" shapeId="0">
      <text>
        <r>
          <rPr>
            <b/>
            <sz val="12"/>
            <color indexed="81"/>
            <rFont val="宋体"/>
            <family val="3"/>
            <charset val="134"/>
          </rPr>
          <t>价值时点所在月度</t>
        </r>
        <r>
          <rPr>
            <sz val="12"/>
            <color indexed="81"/>
            <rFont val="宋体"/>
            <family val="3"/>
            <charset val="134"/>
          </rPr>
          <t xml:space="preserve">
</t>
        </r>
      </text>
    </comment>
    <comment ref="B90" authorId="1"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shapeId="0">
      <text>
        <r>
          <rPr>
            <b/>
            <sz val="12"/>
            <color indexed="81"/>
            <rFont val="宋体"/>
            <family val="3"/>
            <charset val="134"/>
          </rPr>
          <t>主用途</t>
        </r>
        <r>
          <rPr>
            <sz val="12"/>
            <color indexed="81"/>
            <rFont val="宋体"/>
            <family val="3"/>
            <charset val="134"/>
          </rPr>
          <t xml:space="preserve">
</t>
        </r>
      </text>
    </comment>
    <comment ref="K38" authorId="1" shapeId="0">
      <text>
        <r>
          <rPr>
            <b/>
            <sz val="9"/>
            <color indexed="81"/>
            <rFont val="宋体"/>
            <family val="3"/>
            <charset val="134"/>
          </rPr>
          <t>权重验证</t>
        </r>
        <r>
          <rPr>
            <sz val="9"/>
            <color indexed="81"/>
            <rFont val="宋体"/>
            <family val="3"/>
            <charset val="134"/>
          </rPr>
          <t xml:space="preserve">
</t>
        </r>
      </text>
    </comment>
    <comment ref="C48" authorId="0" shapeId="0">
      <text>
        <r>
          <rPr>
            <b/>
            <sz val="12"/>
            <color indexed="81"/>
            <rFont val="宋体"/>
            <family val="3"/>
            <charset val="134"/>
          </rPr>
          <t>价值时点所在月度</t>
        </r>
        <r>
          <rPr>
            <sz val="12"/>
            <color indexed="81"/>
            <rFont val="宋体"/>
            <family val="3"/>
            <charset val="134"/>
          </rPr>
          <t xml:space="preserve">
</t>
        </r>
      </text>
    </comment>
    <comment ref="B88" authorId="0" shapeId="0">
      <text>
        <r>
          <rPr>
            <b/>
            <sz val="12"/>
            <color indexed="81"/>
            <rFont val="宋体"/>
            <family val="3"/>
            <charset val="134"/>
          </rPr>
          <t>所属项目品质或
物业管理</t>
        </r>
      </text>
    </comment>
    <comment ref="B90" authorId="0" shape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shape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text>
        <r>
          <rPr>
            <b/>
            <sz val="9"/>
            <color indexed="81"/>
            <rFont val="宋体"/>
            <family val="3"/>
            <charset val="134"/>
          </rPr>
          <t>权重验证</t>
        </r>
        <r>
          <rPr>
            <sz val="9"/>
            <color indexed="81"/>
            <rFont val="宋体"/>
            <family val="3"/>
            <charset val="134"/>
          </rPr>
          <t xml:space="preserve">
</t>
        </r>
      </text>
    </comment>
    <comment ref="C46" authorId="0" shapeId="0">
      <text>
        <r>
          <rPr>
            <b/>
            <sz val="12"/>
            <color indexed="81"/>
            <rFont val="宋体"/>
            <family val="3"/>
            <charset val="134"/>
          </rPr>
          <t>价值时点所在月度</t>
        </r>
        <r>
          <rPr>
            <sz val="12"/>
            <color indexed="81"/>
            <rFont val="宋体"/>
            <family val="3"/>
            <charset val="134"/>
          </rPr>
          <t xml:space="preserve">
</t>
        </r>
      </text>
    </comment>
    <comment ref="B82" authorId="0" shapeId="0">
      <text>
        <r>
          <rPr>
            <b/>
            <sz val="12"/>
            <color indexed="81"/>
            <rFont val="宋体"/>
            <family val="3"/>
            <charset val="134"/>
          </rPr>
          <t>所属项目品质或
物业管理</t>
        </r>
      </text>
    </comment>
    <comment ref="B86" authorId="0" shapeId="0">
      <text>
        <r>
          <rPr>
            <b/>
            <sz val="12"/>
            <color indexed="81"/>
            <rFont val="宋体"/>
            <family val="3"/>
            <charset val="134"/>
          </rPr>
          <t>所属项目品质</t>
        </r>
      </text>
    </comment>
    <comment ref="B89" authorId="0" shape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USER</author>
  </authors>
  <commentList>
    <comment ref="K47" authorId="0" shapeId="0">
      <text>
        <r>
          <rPr>
            <b/>
            <sz val="9"/>
            <color indexed="81"/>
            <rFont val="宋体"/>
            <family val="3"/>
            <charset val="134"/>
          </rPr>
          <t>权重验证</t>
        </r>
        <r>
          <rPr>
            <sz val="9"/>
            <color indexed="81"/>
            <rFont val="宋体"/>
            <family val="3"/>
            <charset val="134"/>
          </rPr>
          <t xml:space="preserve">
</t>
        </r>
      </text>
    </comment>
    <comment ref="C69" authorId="1" shapeId="0">
      <text>
        <r>
          <rPr>
            <b/>
            <sz val="12"/>
            <color indexed="81"/>
            <rFont val="宋体"/>
            <family val="3"/>
            <charset val="134"/>
          </rPr>
          <t>价值时点所在季度</t>
        </r>
        <r>
          <rPr>
            <sz val="12"/>
            <color indexed="81"/>
            <rFont val="宋体"/>
            <family val="3"/>
            <charset val="134"/>
          </rPr>
          <t xml:space="preserve">
</t>
        </r>
      </text>
    </comment>
    <comment ref="B70" authorId="0" shapeId="0">
      <text>
        <r>
          <rPr>
            <sz val="11"/>
            <color indexed="81"/>
            <rFont val="宋体"/>
            <family val="3"/>
            <charset val="134"/>
          </rPr>
          <t xml:space="preserve">北京市公示数据计算的平均涨幅
</t>
        </r>
      </text>
    </comment>
  </commentList>
</comments>
</file>

<file path=xl/comments21.xml><?xml version="1.0" encoding="utf-8"?>
<comments xmlns="http://schemas.openxmlformats.org/spreadsheetml/2006/main">
  <authors>
    <author>崔锴</author>
    <author>USER</author>
  </authors>
  <commentList>
    <comment ref="K42" authorId="0" shapeId="0">
      <text>
        <r>
          <rPr>
            <b/>
            <sz val="9"/>
            <color indexed="81"/>
            <rFont val="宋体"/>
            <family val="3"/>
            <charset val="134"/>
          </rPr>
          <t>权重验证</t>
        </r>
        <r>
          <rPr>
            <sz val="9"/>
            <color indexed="81"/>
            <rFont val="宋体"/>
            <family val="3"/>
            <charset val="134"/>
          </rPr>
          <t xml:space="preserve">
</t>
        </r>
      </text>
    </comment>
    <comment ref="C65" authorId="1" shapeId="0">
      <text>
        <r>
          <rPr>
            <b/>
            <sz val="12"/>
            <color indexed="81"/>
            <rFont val="宋体"/>
            <family val="3"/>
            <charset val="134"/>
          </rPr>
          <t>价值时点所在季度</t>
        </r>
        <r>
          <rPr>
            <sz val="12"/>
            <color indexed="81"/>
            <rFont val="宋体"/>
            <family val="3"/>
            <charset val="134"/>
          </rPr>
          <t xml:space="preserve">
</t>
        </r>
      </text>
    </comment>
    <comment ref="B66" authorId="0" shape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s>
  <commentList>
    <comment ref="B2" authorId="0" shape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<sst xmlns="http://schemas.openxmlformats.org/spreadsheetml/2006/main" count="9675" uniqueCount="4100">
  <si>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</si>
  <si>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</si>
  <si>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</si>
  <si>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</si>
  <si>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</si>
  <si>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</si>
  <si>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</si>
  <si>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</si>
  <si>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</si>
  <si>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</si>
  <si>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</si>
  <si>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</si>
  <si>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</si>
  <si>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</si>
  <si>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</si>
  <si>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</si>
  <si>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</si>
  <si>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</si>
  <si>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</si>
  <si>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</si>
  <si>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</si>
  <si>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</si>
  <si>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</si>
  <si>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</si>
  <si>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</si>
  <si>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</si>
  <si>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</si>
  <si>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</si>
  <si>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</si>
  <si>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</si>
  <si>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</si>
  <si>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</si>
  <si>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</si>
  <si>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</si>
  <si>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</si>
  <si>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</si>
  <si>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</si>
  <si>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</si>
  <si>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</si>
  <si>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</si>
  <si>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</si>
  <si>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</si>
  <si>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</si>
  <si>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</si>
  <si>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</si>
  <si>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</si>
  <si>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</si>
  <si>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</si>
  <si>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</si>
  <si>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</si>
  <si>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</si>
  <si>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</si>
  <si>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</si>
  <si>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</si>
  <si>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</si>
  <si>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</si>
  <si>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</si>
  <si>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</si>
  <si>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</si>
  <si>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</si>
  <si>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</si>
  <si>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</si>
  <si>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</si>
  <si>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</si>
  <si>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</si>
  <si>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</si>
  <si>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</si>
  <si>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</si>
  <si>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</si>
  <si>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</si>
  <si>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</si>
  <si>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</si>
  <si>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</si>
  <si>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</si>
  <si>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</si>
  <si>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</si>
  <si>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</si>
  <si>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</si>
  <si>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</si>
  <si>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</si>
  <si>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</si>
  <si>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</si>
  <si>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</si>
  <si>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</si>
  <si>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</si>
  <si>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</si>
  <si>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</si>
  <si>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</si>
  <si>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</si>
  <si>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</si>
  <si>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</si>
  <si>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</si>
  <si>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</si>
  <si>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</si>
  <si>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</si>
  <si>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</si>
  <si>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</si>
  <si>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</si>
  <si>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</si>
  <si>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</si>
  <si>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</si>
  <si>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</si>
  <si>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</si>
  <si>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</si>
  <si>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</si>
  <si>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</si>
  <si>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</si>
  <si>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</si>
  <si>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</si>
  <si>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</si>
  <si>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</si>
  <si>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</si>
  <si>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</si>
  <si>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</si>
  <si>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</si>
  <si>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</si>
  <si>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</si>
  <si>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</si>
  <si>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</si>
  <si>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</si>
  <si>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</si>
  <si>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</si>
  <si>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</si>
  <si>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</si>
  <si>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</si>
  <si>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</si>
  <si>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</si>
  <si>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</si>
  <si>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</si>
  <si>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</si>
  <si>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</si>
  <si>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</si>
  <si>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</si>
  <si>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</si>
  <si>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</si>
  <si>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</si>
  <si>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</si>
  <si>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</si>
  <si>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</si>
  <si>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</si>
  <si>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</si>
  <si>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</si>
  <si>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</si>
  <si>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</si>
  <si>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</si>
  <si>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</si>
  <si>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</si>
  <si>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</si>
  <si>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</si>
  <si>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</si>
  <si>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</si>
  <si>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</si>
  <si>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</si>
  <si>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</si>
  <si>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</si>
  <si>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</si>
  <si>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</si>
  <si>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</si>
  <si>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</si>
  <si>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</si>
  <si>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</si>
  <si>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</si>
  <si>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</si>
  <si>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</si>
  <si>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</si>
  <si>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</si>
  <si>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</si>
  <si>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</si>
  <si>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</si>
  <si>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</si>
  <si>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</si>
  <si>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</si>
  <si>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</si>
  <si>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</si>
  <si>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</si>
  <si>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</si>
  <si>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</si>
  <si>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</si>
  <si>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</si>
  <si>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</si>
  <si>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</si>
  <si>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</si>
  <si>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</si>
  <si>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</si>
  <si>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</si>
  <si>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</si>
  <si>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</si>
  <si>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</si>
  <si>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</si>
  <si>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</si>
  <si>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</si>
  <si>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</si>
  <si>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</si>
  <si>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</si>
  <si>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</si>
  <si>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</si>
  <si>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</si>
  <si>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</si>
  <si>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</si>
  <si>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</si>
  <si>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</si>
  <si>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</si>
  <si>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</si>
  <si>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</si>
  <si>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</si>
  <si>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</si>
  <si>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</si>
  <si>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</si>
  <si>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</si>
  <si>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</si>
  <si>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</si>
  <si>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</si>
  <si>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</si>
  <si>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</si>
  <si>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</si>
  <si>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</si>
  <si>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</si>
  <si>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</si>
  <si>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</si>
  <si>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</si>
  <si>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</si>
  <si>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</si>
  <si>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</si>
  <si>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</si>
  <si>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</si>
  <si>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</si>
  <si>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</si>
  <si>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</si>
  <si>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</si>
  <si>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</si>
  <si>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</si>
  <si>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</si>
  <si>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</si>
  <si>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</si>
  <si>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</si>
  <si>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</si>
  <si>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</si>
  <si>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</si>
  <si>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</si>
  <si>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</si>
  <si>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</si>
  <si>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</si>
  <si>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</si>
  <si>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</si>
  <si>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</si>
  <si>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</si>
  <si>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</si>
  <si>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</si>
  <si>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</si>
  <si>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</si>
  <si>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</si>
  <si>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</si>
  <si>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</si>
  <si>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</si>
  <si>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</si>
  <si>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</si>
  <si>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</si>
  <si>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</si>
  <si>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</si>
  <si>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</si>
  <si>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</si>
  <si>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</si>
  <si>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</si>
  <si>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</si>
  <si>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</si>
  <si>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</si>
  <si>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</si>
  <si>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</si>
  <si>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</si>
  <si>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</si>
  <si>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</si>
  <si>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</si>
  <si>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</si>
  <si>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</si>
  <si>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</si>
  <si>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</si>
  <si>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</si>
  <si>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</si>
  <si>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</si>
  <si>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</si>
  <si>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</si>
  <si>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</si>
  <si>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</si>
  <si>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</si>
  <si>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</si>
  <si>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</si>
  <si>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</si>
  <si>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</si>
  <si>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</si>
  <si>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</si>
  <si>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</si>
  <si>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</si>
  <si>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</si>
  <si>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</si>
  <si>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</si>
  <si>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</si>
  <si>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</si>
  <si>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</si>
  <si>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</si>
  <si>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</si>
  <si>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</si>
  <si>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</si>
  <si>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</si>
  <si>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</si>
  <si>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</si>
  <si>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</si>
  <si>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</si>
  <si>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</si>
  <si>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</si>
  <si>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</si>
  <si>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</si>
  <si>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</si>
  <si>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</si>
  <si>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</si>
  <si>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</si>
  <si>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</si>
  <si>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</si>
  <si>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</si>
  <si>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</si>
  <si>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</si>
  <si>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</si>
  <si>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</si>
  <si>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</si>
  <si>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</si>
  <si>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</si>
  <si>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</si>
  <si>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</si>
  <si>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</si>
  <si>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</si>
  <si>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</si>
  <si>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</si>
  <si>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</si>
  <si>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</si>
  <si>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</si>
  <si>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</si>
  <si>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</si>
  <si>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</si>
  <si>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</si>
  <si>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</si>
  <si>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</si>
  <si>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</si>
  <si>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</si>
  <si>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</si>
  <si>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</si>
  <si>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</si>
  <si>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</si>
  <si>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</si>
  <si>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</si>
  <si>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</si>
  <si>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</si>
  <si>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</si>
  <si>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</si>
  <si>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</si>
  <si>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</si>
  <si>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</si>
  <si>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</si>
  <si>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</si>
  <si>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</si>
  <si>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</si>
  <si>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</si>
  <si>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</si>
  <si>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</si>
  <si>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</si>
  <si>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</si>
  <si>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</si>
  <si>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</si>
  <si>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</si>
  <si>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</si>
  <si>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</si>
  <si>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</si>
  <si>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</si>
  <si>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</si>
  <si>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</si>
  <si>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</si>
  <si>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</si>
  <si>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</si>
  <si>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</si>
  <si>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</si>
  <si>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</si>
  <si>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</si>
  <si>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</si>
  <si>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</si>
  <si>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</si>
  <si>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</si>
  <si>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</si>
  <si>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</si>
  <si>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</si>
  <si>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</si>
  <si>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</si>
  <si>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</si>
  <si>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</si>
  <si>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</si>
  <si>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</si>
  <si>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</si>
  <si>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</si>
  <si>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</si>
  <si>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</si>
  <si>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</si>
  <si>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</si>
  <si>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</si>
  <si>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</si>
  <si>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</si>
  <si>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</si>
  <si>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</si>
  <si>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</si>
  <si>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</si>
  <si>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</si>
  <si>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</si>
  <si>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</si>
  <si>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</si>
  <si>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</si>
  <si>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</si>
  <si>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</si>
  <si>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</si>
  <si>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</si>
  <si>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</si>
  <si>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</si>
  <si>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</si>
  <si>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</si>
  <si>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</si>
  <si>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</si>
  <si>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</si>
  <si>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</si>
  <si>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</si>
  <si>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</si>
  <si>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</si>
  <si>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</si>
  <si>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</si>
  <si>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</si>
  <si>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</si>
  <si>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</si>
  <si>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</si>
  <si>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</si>
  <si>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</si>
  <si>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</si>
  <si>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</si>
  <si>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</si>
  <si>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</si>
  <si>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</si>
  <si>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</si>
  <si>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</si>
  <si>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</si>
  <si>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</si>
  <si>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</si>
  <si>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</si>
  <si>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</si>
  <si>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</si>
  <si>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</si>
  <si>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</si>
  <si>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</si>
  <si>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</si>
  <si>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</si>
  <si>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</si>
  <si>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</si>
  <si>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</si>
  <si>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</si>
  <si>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</si>
  <si>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</si>
  <si>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</si>
  <si>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</si>
  <si>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</si>
  <si>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</si>
  <si>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</si>
  <si>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</si>
  <si>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</si>
  <si>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</si>
  <si>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</si>
  <si>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</si>
  <si>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</si>
  <si>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</si>
  <si>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</si>
  <si>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</si>
  <si>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</si>
  <si>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</si>
  <si>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</si>
  <si>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</si>
  <si>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</si>
  <si>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</si>
  <si>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</si>
  <si>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</si>
  <si>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</si>
  <si>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</si>
  <si>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</si>
  <si>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</si>
  <si>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</si>
  <si>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</si>
  <si>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</si>
  <si>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</si>
  <si>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</si>
  <si>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</si>
  <si>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</si>
  <si>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</si>
  <si>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</si>
  <si>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</si>
  <si>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</si>
  <si>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</si>
  <si>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</si>
  <si>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</si>
  <si>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</si>
  <si>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</si>
  <si>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</si>
  <si>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</si>
  <si>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</si>
  <si>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</si>
  <si>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</si>
  <si>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</si>
  <si>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</si>
  <si>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</si>
  <si>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</si>
  <si>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</si>
  <si>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</si>
  <si>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</si>
  <si>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</si>
  <si>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</si>
  <si>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</si>
  <si>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</si>
  <si>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</si>
  <si>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</si>
  <si>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</si>
  <si>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</si>
  <si>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</si>
  <si>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</si>
  <si>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</si>
  <si>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</si>
  <si>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</si>
  <si>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</si>
  <si>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</si>
  <si>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</si>
  <si>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</si>
  <si>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</si>
  <si>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</si>
  <si>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</si>
  <si>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</si>
  <si>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</si>
  <si>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</si>
  <si>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</si>
  <si>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</si>
  <si>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</si>
  <si>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</si>
  <si>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</si>
  <si>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</si>
  <si>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</si>
  <si>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</si>
  <si>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</si>
  <si>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</si>
  <si>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</si>
  <si>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</si>
  <si>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</si>
  <si>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</si>
  <si>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</si>
  <si>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</si>
  <si>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</si>
  <si>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</si>
  <si>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</si>
  <si>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</si>
  <si>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</si>
  <si>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</si>
  <si>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</si>
  <si>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</si>
  <si>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</si>
  <si>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</si>
  <si>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</si>
  <si>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</si>
  <si>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</si>
  <si>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</si>
  <si>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</si>
  <si>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</si>
  <si>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</si>
  <si>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</si>
  <si>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</si>
  <si>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</si>
  <si>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</si>
  <si>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</si>
  <si>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</si>
  <si>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</si>
  <si>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</si>
  <si>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</si>
  <si>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</si>
  <si>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</si>
  <si>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</si>
  <si>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</si>
  <si>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</si>
  <si>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</si>
  <si>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</si>
  <si>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</si>
  <si>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</si>
  <si>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</si>
  <si>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</si>
  <si>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</si>
  <si>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</si>
  <si>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</si>
  <si>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</si>
  <si>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</si>
  <si>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</si>
  <si>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</si>
  <si>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</si>
  <si>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</si>
  <si>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</si>
  <si>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</si>
  <si>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</si>
  <si>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</si>
  <si>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</si>
  <si>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</si>
  <si>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</si>
  <si>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</si>
  <si>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</si>
  <si>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</si>
  <si>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</si>
  <si>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</si>
  <si>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</si>
  <si>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</si>
  <si>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</si>
  <si>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</si>
  <si>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</si>
  <si>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</si>
  <si>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</si>
  <si>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</si>
  <si>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</si>
  <si>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</si>
  <si>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</si>
  <si>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</si>
  <si>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</si>
  <si>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</si>
  <si>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</si>
  <si>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</si>
  <si>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</si>
  <si>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</si>
  <si>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</si>
  <si>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</si>
  <si>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</si>
  <si>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</si>
  <si>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</si>
  <si>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</si>
  <si>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</si>
  <si>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</si>
  <si>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</si>
  <si>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</si>
  <si>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</si>
  <si>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</si>
  <si>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</si>
  <si>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</si>
  <si>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</si>
  <si>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</si>
  <si>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</si>
  <si>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</si>
  <si>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</si>
  <si>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</si>
  <si>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</si>
  <si>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</si>
  <si>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</si>
  <si>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</si>
  <si>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</si>
  <si>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</si>
  <si>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</si>
  <si>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</si>
  <si>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</si>
  <si>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</si>
  <si>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</si>
  <si>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</si>
  <si>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</si>
  <si>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</si>
  <si>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</si>
  <si>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</si>
  <si>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</si>
  <si>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</si>
  <si>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</si>
  <si>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</si>
  <si>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</si>
  <si>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</si>
  <si>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</si>
  <si>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</si>
  <si>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</si>
  <si>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</si>
  <si>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</si>
  <si>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</si>
  <si>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</si>
  <si>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</si>
  <si>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</si>
  <si>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</si>
  <si>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</si>
  <si>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</si>
  <si>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</si>
  <si>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</si>
  <si>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</si>
  <si>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</si>
  <si>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</si>
  <si>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</si>
  <si>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</si>
  <si>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</si>
  <si>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</si>
  <si>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</si>
  <si>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</si>
  <si>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</si>
  <si>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</si>
  <si>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</si>
  <si>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</si>
  <si>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</si>
  <si>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</si>
  <si>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</si>
  <si>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</si>
  <si>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</si>
  <si>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</si>
  <si>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</si>
  <si>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</si>
  <si>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</si>
  <si>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</si>
  <si>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</si>
  <si>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</si>
  <si>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</si>
  <si>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</si>
  <si>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</si>
  <si>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</si>
  <si>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</si>
  <si>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</si>
  <si>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</si>
  <si>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</si>
  <si>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</si>
  <si>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</si>
  <si>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</si>
  <si>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</si>
  <si>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</si>
  <si>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</si>
  <si>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</si>
  <si>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</si>
  <si>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</si>
  <si>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</si>
  <si>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</si>
  <si>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</si>
  <si>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</si>
  <si>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</si>
  <si>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</si>
  <si>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</si>
  <si>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</si>
  <si>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</si>
  <si>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</si>
  <si>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</si>
  <si>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</si>
  <si>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</si>
  <si>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</si>
  <si>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</si>
  <si>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</si>
  <si>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</si>
  <si>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</si>
  <si>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</si>
  <si>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</si>
  <si>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</si>
  <si>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</si>
  <si>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</si>
  <si>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</si>
  <si>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</si>
  <si>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</si>
  <si>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</si>
  <si>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</si>
  <si>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</si>
  <si>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</si>
  <si>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</si>
  <si>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</si>
  <si>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</si>
  <si>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</si>
  <si>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</si>
  <si>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</si>
  <si>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</si>
  <si>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</si>
  <si>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</si>
  <si>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</si>
  <si>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</si>
  <si>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</si>
  <si>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</si>
  <si>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</si>
  <si>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</si>
  <si>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</si>
  <si>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</si>
  <si>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</si>
  <si>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</si>
  <si>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</si>
  <si>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</si>
  <si>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</si>
  <si>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</si>
  <si>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</si>
  <si>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</si>
  <si>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</si>
  <si>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</si>
  <si>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</si>
  <si>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</si>
  <si>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</si>
  <si>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</si>
  <si>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</si>
  <si>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</si>
  <si>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</si>
  <si>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</si>
  <si>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</si>
  <si>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</si>
  <si>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</si>
  <si>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</si>
  <si>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</si>
  <si>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</si>
  <si>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</si>
  <si>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</si>
  <si>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</si>
  <si>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</si>
  <si>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</si>
  <si>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</si>
  <si>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</si>
  <si>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</si>
  <si>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</si>
  <si>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</si>
  <si>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</si>
  <si>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</si>
  <si>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</si>
  <si>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</si>
  <si>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</si>
  <si>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</si>
  <si>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</si>
  <si>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</si>
  <si>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</si>
  <si>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</si>
  <si>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</si>
  <si>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</si>
  <si>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</si>
  <si>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</si>
  <si>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</si>
  <si>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</si>
  <si>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</si>
  <si>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</si>
  <si>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</si>
  <si>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</si>
  <si>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</si>
  <si>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</si>
  <si>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</si>
  <si>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</si>
  <si>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</si>
  <si>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</si>
  <si>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</si>
  <si>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</si>
  <si>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</si>
  <si>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</si>
  <si>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</si>
  <si>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</si>
  <si>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</si>
  <si>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</si>
  <si>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</si>
  <si>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</si>
  <si>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</si>
  <si>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</si>
  <si>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</si>
  <si>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</si>
  <si>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</si>
  <si>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</si>
  <si>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</si>
  <si>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</si>
  <si>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</si>
  <si>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</si>
  <si>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</si>
  <si>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</si>
  <si>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</si>
  <si>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</si>
  <si>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</si>
  <si>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</si>
  <si>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</si>
  <si>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</si>
  <si>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</si>
  <si>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</si>
  <si>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</si>
  <si>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</si>
  <si>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</si>
  <si>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</si>
  <si>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</si>
  <si>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</si>
  <si>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</si>
  <si>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</si>
  <si>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</si>
  <si>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</si>
  <si>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</si>
  <si>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</si>
  <si>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</si>
  <si>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</si>
  <si>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</si>
  <si>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</si>
  <si>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</si>
  <si>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</si>
  <si>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</si>
  <si>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</si>
  <si>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</si>
  <si>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</si>
  <si>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</si>
  <si>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</si>
  <si>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</si>
  <si>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</si>
  <si>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</si>
  <si>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</si>
  <si>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</si>
  <si>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</si>
  <si>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</si>
  <si>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</si>
  <si>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</si>
  <si>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</si>
  <si>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</si>
  <si>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</si>
  <si>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</si>
  <si>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</si>
  <si>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</si>
  <si>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</si>
  <si>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</si>
  <si>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</si>
  <si>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</si>
  <si>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</si>
  <si>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</si>
  <si>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</si>
  <si>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</si>
  <si>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</si>
  <si>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</si>
  <si>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</si>
  <si>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</si>
  <si>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</si>
  <si>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</si>
  <si>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</si>
  <si>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</si>
  <si>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</si>
  <si>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</si>
  <si>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</si>
  <si>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</si>
  <si>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</si>
  <si>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</si>
  <si>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</si>
  <si>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</si>
  <si>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</si>
  <si>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</si>
  <si>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</si>
  <si>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</si>
  <si>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</si>
  <si>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</si>
  <si>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</si>
  <si>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</si>
  <si>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</si>
  <si>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</si>
  <si>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</si>
  <si>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</si>
  <si>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</si>
  <si>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</si>
  <si>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</si>
  <si>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</si>
  <si>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</si>
  <si>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</si>
  <si>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</si>
  <si>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</si>
  <si>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</si>
  <si>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</si>
  <si>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</si>
  <si>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</si>
  <si>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</si>
  <si>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</si>
  <si>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</si>
  <si>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</si>
  <si>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</si>
  <si>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</si>
  <si>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</si>
  <si>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</si>
  <si>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</si>
  <si>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</si>
  <si>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</si>
  <si>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</si>
  <si>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</si>
  <si>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</si>
  <si>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</si>
  <si>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</si>
  <si>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</si>
  <si>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</si>
  <si>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</si>
  <si>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</si>
  <si>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</si>
  <si>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</si>
  <si>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</si>
  <si>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</si>
  <si>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</si>
  <si>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</si>
  <si>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</si>
  <si>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</si>
  <si>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</si>
  <si>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</si>
  <si>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</si>
  <si>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</si>
  <si>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</si>
  <si>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</si>
  <si>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</si>
  <si>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</si>
  <si>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</si>
  <si>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</si>
  <si>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</si>
  <si>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</si>
  <si>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</si>
  <si>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</si>
  <si>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</si>
  <si>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</si>
  <si>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</si>
  <si>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</si>
  <si>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</si>
  <si>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</si>
  <si>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</si>
  <si>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</si>
  <si>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</si>
  <si>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</si>
  <si>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</si>
  <si>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</si>
  <si>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</si>
  <si>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</si>
  <si>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</si>
  <si>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</si>
  <si>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</si>
  <si>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</si>
  <si>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</si>
  <si>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</si>
  <si>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</si>
  <si>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</si>
  <si>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</si>
  <si>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</si>
  <si>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</si>
  <si>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</si>
  <si>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</si>
  <si>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</si>
  <si>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</si>
  <si>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</si>
  <si>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</si>
  <si>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</si>
  <si>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</si>
  <si>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</si>
  <si>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</si>
  <si>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</si>
  <si>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</si>
  <si>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</si>
  <si>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</si>
  <si>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</si>
  <si>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</si>
  <si>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</si>
  <si>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</si>
  <si>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</si>
  <si>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</si>
  <si>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</si>
  <si>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</si>
  <si>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</si>
  <si>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</si>
  <si>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</si>
  <si>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</si>
  <si>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</si>
  <si>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</si>
  <si>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</si>
  <si>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</si>
  <si>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</si>
  <si>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</si>
  <si>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</si>
  <si>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</si>
  <si>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</si>
  <si>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</si>
  <si>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</si>
  <si>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</si>
  <si>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</si>
  <si>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</si>
  <si>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</si>
  <si>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</si>
  <si>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</si>
  <si>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</si>
  <si>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</si>
  <si>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</si>
  <si>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</si>
  <si>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</si>
  <si>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</si>
  <si>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</si>
  <si>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</si>
  <si>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</si>
  <si>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</si>
  <si>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</si>
  <si>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</si>
  <si>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</si>
  <si>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</si>
  <si>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</si>
  <si>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</si>
  <si>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</si>
  <si>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</si>
  <si>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</si>
  <si>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</si>
  <si>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</si>
  <si>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</si>
  <si>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</si>
  <si>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</si>
  <si>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</si>
  <si>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</si>
  <si>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</si>
  <si>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</si>
  <si>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</si>
  <si>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</si>
  <si>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</si>
  <si>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</si>
  <si>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</si>
  <si>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</si>
  <si>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</si>
  <si>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</si>
  <si>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</si>
  <si>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</si>
  <si>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</si>
  <si>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</si>
  <si>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</si>
  <si>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</si>
  <si>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</si>
  <si>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</si>
  <si>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</si>
  <si>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</si>
  <si>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</si>
  <si>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</si>
  <si>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</si>
  <si>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</si>
  <si>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</si>
  <si>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</si>
  <si>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</si>
  <si>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</si>
  <si>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</si>
  <si>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</si>
  <si>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</si>
  <si>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</si>
  <si>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</si>
  <si>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</si>
  <si>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</si>
  <si>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</si>
  <si>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</si>
  <si>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</si>
  <si>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</si>
  <si>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</si>
  <si>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</si>
  <si>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</si>
  <si>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</si>
  <si>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</si>
  <si>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</si>
  <si>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</si>
  <si>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</si>
  <si>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</si>
  <si>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</si>
  <si>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</si>
  <si>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</si>
  <si>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</si>
  <si>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</si>
  <si>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</si>
  <si>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</si>
  <si>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</si>
  <si>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</si>
  <si>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</si>
  <si>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</si>
  <si>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</si>
  <si>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</si>
  <si>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</si>
  <si>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</si>
  <si>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</si>
  <si>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</si>
  <si>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</si>
  <si>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</si>
  <si>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</si>
  <si>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</si>
  <si>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</si>
  <si>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</si>
  <si>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</si>
  <si>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</si>
  <si>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</si>
  <si>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</si>
  <si>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</si>
  <si>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</si>
  <si>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</si>
  <si>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</si>
  <si>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</si>
  <si>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</si>
  <si>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</si>
  <si>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</si>
  <si>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</si>
  <si>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</si>
  <si>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</si>
  <si>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</si>
  <si>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</si>
  <si>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</si>
  <si>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</si>
  <si>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</si>
  <si>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</si>
  <si>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</si>
  <si>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</si>
  <si>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</si>
  <si>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</si>
  <si>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</si>
  <si>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</si>
  <si>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</si>
  <si>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</si>
  <si>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</si>
  <si>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</si>
  <si>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</si>
  <si>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</si>
  <si>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</si>
  <si>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</si>
  <si>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</si>
  <si>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</si>
  <si>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</si>
  <si>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</si>
  <si>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</si>
  <si>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</si>
  <si>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</si>
  <si>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</si>
  <si>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</si>
  <si>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</si>
  <si>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</si>
  <si>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</si>
  <si>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</si>
  <si>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</si>
  <si>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</si>
  <si>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</si>
  <si>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</si>
  <si>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</si>
  <si>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</si>
  <si>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</si>
  <si>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</si>
  <si>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</si>
  <si>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</si>
  <si>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</si>
  <si>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</si>
  <si>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</si>
  <si>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</si>
  <si>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</si>
  <si>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</si>
  <si>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</si>
  <si>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</si>
  <si>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</si>
  <si>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</si>
  <si>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</si>
  <si>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</si>
  <si>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</si>
  <si>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</si>
  <si>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</si>
  <si>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</si>
  <si>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</si>
  <si>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</si>
  <si>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</si>
  <si>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</si>
  <si>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</si>
  <si>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</si>
  <si>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</si>
  <si>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</si>
  <si>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</si>
  <si>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</si>
  <si>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</si>
  <si>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</si>
  <si>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</si>
  <si>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</si>
  <si>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</si>
  <si>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</si>
  <si>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</si>
  <si>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</si>
  <si>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</si>
  <si>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</si>
  <si>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</si>
  <si>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</si>
  <si>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</si>
  <si>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</si>
  <si>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</si>
  <si>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</si>
  <si>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</si>
  <si>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</si>
  <si>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</si>
  <si>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</si>
  <si>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</si>
  <si>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</si>
  <si>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</si>
  <si>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</si>
  <si>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</si>
  <si>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</si>
  <si>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</si>
  <si>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</si>
  <si>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</si>
  <si>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</si>
  <si>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</si>
  <si>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</si>
  <si>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</si>
  <si>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</si>
  <si>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</si>
  <si>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</si>
  <si>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</si>
  <si>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</si>
  <si>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</si>
  <si>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</si>
  <si>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</si>
  <si>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</si>
  <si>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</si>
  <si>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</si>
  <si>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</si>
  <si>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</si>
  <si>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</si>
  <si>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</si>
  <si>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</si>
  <si>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</si>
  <si>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</si>
  <si>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</si>
  <si>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</si>
  <si>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</si>
  <si>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</si>
  <si>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</si>
  <si>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</si>
  <si>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</si>
  <si>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</si>
  <si>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</si>
  <si>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</si>
  <si>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</si>
  <si>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</si>
  <si>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</si>
  <si>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</si>
  <si>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</si>
  <si>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</si>
  <si>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</si>
  <si>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</si>
  <si>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</si>
  <si>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</si>
  <si>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</si>
  <si>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</si>
  <si>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</si>
  <si>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</si>
  <si>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</si>
  <si>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</si>
  <si>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</si>
  <si>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</si>
  <si>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</si>
  <si>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</si>
  <si>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</si>
  <si>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</si>
  <si>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</si>
  <si>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</si>
  <si>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</si>
  <si>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</si>
  <si>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</si>
  <si>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</si>
  <si>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</si>
  <si>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</si>
  <si>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</si>
  <si>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</si>
  <si>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</si>
  <si>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</si>
  <si>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</si>
  <si>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</si>
  <si>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</si>
  <si>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</si>
  <si>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</si>
  <si>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</si>
  <si>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</si>
  <si>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</si>
  <si>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</si>
  <si>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</si>
  <si>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</si>
  <si>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</si>
  <si>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</si>
  <si>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</si>
  <si>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</si>
  <si>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</si>
  <si>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</si>
  <si>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</si>
  <si>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</si>
  <si>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</si>
  <si>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</si>
  <si>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</si>
  <si>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</si>
  <si>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</si>
  <si>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</si>
  <si>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</si>
  <si>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</si>
  <si>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</si>
  <si>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</si>
  <si>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</si>
  <si>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</si>
  <si>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</si>
  <si>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</si>
  <si>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</si>
  <si>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</si>
  <si>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</si>
  <si>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</si>
  <si>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</si>
  <si>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</si>
  <si>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</si>
  <si>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</si>
  <si>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</si>
  <si>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</si>
  <si>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</si>
  <si>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</si>
  <si>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</si>
  <si>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</si>
  <si>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</si>
  <si>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</si>
  <si>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</si>
  <si>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</si>
  <si>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</si>
  <si>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</si>
  <si>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</si>
  <si>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</si>
  <si>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</si>
  <si>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</si>
  <si>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</si>
  <si>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</si>
  <si>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</si>
  <si>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</si>
  <si>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</si>
  <si>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</si>
  <si>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</si>
  <si>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</si>
  <si>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</si>
  <si>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</si>
  <si>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</si>
  <si>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</si>
  <si>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</si>
  <si>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</si>
  <si>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</si>
  <si>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</si>
  <si>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</si>
  <si>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</si>
  <si>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</si>
  <si>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</si>
  <si>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</si>
  <si>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</si>
  <si>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</si>
  <si>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</si>
  <si>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</si>
  <si>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</si>
  <si>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</si>
  <si>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</si>
  <si>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</si>
  <si>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</si>
  <si>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</si>
  <si>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</si>
  <si>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</si>
  <si>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</si>
  <si>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</si>
  <si>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</si>
  <si>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</si>
  <si>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</si>
  <si>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</si>
  <si>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</si>
  <si>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</si>
  <si>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</si>
  <si>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</si>
  <si>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</si>
  <si>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</si>
  <si>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</si>
  <si>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</si>
  <si>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</si>
  <si>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</si>
  <si>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</si>
  <si>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</si>
  <si>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</si>
  <si>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</si>
  <si>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</si>
  <si>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</si>
  <si>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</si>
  <si>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</si>
  <si>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</si>
  <si>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</si>
  <si>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</si>
  <si>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</si>
  <si>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</si>
  <si>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</si>
  <si>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</si>
  <si>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</si>
  <si>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</si>
  <si>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</si>
  <si>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</si>
  <si>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</si>
  <si>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</si>
  <si>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</si>
  <si>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</si>
  <si>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</si>
  <si>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</si>
  <si>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</si>
  <si>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</si>
  <si>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</si>
  <si>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</si>
  <si>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</si>
  <si>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</si>
  <si>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</si>
  <si>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</si>
  <si>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</si>
  <si>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</si>
  <si>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</si>
  <si>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</si>
  <si>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</si>
  <si>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</si>
  <si>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</si>
  <si>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</si>
  <si>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</si>
  <si>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</si>
  <si>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</si>
  <si>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</si>
  <si>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</si>
  <si>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</si>
  <si>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</si>
  <si>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</si>
  <si>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</si>
  <si>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</si>
  <si>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</si>
  <si>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</si>
  <si>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</si>
  <si>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</si>
  <si>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</si>
  <si>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</si>
  <si>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</si>
  <si>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</si>
  <si>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</si>
  <si>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</si>
  <si>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</si>
  <si>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</si>
  <si>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</si>
  <si>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</si>
  <si>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</si>
  <si>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</si>
  <si>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</si>
  <si>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</si>
  <si>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</si>
  <si>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</si>
  <si>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</si>
  <si>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</si>
  <si>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</si>
  <si>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</si>
  <si>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</si>
  <si>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</si>
  <si>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</si>
  <si>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</si>
  <si>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</si>
  <si>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</si>
  <si>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</si>
  <si>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</si>
  <si>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</si>
  <si>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</si>
  <si>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</si>
  <si>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</si>
  <si>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</si>
  <si>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</si>
  <si>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</si>
  <si>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</si>
  <si>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</si>
  <si>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</si>
  <si>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</si>
  <si>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</si>
  <si>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</si>
  <si>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</si>
  <si>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</si>
  <si>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</si>
  <si>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</si>
  <si>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</si>
  <si>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</si>
  <si>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</si>
  <si>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</si>
  <si>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</si>
  <si>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</si>
  <si>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</si>
  <si>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</si>
  <si>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</si>
  <si>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</si>
  <si>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</si>
  <si>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</si>
  <si>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</si>
  <si>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</si>
  <si>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</si>
  <si>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</si>
  <si>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</si>
  <si>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</si>
  <si>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</si>
  <si>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</si>
  <si>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</si>
  <si>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</si>
  <si>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</si>
  <si>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</si>
  <si>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</si>
  <si>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</si>
  <si>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</si>
  <si>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</si>
  <si>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</si>
  <si>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</si>
  <si>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</si>
  <si>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</si>
  <si>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</si>
  <si>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</si>
  <si>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</si>
  <si>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</si>
  <si>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</si>
  <si>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</si>
  <si>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</si>
  <si>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</si>
  <si>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</si>
  <si>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</si>
  <si>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</si>
  <si>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</si>
  <si>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</si>
  <si>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</si>
  <si>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</si>
  <si>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</si>
  <si>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</si>
  <si>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</si>
  <si>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</si>
  <si>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</si>
  <si>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</si>
  <si>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</si>
  <si>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</si>
  <si>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</si>
  <si>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</si>
  <si>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</si>
  <si>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</si>
  <si>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</si>
  <si>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</si>
  <si>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</si>
  <si>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</si>
  <si>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</si>
  <si>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</si>
  <si>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</si>
  <si>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</si>
  <si>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</si>
  <si>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</si>
  <si>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</si>
  <si>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</si>
  <si>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</si>
  <si>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</si>
  <si>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</si>
  <si>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</si>
  <si>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</si>
  <si>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</si>
  <si>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</si>
  <si>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</si>
  <si>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</si>
  <si>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</si>
  <si>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</si>
  <si>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</si>
  <si>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</si>
  <si>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</si>
  <si>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</si>
  <si>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</si>
  <si>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</si>
  <si>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</si>
  <si>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</si>
  <si>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</si>
  <si>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</si>
  <si>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</si>
  <si>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</si>
  <si>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</si>
  <si>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</si>
  <si>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</si>
  <si>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</si>
  <si>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</si>
  <si>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</si>
  <si>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</si>
  <si>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</si>
  <si>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</si>
  <si>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</si>
  <si>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</si>
  <si>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</si>
  <si>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</si>
  <si>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</si>
  <si>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</si>
  <si>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</si>
  <si>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</si>
  <si>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</si>
  <si>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</si>
  <si>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</si>
  <si>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</si>
  <si>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</si>
  <si>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</si>
  <si>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</si>
  <si>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</si>
  <si>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</si>
  <si>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</si>
  <si>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</si>
  <si>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</si>
  <si>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</si>
  <si>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</si>
  <si>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</si>
  <si>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</si>
  <si>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</si>
  <si>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</si>
  <si>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</si>
  <si>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</si>
  <si>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</si>
  <si>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</si>
  <si>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</si>
  <si>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</si>
  <si>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</si>
  <si>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</si>
  <si>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</si>
  <si>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</si>
  <si>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</si>
  <si>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</si>
  <si>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</si>
  <si>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</si>
  <si>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</si>
  <si>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</si>
  <si>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</si>
  <si>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</si>
  <si>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</si>
  <si>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</si>
  <si>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</si>
  <si>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</si>
  <si>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</si>
  <si>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</si>
  <si>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</si>
  <si>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</si>
  <si>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</si>
  <si>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</si>
  <si>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</si>
  <si>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</si>
  <si>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</si>
  <si>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</si>
  <si>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</si>
  <si>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</si>
  <si>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</si>
  <si>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</si>
  <si>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</si>
  <si>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</si>
  <si>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</si>
  <si>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</si>
  <si>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</si>
  <si>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</si>
  <si>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</si>
  <si>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</si>
  <si>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</si>
  <si>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</si>
  <si>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</si>
  <si>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</si>
  <si>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</si>
  <si>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</si>
  <si>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</si>
  <si>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</si>
  <si>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</si>
  <si>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</si>
  <si>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</si>
  <si>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</si>
  <si>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</si>
  <si>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</si>
  <si>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</si>
  <si>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</si>
  <si>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</si>
  <si>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</si>
  <si>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</si>
  <si>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</si>
  <si>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</si>
  <si>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</si>
  <si>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</si>
  <si>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</si>
  <si>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</si>
  <si>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</si>
  <si>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</si>
  <si>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</si>
  <si>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</si>
  <si>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</si>
  <si>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</si>
  <si>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</si>
  <si>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</si>
  <si>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</si>
  <si>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</si>
  <si>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</si>
  <si>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</si>
  <si>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</si>
  <si>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</si>
  <si>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</si>
  <si>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</si>
  <si>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</si>
  <si>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</si>
  <si>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</si>
  <si>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</si>
  <si>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</si>
  <si>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</si>
  <si>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</si>
  <si>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</si>
  <si>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</si>
  <si>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</si>
  <si>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</si>
  <si>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</si>
  <si>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</si>
  <si>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</si>
  <si>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</si>
  <si>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</si>
  <si>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</si>
  <si>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</si>
  <si>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</si>
  <si>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</si>
  <si>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</si>
  <si>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</si>
  <si>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</si>
  <si>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</si>
  <si>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</si>
  <si>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</si>
  <si>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</si>
  <si>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</si>
  <si>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</si>
  <si>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</si>
  <si>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</si>
  <si>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</si>
  <si>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</si>
  <si>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</si>
  <si>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</si>
  <si>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</si>
  <si>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</si>
  <si>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</si>
  <si>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</si>
  <si>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</si>
  <si>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</si>
  <si>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</si>
  <si>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</si>
  <si>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</si>
  <si>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</si>
  <si>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</si>
  <si>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</si>
  <si>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</si>
  <si>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</si>
  <si>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</si>
  <si>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</si>
  <si>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</si>
  <si>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</si>
  <si>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</si>
  <si>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</si>
  <si>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</si>
  <si>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</si>
  <si>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</si>
  <si>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</si>
  <si>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</si>
  <si>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</si>
  <si>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</si>
  <si>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</si>
  <si>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</si>
  <si>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</si>
  <si>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</si>
  <si>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</si>
  <si>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</si>
  <si>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</si>
  <si>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</si>
  <si>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</si>
  <si>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</si>
  <si>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</si>
  <si>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</si>
  <si>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</si>
  <si>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</si>
  <si>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</si>
  <si>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</si>
  <si>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</si>
  <si>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</si>
  <si>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</si>
  <si>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</si>
  <si>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</si>
  <si>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</si>
  <si>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</si>
  <si>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</si>
  <si>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</si>
  <si>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</si>
  <si>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</si>
  <si>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</si>
  <si>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</si>
  <si>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</si>
  <si>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</si>
  <si>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</si>
  <si>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</si>
  <si>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</si>
  <si>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</si>
  <si>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</si>
  <si>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</si>
  <si>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</si>
  <si>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</si>
  <si>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</si>
  <si>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</si>
  <si>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</si>
  <si>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</si>
  <si>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</si>
  <si>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</si>
  <si>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</si>
  <si>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</si>
  <si>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</si>
  <si>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</si>
  <si>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</si>
  <si>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</si>
  <si>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</si>
  <si>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</si>
  <si>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</si>
  <si>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</si>
  <si>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</si>
  <si>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</si>
  <si>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</si>
  <si>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</si>
  <si>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</si>
  <si>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</si>
  <si>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</si>
  <si>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</si>
  <si>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</si>
  <si>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</si>
  <si>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</si>
  <si>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</si>
  <si>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</si>
  <si>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</si>
  <si>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</si>
  <si>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</si>
  <si>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</si>
  <si>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</si>
  <si>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</si>
  <si>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</si>
  <si>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</si>
  <si>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</si>
  <si>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</si>
  <si>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</si>
  <si>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</si>
  <si>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</si>
  <si>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</si>
  <si>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</si>
  <si>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</si>
  <si>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</si>
  <si>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</si>
  <si>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</si>
  <si>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</si>
  <si>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</si>
  <si>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</si>
  <si>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</si>
  <si>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</si>
  <si>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</si>
  <si>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</si>
  <si>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</si>
  <si>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</si>
  <si>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</si>
  <si>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</si>
  <si>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</si>
  <si>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</si>
  <si>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</si>
  <si>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</si>
  <si>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</si>
  <si>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</si>
  <si>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</si>
  <si>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</si>
  <si>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</si>
  <si>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</si>
  <si>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</si>
  <si>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</si>
  <si>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</si>
  <si>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</si>
  <si>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</si>
  <si>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</si>
  <si>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</si>
  <si>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</si>
  <si>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</si>
  <si>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</si>
  <si>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</si>
  <si>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</si>
  <si>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</si>
  <si>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</si>
  <si>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</si>
  <si>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</si>
  <si>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</si>
  <si>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</si>
  <si>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</si>
  <si>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</si>
  <si>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</si>
  <si>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</si>
  <si>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</si>
  <si>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</si>
  <si>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</si>
  <si>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</si>
  <si>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</si>
  <si>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</si>
  <si>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</si>
  <si>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</si>
  <si>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</si>
  <si>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</si>
  <si>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</si>
  <si>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</si>
  <si>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</si>
  <si>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</si>
  <si>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</si>
  <si>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</si>
  <si>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</si>
  <si>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</si>
  <si>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</si>
  <si>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</si>
  <si>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</si>
  <si>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</si>
  <si>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</si>
  <si>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</si>
  <si>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</si>
  <si>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</si>
  <si>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</si>
  <si>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</si>
  <si>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</si>
  <si>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</si>
  <si>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</si>
  <si>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</si>
  <si>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</si>
  <si>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</si>
  <si>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</si>
  <si>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</si>
  <si>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</si>
  <si>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</si>
  <si>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</si>
  <si>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</si>
  <si>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</si>
  <si>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</si>
  <si>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</si>
  <si>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</si>
  <si>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</si>
  <si>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</si>
  <si>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</si>
  <si>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</si>
  <si>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</si>
  <si>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</si>
  <si>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</si>
  <si>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</si>
  <si>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</si>
  <si>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</si>
  <si>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</si>
  <si>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</si>
  <si>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</si>
  <si>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</si>
  <si>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</si>
  <si>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</si>
  <si>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</si>
  <si>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</si>
  <si>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</si>
  <si>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</si>
  <si>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</si>
  <si>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</si>
  <si>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</si>
  <si>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</si>
  <si>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</si>
  <si>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</si>
  <si>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</si>
  <si>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</si>
  <si>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</si>
  <si>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</si>
  <si>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</si>
  <si>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</si>
  <si>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</si>
  <si>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</si>
  <si>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</si>
  <si>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</si>
  <si>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</si>
  <si>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</si>
  <si>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</si>
  <si>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</si>
  <si>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</si>
  <si>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</si>
  <si>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</si>
  <si>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</si>
  <si>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</si>
  <si>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</si>
  <si>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</si>
  <si>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</si>
  <si>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</si>
  <si>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</si>
  <si>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</si>
  <si>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</si>
  <si>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</si>
  <si>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</si>
  <si>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</si>
  <si>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</si>
  <si>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</si>
  <si>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</si>
  <si>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</si>
  <si>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</si>
  <si>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</si>
  <si>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</si>
  <si>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</si>
  <si>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</si>
  <si>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</si>
  <si>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</si>
  <si>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</si>
  <si>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</si>
  <si>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</si>
  <si>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</si>
  <si>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</si>
  <si>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</si>
  <si>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</si>
  <si>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</si>
  <si>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</si>
  <si>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</si>
  <si>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</si>
  <si>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</si>
  <si>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</si>
  <si>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</si>
  <si>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</si>
  <si>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</si>
  <si>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</si>
  <si>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</si>
  <si>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</si>
  <si>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</si>
  <si>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</si>
  <si>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</si>
  <si>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</si>
  <si>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</si>
  <si>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</si>
  <si>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</si>
  <si>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</si>
  <si>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</si>
  <si>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</si>
  <si>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</si>
  <si>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</si>
  <si>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</si>
  <si>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</si>
  <si>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</si>
  <si>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</si>
  <si>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</si>
  <si>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</si>
  <si>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</si>
  <si>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</si>
  <si>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</si>
  <si>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</si>
  <si>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</si>
  <si>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</si>
  <si>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</si>
  <si>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</si>
  <si>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</si>
  <si>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</si>
  <si>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</si>
  <si>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</si>
  <si>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</si>
  <si>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</si>
  <si>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</si>
  <si>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</si>
  <si>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</si>
  <si>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</si>
  <si>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</si>
  <si>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</si>
  <si>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</si>
  <si>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</si>
  <si>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</si>
  <si>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</si>
  <si>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</si>
  <si>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</si>
  <si>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</si>
  <si>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</si>
  <si>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</si>
  <si>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</si>
  <si>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</si>
  <si>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</si>
  <si>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</si>
  <si>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</si>
  <si>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</si>
  <si>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</si>
  <si>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</si>
  <si>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</si>
  <si>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</si>
  <si>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</si>
  <si>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</si>
  <si>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</si>
  <si>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</si>
  <si>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</si>
  <si>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</si>
  <si>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</si>
  <si>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</si>
  <si>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</si>
  <si>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</si>
  <si>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</si>
  <si>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</si>
  <si>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</si>
  <si>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</si>
  <si>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</si>
  <si>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</si>
  <si>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</si>
  <si>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</si>
  <si>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</si>
  <si>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</si>
  <si>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</si>
  <si>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</si>
  <si>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</si>
  <si>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</si>
  <si>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</si>
  <si>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</si>
  <si>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</si>
  <si>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</si>
  <si>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</si>
  <si>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</si>
  <si>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</si>
  <si>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</si>
  <si>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</si>
  <si>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</si>
  <si>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</si>
  <si>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</si>
  <si>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</si>
  <si>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</si>
  <si>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</si>
  <si>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</si>
  <si>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</si>
  <si>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</si>
  <si>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</si>
  <si>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</si>
  <si>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</si>
  <si>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</si>
  <si>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</si>
  <si>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</si>
  <si>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</si>
  <si>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</si>
  <si>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</si>
  <si>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</si>
  <si>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</si>
  <si>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</si>
  <si>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</si>
  <si>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</si>
  <si>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</si>
  <si>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</si>
  <si>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</si>
  <si>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</si>
  <si>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</si>
  <si>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</si>
  <si>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</si>
  <si>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</si>
  <si>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</si>
  <si>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</si>
  <si>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</si>
  <si>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</si>
  <si>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</si>
  <si>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</si>
  <si>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</si>
  <si>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</si>
  <si>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</si>
  <si>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</si>
  <si>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</si>
  <si>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</si>
  <si>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</si>
  <si>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</si>
  <si>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</si>
  <si>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</si>
  <si>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</si>
  <si>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</si>
  <si>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</si>
  <si>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</si>
  <si>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</si>
  <si>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</si>
  <si>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</si>
  <si>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</si>
  <si>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</si>
  <si>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</si>
  <si>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</si>
  <si>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</si>
  <si>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</si>
  <si>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</si>
  <si>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</si>
  <si>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</si>
  <si>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</si>
  <si>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</si>
  <si>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</si>
  <si>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</si>
  <si>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</si>
  <si>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</si>
  <si>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</si>
  <si>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</si>
  <si>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</si>
  <si>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</si>
  <si>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</si>
  <si>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</si>
  <si>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</si>
  <si>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</si>
  <si>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</si>
  <si>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</si>
  <si>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</si>
  <si>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</si>
  <si>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</si>
  <si>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</si>
  <si>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</si>
  <si>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</si>
  <si>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</si>
  <si>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</si>
  <si>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</si>
  <si>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</si>
  <si>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</si>
  <si>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</si>
  <si>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</si>
  <si>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</si>
  <si>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</si>
  <si>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</si>
  <si>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</si>
  <si>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</si>
  <si>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</si>
  <si>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</si>
  <si>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</si>
  <si>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</si>
  <si>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</si>
  <si>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</si>
  <si>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</si>
  <si>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</si>
  <si>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</si>
  <si>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</si>
  <si>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</si>
  <si>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</si>
  <si>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</si>
  <si>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</si>
  <si>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</si>
  <si>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</si>
  <si>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</si>
  <si>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</si>
  <si>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</si>
  <si>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</si>
  <si>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</si>
  <si>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</si>
  <si>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</si>
  <si>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</si>
  <si>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</si>
  <si>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</si>
  <si>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</si>
  <si>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</si>
  <si>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</si>
  <si>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</si>
  <si>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</si>
  <si>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</si>
  <si>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</si>
  <si>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</si>
  <si>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</si>
  <si>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</si>
  <si>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</si>
  <si>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</si>
  <si>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</si>
  <si>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</si>
  <si>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</si>
  <si>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</si>
  <si>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</si>
  <si>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</si>
  <si>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</si>
  <si>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</si>
  <si>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</si>
  <si>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</si>
  <si>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</si>
  <si>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</si>
  <si>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</si>
  <si>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</si>
  <si>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</si>
  <si>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</si>
  <si>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</si>
  <si>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</si>
  <si>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</si>
  <si>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</si>
  <si>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</si>
  <si>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</si>
  <si>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</si>
  <si>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</si>
  <si>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</si>
  <si>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</si>
  <si>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</si>
  <si>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</si>
  <si>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</si>
  <si>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</si>
  <si>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</si>
  <si>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</si>
  <si>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</si>
  <si>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</si>
  <si>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</si>
  <si>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</si>
  <si>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</si>
  <si>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</si>
  <si>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</si>
  <si>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</si>
  <si>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</si>
  <si>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</si>
  <si>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</si>
  <si>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</si>
  <si>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</si>
  <si>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</si>
  <si>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</si>
  <si>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</si>
  <si>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</si>
  <si>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</si>
  <si>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</si>
  <si>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</si>
  <si>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</si>
  <si>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</si>
  <si>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</si>
  <si>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</si>
  <si>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</si>
  <si>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</si>
  <si>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</si>
  <si>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</si>
  <si>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</si>
  <si>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</si>
  <si>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</si>
  <si>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</si>
  <si>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</si>
  <si>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</si>
  <si>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</si>
  <si>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</si>
  <si>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</si>
  <si>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</si>
  <si>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</si>
  <si>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</si>
  <si>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</si>
  <si>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</si>
  <si>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</si>
  <si>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</si>
  <si>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</si>
  <si>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</si>
  <si>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</si>
  <si>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</si>
  <si>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</si>
  <si>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</si>
  <si>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</si>
  <si>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</si>
  <si>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</si>
  <si>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</si>
  <si>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</si>
  <si>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</si>
  <si>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</si>
  <si>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</si>
  <si>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</si>
  <si>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</si>
  <si>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</si>
  <si>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</si>
  <si>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</si>
  <si>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</si>
  <si>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</si>
  <si>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</si>
  <si>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</si>
  <si>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</si>
  <si>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</si>
  <si>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</si>
  <si>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</si>
  <si>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</si>
  <si>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</si>
  <si>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</si>
  <si>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</si>
  <si>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</si>
  <si>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</si>
  <si>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</si>
  <si>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</si>
  <si>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</si>
  <si>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</si>
  <si>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</si>
  <si>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</si>
  <si>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</si>
  <si>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</si>
  <si>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</si>
  <si>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</si>
  <si>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</si>
  <si>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</si>
  <si>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</si>
  <si>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</si>
  <si>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</si>
  <si>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</si>
  <si>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</si>
  <si>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</si>
  <si>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</si>
  <si>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</si>
  <si>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</si>
  <si>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</si>
  <si>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</si>
  <si>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</si>
  <si>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</si>
  <si>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</si>
  <si>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</si>
  <si>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</si>
  <si>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</si>
  <si>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</si>
  <si>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</si>
  <si>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</si>
  <si>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</si>
  <si>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</si>
  <si>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</si>
  <si>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</si>
  <si>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</si>
  <si>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</si>
  <si>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</si>
  <si>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</si>
  <si>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</si>
  <si>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</si>
  <si>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</si>
  <si>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</si>
  <si>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</si>
  <si>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</si>
  <si>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</si>
  <si>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</si>
  <si>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</si>
  <si>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</si>
  <si>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</si>
  <si>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</si>
  <si>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</si>
  <si>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</si>
  <si>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</si>
  <si>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</si>
  <si>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</si>
  <si>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</si>
  <si>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</si>
  <si>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</si>
  <si>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</si>
  <si>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</si>
  <si>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</si>
  <si>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</si>
  <si>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</si>
  <si>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</si>
  <si>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</si>
  <si>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</si>
  <si>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</si>
  <si>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</si>
  <si>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</si>
  <si>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</si>
  <si>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</si>
  <si>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</si>
  <si>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</si>
  <si>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</si>
  <si>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</si>
  <si>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</si>
  <si>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</si>
  <si>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</si>
  <si>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</si>
  <si>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</si>
  <si>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</si>
  <si>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</si>
  <si>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</si>
  <si>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</si>
  <si>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</si>
  <si>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</si>
  <si>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</si>
  <si>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</si>
  <si>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</si>
  <si>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</si>
  <si>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</si>
  <si>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</si>
  <si>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</si>
  <si>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</si>
  <si>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</si>
  <si>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</si>
  <si>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</si>
  <si>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</si>
  <si>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</si>
  <si>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</si>
  <si>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</si>
  <si>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</si>
  <si>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</si>
  <si>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</si>
  <si>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</si>
  <si>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</si>
  <si>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</si>
  <si>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</si>
  <si>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</si>
  <si>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</si>
  <si>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</si>
  <si>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</si>
  <si>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</si>
  <si>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</si>
  <si>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</si>
  <si>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</si>
  <si>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</si>
  <si>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</si>
  <si>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</si>
  <si>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</si>
  <si>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</si>
  <si>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</si>
  <si>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</si>
  <si>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</si>
  <si>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</si>
  <si>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</si>
  <si>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</si>
  <si>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</si>
  <si>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</si>
  <si>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</si>
  <si>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</si>
  <si>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</si>
  <si>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</si>
  <si>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</si>
  <si>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</si>
  <si>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</si>
  <si>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</si>
  <si>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</si>
  <si>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</si>
  <si>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</si>
  <si>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</si>
  <si>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</si>
  <si>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</si>
  <si>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</si>
  <si>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</si>
  <si>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</si>
  <si>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</si>
  <si>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</si>
  <si>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</si>
  <si>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</si>
  <si>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</si>
  <si>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</si>
  <si>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</si>
  <si>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</si>
  <si>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</si>
  <si>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</si>
  <si>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</si>
  <si>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</si>
  <si>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</si>
  <si>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</si>
  <si>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</si>
  <si>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</si>
  <si>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</si>
  <si>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</si>
  <si>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</si>
  <si>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</si>
  <si>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</si>
  <si>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</si>
  <si>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</si>
  <si>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</si>
  <si>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</si>
  <si>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</si>
  <si>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</si>
  <si>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</si>
  <si>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</si>
  <si>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</si>
  <si>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</si>
  <si>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</si>
  <si>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</si>
  <si>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</si>
  <si>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</si>
  <si>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</si>
  <si>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</si>
  <si>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</si>
  <si>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</si>
  <si>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</si>
  <si>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</si>
  <si>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</si>
  <si>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</si>
  <si>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</si>
  <si>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</si>
  <si>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</si>
  <si>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</si>
  <si>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</si>
  <si>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</si>
  <si>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</si>
  <si>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</si>
  <si>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</si>
  <si>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</si>
  <si>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</si>
  <si>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</si>
  <si>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</si>
  <si>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</si>
  <si>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</si>
  <si>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</si>
  <si>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</si>
  <si>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</si>
  <si>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</si>
  <si>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</si>
  <si>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</si>
  <si>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</si>
  <si>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</si>
  <si>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</si>
  <si>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</si>
  <si>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</si>
  <si>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</si>
  <si>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</si>
  <si>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</si>
  <si>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</si>
  <si>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</si>
  <si>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</si>
  <si>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</si>
  <si>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</si>
  <si>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</si>
  <si>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</si>
  <si>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</si>
  <si>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</si>
  <si>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</si>
  <si>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</si>
  <si>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</si>
  <si>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</si>
  <si>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</si>
  <si>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</si>
  <si>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</si>
  <si>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</si>
  <si>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</si>
  <si>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</si>
  <si>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</si>
  <si>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</si>
  <si>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</si>
  <si>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</si>
  <si>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</si>
  <si>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</si>
  <si>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</si>
  <si>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</si>
  <si>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</si>
  <si>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</si>
  <si>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</si>
  <si>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</si>
  <si>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</si>
  <si>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</si>
  <si>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</si>
  <si>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</si>
  <si>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</si>
  <si>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</si>
  <si>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</si>
  <si>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</si>
  <si>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</si>
  <si>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</si>
  <si>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</si>
  <si>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</si>
  <si>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</si>
  <si>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</si>
  <si>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</si>
  <si>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</si>
  <si>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</si>
  <si>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</si>
  <si>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</si>
  <si>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</si>
  <si>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</si>
  <si>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</si>
  <si>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</si>
  <si>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</si>
  <si>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</si>
  <si>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</si>
  <si>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</si>
  <si>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</si>
  <si>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</si>
  <si>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</si>
  <si>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</si>
  <si>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</si>
  <si>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</si>
  <si>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</si>
  <si>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</si>
  <si>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</si>
  <si>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</si>
  <si>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</si>
  <si>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</si>
  <si>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</si>
  <si>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</si>
  <si>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</si>
  <si>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</si>
  <si>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</si>
  <si>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</si>
  <si>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</si>
  <si>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</si>
  <si>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</si>
  <si>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</si>
  <si>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</si>
  <si>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</si>
  <si>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</si>
  <si>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</si>
  <si>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</si>
  <si>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</si>
  <si>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</si>
  <si>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</si>
  <si>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</si>
  <si>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</si>
  <si>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</si>
  <si>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</si>
  <si>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</si>
  <si>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</si>
  <si>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</si>
  <si>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</si>
  <si>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</si>
  <si>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</si>
  <si>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</si>
  <si>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</si>
  <si>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</si>
  <si>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</si>
  <si>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</si>
  <si>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</si>
  <si>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</si>
  <si>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</si>
  <si>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</si>
  <si>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</si>
  <si>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</si>
  <si>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</si>
  <si>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</si>
  <si>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</si>
  <si>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</si>
  <si>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</si>
  <si>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</si>
  <si>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</si>
  <si>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</si>
  <si>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</si>
  <si>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</si>
  <si>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</si>
  <si>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</si>
  <si>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</si>
  <si>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</si>
  <si>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</si>
  <si>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</si>
  <si>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</si>
  <si>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</si>
  <si>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</si>
  <si>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</si>
  <si>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</si>
  <si>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</si>
  <si>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</si>
  <si>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</si>
  <si>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</si>
  <si>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</si>
  <si>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</si>
  <si>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</si>
  <si>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</si>
  <si>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</si>
  <si>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</si>
  <si>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</si>
  <si>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</si>
  <si>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</si>
  <si>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</si>
  <si>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</si>
  <si>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</si>
  <si>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</si>
  <si>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</si>
  <si>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</si>
  <si>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</si>
  <si>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</si>
  <si>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</si>
  <si>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</si>
  <si>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</si>
  <si>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</si>
  <si>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</si>
  <si>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</si>
  <si>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</si>
  <si>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</si>
  <si>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</si>
  <si>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</si>
  <si>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</si>
  <si>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</si>
  <si>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</si>
  <si>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</si>
  <si>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</si>
  <si>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</si>
  <si>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</si>
  <si>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</si>
  <si>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</si>
  <si>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</si>
  <si>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</si>
  <si>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</si>
  <si>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</si>
  <si>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</si>
  <si>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</si>
  <si>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</si>
  <si>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</si>
  <si>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</si>
  <si>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</si>
  <si>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</si>
  <si>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</si>
  <si>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</si>
  <si>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</si>
  <si>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</si>
  <si>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</si>
  <si>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</si>
  <si>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</si>
  <si>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</si>
  <si>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</si>
  <si>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</si>
  <si>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</si>
  <si>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</si>
  <si>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2023-1</t>
    <phoneticPr fontId="3" type="noConversion"/>
  </si>
  <si>
    <t>2022-4</t>
    <phoneticPr fontId="3"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</si>
  <si>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</si>
  <si>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</si>
  <si>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</si>
  <si>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</si>
  <si>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</si>
  <si>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</si>
  <si>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t>公示增长率-非中心城区</t>
    <phoneticPr fontId="142"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</si>
  <si>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</si>
  <si>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</si>
  <si>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</si>
  <si>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</si>
  <si>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</si>
  <si>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</si>
  <si>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</si>
  <si>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</si>
  <si>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</si>
  <si>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</si>
  <si>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</si>
  <si>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</si>
  <si>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</si>
  <si>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公示增长率-中心城区</t>
    <phoneticPr fontId="142"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</si>
  <si>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</si>
  <si>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</si>
  <si>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</si>
  <si>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</si>
  <si>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</si>
  <si>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</si>
  <si>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</si>
  <si>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</si>
  <si>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</si>
  <si>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</si>
  <si>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</si>
  <si>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</si>
  <si>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</si>
  <si>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</si>
  <si>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</si>
  <si>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</si>
  <si>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</si>
  <si>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</si>
  <si>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</si>
  <si>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</si>
  <si>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</si>
  <si>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</si>
  <si>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</si>
  <si>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</si>
  <si>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</si>
  <si>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</si>
  <si>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</si>
  <si>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</si>
  <si>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</si>
  <si>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</si>
  <si>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</si>
  <si>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</si>
  <si>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</si>
  <si>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</si>
  <si>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</si>
  <si>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</si>
  <si>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</si>
  <si>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</si>
  <si>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</si>
  <si>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</si>
  <si>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</si>
  <si>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</si>
  <si>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</si>
  <si>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</si>
  <si>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</si>
  <si>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</si>
  <si>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</si>
  <si>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</si>
  <si>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</si>
  <si>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</si>
  <si>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</si>
  <si>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</si>
  <si>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</si>
  <si>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</si>
  <si>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</si>
  <si>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</si>
  <si>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</si>
  <si>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</si>
  <si>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</si>
  <si>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</si>
  <si>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</si>
  <si>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</si>
  <si>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</si>
  <si>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</si>
  <si>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</si>
  <si>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</si>
  <si>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</si>
  <si>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</si>
  <si>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</si>
  <si>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</si>
  <si>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</si>
  <si>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</si>
  <si>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</si>
  <si>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</si>
  <si>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</si>
  <si>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</si>
  <si>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</si>
  <si>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</si>
  <si>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</si>
  <si>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</si>
  <si>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</si>
  <si>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</si>
  <si>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</si>
  <si>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</si>
  <si>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</si>
  <si>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</si>
  <si>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</si>
  <si>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</si>
  <si>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</si>
  <si>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</si>
  <si>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</si>
  <si>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</si>
  <si>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</si>
  <si>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</si>
  <si>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</si>
  <si>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</si>
  <si>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</si>
  <si>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</si>
  <si>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</si>
  <si>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</si>
  <si>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</si>
  <si>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</si>
  <si>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</si>
  <si>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</si>
  <si>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</si>
  <si>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</si>
  <si>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</si>
  <si>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</si>
  <si>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</si>
  <si>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</si>
  <si>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</si>
  <si>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</si>
  <si>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</si>
  <si>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</si>
  <si>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</si>
  <si>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</si>
  <si>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</si>
  <si>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</si>
  <si>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</si>
  <si>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</si>
  <si>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</si>
  <si>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</si>
  <si>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</si>
  <si>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</si>
  <si>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</si>
  <si>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</si>
  <si>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</si>
  <si>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</si>
  <si>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</si>
  <si>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</si>
  <si>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</si>
  <si>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</si>
  <si>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</si>
  <si>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</si>
  <si>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</si>
  <si>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</si>
  <si>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</si>
  <si>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</si>
  <si>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</si>
  <si>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</si>
  <si>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</si>
  <si>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</si>
  <si>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</si>
  <si>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</si>
  <si>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</si>
  <si>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</si>
  <si>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</si>
  <si>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</si>
  <si>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</si>
  <si>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</si>
  <si>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</si>
  <si>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</si>
  <si>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</si>
  <si>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</si>
  <si>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</si>
  <si>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</si>
  <si>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</si>
  <si>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</si>
  <si>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</si>
  <si>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</si>
  <si>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</si>
  <si>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</si>
  <si>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</si>
  <si>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</si>
  <si>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</si>
  <si>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</si>
  <si>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</si>
  <si>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</si>
  <si>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</si>
  <si>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</si>
  <si>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</si>
  <si>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</si>
  <si>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</si>
  <si>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</si>
  <si>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</si>
  <si>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</si>
  <si>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</si>
  <si>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</si>
  <si>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</si>
  <si>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</si>
  <si>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</si>
  <si>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</si>
  <si>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</si>
  <si>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</si>
  <si>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</si>
  <si>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</si>
  <si>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</si>
  <si>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</si>
  <si>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</si>
  <si>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</si>
  <si>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</si>
  <si>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</si>
  <si>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</si>
  <si>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</si>
  <si>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</si>
  <si>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</si>
  <si>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</si>
  <si>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</si>
  <si>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</si>
  <si>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</si>
  <si>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</si>
  <si>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</si>
  <si>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</si>
  <si>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</si>
  <si>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</si>
  <si>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</si>
  <si>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</si>
  <si>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</si>
  <si>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</si>
  <si>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</si>
  <si>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</si>
  <si>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</si>
  <si>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</si>
  <si>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</si>
  <si>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</si>
  <si>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</si>
  <si>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</si>
  <si>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</si>
  <si>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</si>
  <si>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</si>
  <si>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</si>
  <si>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</si>
  <si>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</si>
  <si>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</si>
  <si>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</si>
  <si>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</si>
  <si>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</si>
  <si>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</si>
  <si>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</si>
  <si>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</si>
  <si>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</si>
  <si>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</si>
  <si>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</si>
  <si>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</si>
  <si>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</si>
  <si>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</si>
  <si>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</si>
  <si>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</si>
  <si>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</si>
  <si>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</si>
  <si>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</si>
  <si>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</si>
  <si>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</si>
  <si>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</si>
  <si>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</si>
  <si>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</si>
  <si>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</si>
  <si>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</si>
  <si>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</si>
  <si>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</si>
  <si>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</si>
  <si>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</si>
  <si>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</si>
  <si>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</si>
  <si>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</si>
  <si>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</si>
  <si>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</si>
  <si>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</si>
  <si>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</si>
  <si>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</si>
  <si>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</si>
  <si>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</si>
  <si>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</si>
  <si>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</si>
  <si>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</si>
  <si>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</si>
  <si>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</si>
  <si>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</si>
  <si>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</si>
  <si>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</si>
  <si>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</si>
  <si>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</si>
  <si>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</si>
  <si>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</si>
  <si>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</si>
  <si>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</si>
  <si>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</si>
  <si>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</si>
  <si>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</si>
  <si>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</si>
  <si>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</si>
  <si>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</si>
  <si>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</si>
  <si>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</si>
  <si>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</si>
  <si>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</si>
  <si>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</si>
  <si>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</si>
  <si>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</si>
  <si>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</si>
  <si>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</si>
  <si>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</si>
  <si>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</si>
  <si>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</si>
  <si>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</si>
  <si>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</si>
  <si>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</si>
  <si>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</si>
  <si>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</si>
  <si>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</si>
  <si>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</si>
  <si>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</si>
  <si>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</si>
  <si>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</si>
  <si>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</si>
  <si>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</si>
  <si>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</si>
  <si>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</si>
  <si>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</si>
  <si>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</si>
  <si>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</si>
  <si>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</si>
  <si>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</si>
  <si>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</si>
  <si>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</si>
  <si>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</si>
  <si>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</si>
  <si>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</si>
  <si>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</si>
  <si>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</si>
  <si>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</si>
  <si>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</si>
  <si>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</si>
  <si>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</si>
  <si>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</si>
  <si>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</si>
  <si>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</si>
  <si>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</si>
  <si>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</si>
  <si>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</si>
  <si>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</si>
  <si>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</si>
  <si>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</si>
  <si>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</si>
  <si>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</si>
  <si>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</si>
  <si>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</si>
  <si>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</si>
  <si>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</si>
  <si>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</si>
  <si>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</si>
  <si>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</si>
  <si>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</si>
  <si>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</si>
  <si>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</si>
  <si>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</si>
  <si>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</si>
  <si>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</si>
  <si>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</si>
  <si>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</si>
  <si>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</si>
  <si>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</si>
  <si>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</si>
  <si>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</si>
  <si>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</si>
  <si>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</si>
  <si>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</si>
  <si>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</si>
  <si>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</si>
  <si>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</si>
  <si>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</si>
  <si>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</si>
  <si>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</si>
  <si>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</si>
  <si>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</si>
  <si>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</si>
  <si>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</si>
  <si>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</si>
  <si>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</si>
  <si>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</si>
  <si>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</si>
  <si>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</si>
  <si>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</si>
  <si>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</si>
  <si>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</si>
  <si>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</si>
  <si>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</si>
  <si>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</si>
  <si>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</si>
  <si>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</si>
  <si>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</si>
  <si>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</si>
  <si>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</si>
  <si>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</si>
  <si>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</si>
  <si>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</si>
  <si>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</si>
  <si>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</si>
  <si>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</si>
  <si>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</si>
  <si>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</si>
  <si>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</si>
  <si>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</si>
  <si>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</si>
  <si>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</si>
  <si>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</si>
  <si>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</si>
  <si>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</si>
  <si>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</si>
  <si>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</si>
  <si>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</si>
  <si>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</si>
  <si>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</si>
  <si>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</si>
  <si>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</si>
  <si>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</si>
  <si>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</si>
  <si>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</si>
  <si>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</si>
  <si>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</si>
  <si>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</si>
  <si>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</si>
  <si>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</si>
  <si>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</si>
  <si>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</si>
  <si>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</si>
  <si>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</si>
  <si>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</si>
  <si>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</si>
  <si>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</si>
  <si>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</si>
  <si>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</si>
  <si>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</si>
  <si>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</si>
  <si>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</si>
  <si>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</si>
  <si>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</si>
  <si>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</si>
  <si>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</si>
  <si>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</si>
  <si>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</si>
  <si>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</si>
  <si>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</si>
  <si>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</si>
  <si>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</si>
  <si>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</si>
  <si>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</si>
  <si>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</si>
  <si>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</si>
  <si>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</si>
  <si>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</si>
  <si>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</si>
  <si>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</si>
  <si>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</si>
  <si>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</si>
  <si>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</si>
  <si>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</si>
  <si>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</si>
  <si>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</si>
  <si>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</si>
  <si>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</si>
  <si>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</si>
  <si>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</si>
  <si>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</si>
  <si>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</si>
  <si>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</si>
  <si>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</si>
  <si>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</si>
  <si>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</si>
  <si>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</si>
  <si>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</si>
  <si>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</si>
  <si>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</si>
  <si>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</si>
  <si>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</si>
  <si>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</si>
  <si>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</si>
  <si>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</si>
  <si>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</si>
  <si>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</si>
  <si>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</si>
  <si>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</si>
  <si>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</si>
  <si>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</si>
  <si>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</si>
  <si>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</si>
  <si>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</si>
  <si>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</si>
  <si>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</si>
  <si>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</si>
  <si>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</si>
  <si>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</si>
  <si>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</si>
  <si>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</si>
  <si>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</si>
  <si>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</si>
  <si>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</si>
  <si>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</si>
  <si>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</si>
  <si>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</si>
  <si>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</si>
  <si>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</si>
  <si>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</si>
  <si>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</si>
  <si>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</si>
  <si>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</si>
  <si>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</si>
  <si>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</si>
  <si>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</si>
  <si>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</si>
  <si>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</si>
  <si>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</si>
  <si>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</si>
  <si>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</si>
  <si>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</si>
  <si>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</si>
  <si>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</si>
  <si>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</si>
  <si>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</si>
  <si>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</si>
  <si>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</si>
  <si>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</si>
  <si>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</si>
  <si>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</si>
  <si>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</si>
  <si>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</si>
  <si>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</si>
  <si>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</si>
  <si>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</si>
  <si>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</si>
  <si>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</si>
  <si>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</si>
  <si>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</si>
  <si>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</si>
  <si>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</si>
  <si>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2022-4</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</si>
  <si>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</si>
  <si>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</si>
  <si>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</si>
  <si>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2023-2</t>
  </si>
  <si>
    <t>2023-4</t>
  </si>
  <si>
    <t>2023-3</t>
  </si>
  <si>
    <t>核定资产</t>
  </si>
  <si>
    <t>房地产市场价值</t>
  </si>
  <si>
    <t>北京市</t>
  </si>
  <si>
    <t>企业</t>
  </si>
  <si>
    <t>现房</t>
  </si>
  <si>
    <t>旭宇</t>
    <phoneticPr fontId="6" type="noConversion"/>
  </si>
  <si>
    <t>综合项目（商业、办公）</t>
  </si>
  <si>
    <t>名称</t>
  </si>
  <si>
    <t>层数</t>
  </si>
  <si>
    <t>建筑面积</t>
  </si>
  <si>
    <t>套内面积</t>
  </si>
  <si>
    <t>规划用途</t>
  </si>
  <si>
    <t>地上/地下</t>
  </si>
  <si>
    <t>人防</t>
  </si>
  <si>
    <t>地下</t>
  </si>
  <si>
    <t>地上</t>
  </si>
  <si>
    <t>Total</t>
  </si>
  <si>
    <t>总建面(含人防）</t>
  </si>
  <si>
    <t>人防面积</t>
  </si>
  <si>
    <t>产权证面积</t>
  </si>
  <si>
    <t>地上产权面积</t>
  </si>
  <si>
    <t>地下产权面积</t>
  </si>
  <si>
    <t>0</t>
    <phoneticPr fontId="6" type="noConversion"/>
  </si>
  <si>
    <t>是</t>
  </si>
  <si>
    <t>整体出租部分</t>
  </si>
  <si>
    <t>整体出租部分</t>
    <phoneticPr fontId="16" type="noConversion"/>
  </si>
  <si>
    <t>整租部分</t>
  </si>
  <si>
    <t>整租部分</t>
    <phoneticPr fontId="7" type="noConversion"/>
  </si>
  <si>
    <t>地下车库</t>
    <phoneticPr fontId="7" type="noConversion"/>
  </si>
  <si>
    <t>利息：取LPR加浮动点数</t>
  </si>
  <si>
    <t>成新度</t>
  </si>
  <si>
    <t>年限</t>
    <phoneticPr fontId="3" type="noConversion"/>
  </si>
  <si>
    <t>观察</t>
    <phoneticPr fontId="3" type="noConversion"/>
  </si>
  <si>
    <t>车库净月租金1000，管理费150，时租八块</t>
    <phoneticPr fontId="3" type="noConversion"/>
  </si>
  <si>
    <t>收益法</t>
  </si>
  <si>
    <t>钢混</t>
  </si>
  <si>
    <t>非生产用房</t>
  </si>
  <si>
    <t>自定义</t>
  </si>
  <si>
    <t>估价对象容积率</t>
  </si>
  <si>
    <t>不临65条商业街</t>
  </si>
  <si>
    <t>通路</t>
  </si>
  <si>
    <t>通电</t>
  </si>
  <si>
    <t>通讯</t>
  </si>
  <si>
    <t>通上水</t>
  </si>
  <si>
    <t>通下水</t>
  </si>
  <si>
    <t>与级别开发程度一致</t>
  </si>
  <si>
    <t>通热</t>
  </si>
  <si>
    <t>燃气</t>
  </si>
  <si>
    <t>平整</t>
  </si>
  <si>
    <t>较好</t>
  </si>
  <si>
    <t>好</t>
  </si>
  <si>
    <t>未包含在土地购买价格中</t>
  </si>
  <si>
    <t>已包含在土地取得成本中</t>
  </si>
  <si>
    <t>全部缴纳</t>
  </si>
  <si>
    <t>收益法 (车位)</t>
  </si>
  <si>
    <t>收益法 (车位)</t>
    <phoneticPr fontId="16" type="noConversion"/>
  </si>
  <si>
    <t>地下车库</t>
  </si>
  <si>
    <t>收益法（汇总）</t>
  </si>
  <si>
    <t>中融信托广场</t>
    <phoneticPr fontId="134" type="noConversion"/>
  </si>
  <si>
    <t>嘉汇中心</t>
    <phoneticPr fontId="134" type="noConversion"/>
  </si>
  <si>
    <t>安中大厦</t>
    <phoneticPr fontId="134" type="noConversion"/>
  </si>
  <si>
    <t>元立大厦</t>
    <phoneticPr fontId="134" type="noConversion"/>
  </si>
  <si>
    <t>天元港中心</t>
    <phoneticPr fontId="134" type="noConversion"/>
  </si>
  <si>
    <t>南银大厦</t>
    <phoneticPr fontId="134" type="noConversion"/>
  </si>
  <si>
    <t>凤凰置地广场</t>
    <phoneticPr fontId="134" type="noConversion"/>
  </si>
  <si>
    <t>https://www.yxdc.top/bj/xzl_1212/?utm_source=sem&amp;utm_medium=baidu-pc&amp;utm_term=%E5%A4%A9%E5%85%83%E6%B8%AF%E4%B8%AD%E5%BF%83&amp;utm_campaign=%E5%8C%97%E4%BA%AC-PC-%E6%A5%BC%E7%9B%98&amp;sdclkid=ALfs1526bJD6AJD6As-&amp;bd_vid=10712983941064112716</t>
  </si>
  <si>
    <t>https://www.yxdc.top/bj/xzl_1934/?utm_source=sem&amp;utm_medium=baidu-pc&amp;utm_term=%E5%8C%97%E4%BA%AC%E5%8D%97%E9%93%B6%E5%A4%A7%E5%8E%A6&amp;utm_campaign=%E5%8C%97%E4%BA%AC-PC-%E6%A5%BC%E7%9B%98&amp;sdclkid=ALfs1526bJD6AJD6As-&amp;bd_vid=11937676041032289015</t>
  </si>
  <si>
    <t>https://www.yxdc.top/bj/xzl_1333/?utm_source=sem&amp;utm_medium=baidu-pc&amp;utm_term=%E5%8C%97%E4%BA%AC%E5%87%A4%E5%87%B0%E7%BD%AE%E5%9C%B0%E5%B9%BF%E5%9C%BA&amp;utm_campaign=%E5%8C%97%E4%BA%AC-PC-%E6%A5%BC%E7%9B%98&amp;sdclkid=ALfs1526bJD6AJD6As-&amp;bd_vid=11838678561041005413</t>
  </si>
  <si>
    <t>http://www.bjxzlou.com/zhongrongxintuoguangchang.html</t>
  </si>
  <si>
    <t>http://www.beijing-office.com/office/1470.shtml</t>
  </si>
  <si>
    <t>https://bj.58.com/zhaozu/52829929460400x.shtml?utm_source=market&amp;spm=u-2d2yxv86y3v43nkddh1.BDPCPZ_BT&amp;prd=gd8bEtbgDlQ0YEV8hO7jLWdTvi8HLOnRB2V6n6UFnBo%3D&amp;houseId=2840107727559695&amp;gpos=4&amp;positionType=anxuanhouse&amp;cocoTestType=coco_area_expand_test&amp;legoCocoTestType=coco_area_expand_test&amp;filterJson=eyJTSEFOR1FVQU4iOlt7ImtleSI6IiIsImxhYmVsIjoi5aSq6Ziz5a6rIiwidmFsIjoidGFpeWFuZ2dvbmcifV0sIlFVWVUiOlt7ImtleSI6IiIsImxhYmVsIjoi5pyd6ZizIiwidmFsIjoiY2hhb3lhbmcifV19&amp;jx_abtest=Y29jb19hcmVhX2V4cGFuZF90ZXN0LGVpY19zeWRjX3BjX3JlY29tbWVuZF9iYXNl&amp;list_type=main&amp;PGTID=0d30000d-0000-1d6e-60c5-c41ab6e9e6af&amp;ClickID=16</t>
  </si>
  <si>
    <t>https://bj.58.com/zhaozu/53225492373163x.shtml?utm_source=market&amp;prd=Kg8SF7j9AZREfe5myLuq727dJpjYj%2FPHst8LfcRCszE%3D&amp;houseId=2890821339636736&amp;gpos=29&amp;positionType=promationinfo&amp;key=%E7%8B%AC%E6%A0%8B&amp;cocoTestType=coco_area_expand_test&amp;legoCocoTestType=coco_area_expand_test&amp;filterJson=eyJRVVlVIjpbeyJrZXkiOiIiLCJsYWJlbCI6IuacnemYsyIsInZhbCI6ImNoYW95YW5nIn1dLCJLRVlfV09SRCI6W3sia2V5Ijoia2V5IiwibGFiZWwiOiLni6zmoIsiLCJ2YWwiOiLni6zmoIsifV19&amp;jx_abtest=cHRyX2ZhbmdfYnVkZ2V0X2JvdHRvbXwxLGNvY29fYXJlYV9leHBhbmRfdGVzdCxYWkxfU0VBUkNIX0VYUF9QQVJBTQ&amp;list_type=main&amp;PGTID=0d30000d-0000-190a-bd26-c6ef19f53a9c&amp;ClickID=45</t>
  </si>
  <si>
    <t>https://bj.58.com/zhaozu/52273967506179x.shtml?utm_source=market&amp;prd=2Qq5WcgTO9BKhJn%2BsWrA0bTsZVgItS1yTFJAfrPrS%2BI%3D&amp;houseId=2769026156358668&amp;gpos=91&amp;positionType=promationinfo&amp;key=%E7%8B%AC%E6%A0%8B&amp;cocoTestType=coco_area_expand_test&amp;legoCocoTestType=coco_area_expand_test&amp;filterJson=eyJRVVlVIjpbeyJrZXkiOiIiLCJsYWJlbCI6IuacnemYsyIsInZhbCI6ImNoYW95YW5nIn1dLCJLRVlfV09SRCI6W3sia2V5Ijoia2V5IiwibGFiZWwiOiLni6zmoIsiLCJ2YWwiOiLni6zmoIsifV19&amp;jx_abtest=cHRyX2ZhbmdfYnVkZ2V0X2JvdHRvbXwxLGNvY29fYXJlYV9leHBhbmRfdGVzdCxYWkxfU0VBUkNIX0VYUF9QQVJBTQ&amp;list_type=main&amp;PGTID=0d30000d-0000-1546-6ee5-af626a38cef9&amp;ClickID=63</t>
  </si>
  <si>
    <t>https://bj.58.com/zhaozu/53280116653374x.shtml?utm_source=market&amp;prd=I3Ln1GFho%2B02W3D5EwryjUPAmYdOZulbUI0s%2F%2FjoCn8%3D&amp;houseId=2897813247519748&amp;gpos=151&amp;positionType=promationinfo&amp;key=%E7%8B%AC%E6%A0%8B&amp;cocoTestType=coco_area_expand_test&amp;legoCocoTestType=coco_area_expand_test&amp;filterJson=eyJRVVlVIjpbeyJrZXkiOiIiLCJsYWJlbCI6IuacnemYsyIsInZhbCI6ImNoYW95YW5nIn1dLCJLRVlfV09SRCI6W3sia2V5Ijoia2V5IiwibGFiZWwiOiLni6zmoIsiLCJ2YWwiOiLni6zmoIsifV19&amp;jx_abtest=Y29jb19hcmVhX2V4cGFuZF90ZXN0LFhaTF9TRUFSQ0hfRVhQX1BBUkFN&amp;list_type=main&amp;PGTID=0d30000d-0000-1a92-b1a6-04d0534eb7a8&amp;ClickID=28</t>
  </si>
  <si>
    <t>https://bj.58.com/zhaozu/49180459743532x.shtml?utm_source=market&amp;prd=Ju5z9535AOy0eGF65c%2FoY2dTvi8HLOnRB2V6n6UFnBo%3D&amp;houseId=2373057163027465&amp;gpos=1&amp;positionType=anxuanhouseplus&amp;key=%E9%A6%96%E5%8D%8E%E5%A4%A7%E5%8E%A6&amp;cocoTestType=coco_area_expand_test&amp;legoCocoTestType=coco_area_expand_test&amp;filterJson=eyJLRVlfV09SRCI6W3sia2V5Ijoia2V5IiwibGFiZWwiOiLpppbljY7lpKfljqYiLCJ2YWwiOiLpppbljY7lpKfljqYifV19&amp;jx_abtest=Y29jb19hcmVhX2V4cGFuZF90ZXN0LFhaTF9TRUFSQ0hfRVhQX0JVSUxESU5H&amp;list_type=main&amp;PGTID=0d30000d-0000-15a2-857f-6be57afba05f&amp;ClickID=5</t>
  </si>
  <si>
    <t>http://www.huarunwuye.cn/</t>
  </si>
  <si>
    <t>地上租金</t>
    <phoneticPr fontId="134" type="noConversion"/>
  </si>
  <si>
    <t>车位租金</t>
    <phoneticPr fontId="134" type="noConversion"/>
  </si>
  <si>
    <t>http://www.fhzdoffice.com/</t>
  </si>
  <si>
    <r>
      <rPr>
        <b/>
        <sz val="11"/>
        <rFont val="宋体"/>
        <family val="3"/>
        <charset val="134"/>
        <scheme val="minor"/>
      </rPr>
      <t>2022年上海大宗交易</t>
    </r>
  </si>
  <si>
    <t>项目</t>
    <phoneticPr fontId="3" type="noConversion"/>
  </si>
  <si>
    <t>城市</t>
    <phoneticPr fontId="3" type="noConversion"/>
  </si>
  <si>
    <t>行政区</t>
    <phoneticPr fontId="3" type="noConversion"/>
  </si>
  <si>
    <t>物业类型</t>
    <phoneticPr fontId="3" type="noConversion"/>
  </si>
  <si>
    <t>计价面积（平方米）</t>
    <phoneticPr fontId="3" type="noConversion"/>
  </si>
  <si>
    <t>季度</t>
    <phoneticPr fontId="3" type="noConversion"/>
  </si>
  <si>
    <t>年份</t>
    <phoneticPr fontId="3" type="noConversion"/>
  </si>
  <si>
    <t>卖方</t>
    <phoneticPr fontId="3" type="noConversion"/>
  </si>
  <si>
    <t>买房</t>
    <phoneticPr fontId="3" type="noConversion"/>
  </si>
  <si>
    <t>总价（百万元）</t>
    <phoneticPr fontId="3" type="noConversion"/>
  </si>
  <si>
    <t>单价（元/平方米）</t>
    <phoneticPr fontId="3" type="noConversion"/>
  </si>
  <si>
    <t>交易方式</t>
    <phoneticPr fontId="3" type="noConversion"/>
  </si>
  <si>
    <t>西康路608</t>
  </si>
  <si>
    <t>上海</t>
  </si>
  <si>
    <t>静安区</t>
  </si>
  <si>
    <t>零售</t>
  </si>
  <si>
    <t>Q1</t>
  </si>
  <si>
    <t>MSREF</t>
  </si>
  <si>
    <t>建业实业</t>
  </si>
  <si>
    <t>境外股权</t>
  </si>
  <si>
    <t>国浩长风城6号楼B座</t>
  </si>
  <si>
    <t>普陀区</t>
  </si>
  <si>
    <t>国浩</t>
  </si>
  <si>
    <t>罗普特科技集团</t>
  </si>
  <si>
    <t>资产交易</t>
  </si>
  <si>
    <t>黄浦悦樘公寓</t>
  </si>
  <si>
    <t>黄浦区</t>
  </si>
  <si>
    <t>公寓</t>
  </si>
  <si>
    <t>景瑞</t>
  </si>
  <si>
    <t>上海某国企</t>
  </si>
  <si>
    <t>境内股权</t>
  </si>
  <si>
    <t>衣恋上海物流中心</t>
  </si>
  <si>
    <t>闵行区</t>
  </si>
  <si>
    <t>物流</t>
  </si>
  <si>
    <t>衣恋集团</t>
  </si>
  <si>
    <t>平安/东久</t>
  </si>
  <si>
    <t>养云安缦中心</t>
  </si>
  <si>
    <t>上海古杉投资管理有限公司</t>
  </si>
  <si>
    <t>私人投资者</t>
  </si>
  <si>
    <t>阁雅酒店50套酒店式公寓+169个车位(法拍</t>
  </si>
  <si>
    <t>徐汇区</t>
  </si>
  <si>
    <t>酒店</t>
  </si>
  <si>
    <t>上海绿庭投资控股集团</t>
  </si>
  <si>
    <t>鼎一投资</t>
  </si>
  <si>
    <t>星.创园</t>
  </si>
  <si>
    <t>浦东新区</t>
  </si>
  <si>
    <t>商务园区</t>
  </si>
  <si>
    <t>威上电子</t>
  </si>
  <si>
    <t>黑石</t>
  </si>
  <si>
    <t>桃浦智创广场</t>
  </si>
  <si>
    <t>泰禾集团</t>
  </si>
  <si>
    <t>李园实业</t>
  </si>
  <si>
    <t>湾谷科技园12号楼/15号楼部分</t>
  </si>
  <si>
    <t>杨浦区</t>
  </si>
  <si>
    <t>天域生态</t>
  </si>
  <si>
    <t>上海复旦微电子股份集团有限公司</t>
  </si>
  <si>
    <t>蔡伦路88号</t>
  </si>
  <si>
    <t>宇通客车</t>
  </si>
  <si>
    <t>杭州和达高科技发展集团有限公司</t>
  </si>
  <si>
    <t>中关村.虹桥创新中心S7</t>
  </si>
  <si>
    <t>长宁区</t>
  </si>
  <si>
    <t>Barings</t>
  </si>
  <si>
    <t>上海服装集团</t>
  </si>
  <si>
    <t>碧桂园大宁BIG+公寓</t>
  </si>
  <si>
    <t>碧桂园</t>
  </si>
  <si>
    <t>上海私人投资者</t>
  </si>
  <si>
    <t>七宝万象企业中心6号楼</t>
  </si>
  <si>
    <t>华润</t>
  </si>
  <si>
    <t>卫龙辣条</t>
  </si>
  <si>
    <t>外滩茂悦大酒店</t>
  </si>
  <si>
    <t>虹口区</t>
  </si>
  <si>
    <t>世茂集团</t>
  </si>
  <si>
    <t>上海地产</t>
  </si>
  <si>
    <t>恒基旭辉中心</t>
  </si>
  <si>
    <t>恒基/旭辉</t>
  </si>
  <si>
    <t>旭辉</t>
  </si>
  <si>
    <t>集贤商务中心3幢</t>
  </si>
  <si>
    <t>张江高科</t>
  </si>
  <si>
    <t>维沃移动通信(VIVO）</t>
  </si>
  <si>
    <t>上海外滩金融中心(50%股权）</t>
  </si>
  <si>
    <t>综合体</t>
  </si>
  <si>
    <t>中融信托</t>
  </si>
  <si>
    <t>复星国际</t>
  </si>
  <si>
    <t>西岸艺岛</t>
  </si>
  <si>
    <t>西岸集团</t>
  </si>
  <si>
    <t>阿里巴巴</t>
  </si>
  <si>
    <t>瀛通绿地大厦（法拍）</t>
  </si>
  <si>
    <t>Q2</t>
  </si>
  <si>
    <t>上海瀛通集团</t>
  </si>
  <si>
    <t>上海太平洋置业</t>
  </si>
  <si>
    <t>扬子江国际企业广场</t>
  </si>
  <si>
    <t>农银金融租赁有限公司</t>
  </si>
  <si>
    <t>上海鑫达实业总公司</t>
  </si>
  <si>
    <t>静安君御豪庭</t>
  </si>
  <si>
    <t>阳光城</t>
  </si>
  <si>
    <t>刘益谦家族</t>
  </si>
  <si>
    <t>创建资讯上海厂房</t>
  </si>
  <si>
    <t>奉贤区</t>
  </si>
  <si>
    <t>厂房</t>
  </si>
  <si>
    <t>创见资讯有限公司</t>
  </si>
  <si>
    <t>上海奉浦建设开发有限公司</t>
  </si>
  <si>
    <t>旭辉莘庄中心</t>
  </si>
  <si>
    <t>鸿星尔克家族</t>
  </si>
  <si>
    <t>绿地创驿大厦A塔楼</t>
  </si>
  <si>
    <t>浙商银行</t>
  </si>
  <si>
    <t>北蔡·隆德丰汗麦邻里中心（法拍）</t>
  </si>
  <si>
    <t>上海华辰房地产开发有限公司</t>
  </si>
  <si>
    <t>上海西舸玛实业有限公司</t>
  </si>
  <si>
    <t>上海远洋大厦(81%股权）</t>
  </si>
  <si>
    <t>领惠投资</t>
  </si>
  <si>
    <t>中远海运集运</t>
  </si>
  <si>
    <t>展想中心</t>
  </si>
  <si>
    <t>中化资本创投/金茂资本/大家保险</t>
  </si>
  <si>
    <t>张江NEO</t>
  </si>
  <si>
    <t>Q3</t>
  </si>
  <si>
    <t>药灵山生物医药地产</t>
  </si>
  <si>
    <t>宣桥镇园中路906&amp;园迪路16号</t>
  </si>
  <si>
    <t>上海卡姆丹克太阳能集团</t>
  </si>
  <si>
    <t>浦东自立彩印厂</t>
  </si>
  <si>
    <t>江桥绿地新都会办公</t>
  </si>
  <si>
    <t>嘉定区</t>
  </si>
  <si>
    <t>绿地集团</t>
  </si>
  <si>
    <t>雅居乐物业</t>
  </si>
  <si>
    <t>嘉誉天荟A/B座&amp;4号楼</t>
    <phoneticPr fontId="3" type="noConversion"/>
  </si>
  <si>
    <t>富力</t>
  </si>
  <si>
    <t>翰同资本/Brookfield</t>
  </si>
  <si>
    <t>中山南路599号2-12层外马路666号1-2层</t>
  </si>
  <si>
    <t>鑫景滨江</t>
  </si>
  <si>
    <t>海通恒信</t>
  </si>
  <si>
    <r>
      <rPr>
        <sz val="8"/>
        <rFont val="宋体"/>
        <family val="3"/>
        <charset val="134"/>
        <scheme val="minor"/>
      </rPr>
      <t>君康金融广场土地及在建工程(法拍）</t>
    </r>
  </si>
  <si>
    <r>
      <rPr>
        <sz val="8"/>
        <rFont val="宋体"/>
        <family val="3"/>
        <charset val="134"/>
        <scheme val="minor"/>
      </rPr>
      <t>上海</t>
    </r>
  </si>
  <si>
    <r>
      <rPr>
        <sz val="8"/>
        <rFont val="宋体"/>
        <family val="3"/>
        <charset val="134"/>
        <scheme val="minor"/>
      </rPr>
      <t>浦东新区</t>
    </r>
  </si>
  <si>
    <r>
      <rPr>
        <sz val="8"/>
        <rFont val="宋体"/>
        <family val="3"/>
        <charset val="134"/>
        <scheme val="minor"/>
      </rPr>
      <t>办公</t>
    </r>
  </si>
  <si>
    <r>
      <rPr>
        <sz val="8"/>
        <rFont val="宋体"/>
        <family val="3"/>
        <charset val="134"/>
        <scheme val="minor"/>
      </rPr>
      <t>Q3</t>
    </r>
  </si>
  <si>
    <r>
      <rPr>
        <sz val="8"/>
        <rFont val="宋体"/>
        <family val="3"/>
        <charset val="134"/>
        <scheme val="minor"/>
      </rPr>
      <t>君康人寿</t>
    </r>
  </si>
  <si>
    <r>
      <rPr>
        <sz val="8"/>
        <rFont val="宋体"/>
        <family val="3"/>
        <charset val="134"/>
        <scheme val="minor"/>
      </rPr>
      <t>信达/杉杉</t>
    </r>
  </si>
  <si>
    <r>
      <rPr>
        <sz val="8"/>
        <rFont val="宋体"/>
        <family val="3"/>
        <charset val="134"/>
        <scheme val="minor"/>
      </rPr>
      <t>资产交易</t>
    </r>
  </si>
  <si>
    <r>
      <rPr>
        <sz val="8"/>
        <rFont val="宋体"/>
        <family val="3"/>
        <charset val="134"/>
        <scheme val="minor"/>
      </rPr>
      <t>张江琥珀路63弄1-9号</t>
    </r>
  </si>
  <si>
    <r>
      <rPr>
        <sz val="8"/>
        <rFont val="宋体"/>
        <family val="3"/>
        <charset val="134"/>
        <scheme val="minor"/>
      </rPr>
      <t>商务园区</t>
    </r>
  </si>
  <si>
    <r>
      <rPr>
        <sz val="8"/>
        <rFont val="宋体"/>
        <family val="3"/>
        <charset val="134"/>
        <scheme val="minor"/>
      </rPr>
      <t>上海中营健</t>
    </r>
  </si>
  <si>
    <r>
      <rPr>
        <sz val="8"/>
        <rFont val="宋体"/>
        <family val="3"/>
        <charset val="134"/>
        <scheme val="minor"/>
      </rPr>
      <t>南模生物</t>
    </r>
  </si>
  <si>
    <r>
      <rPr>
        <sz val="8"/>
        <rFont val="宋体"/>
        <family val="3"/>
        <charset val="134"/>
        <scheme val="minor"/>
      </rPr>
      <t>信泰中心T3</t>
    </r>
  </si>
  <si>
    <r>
      <rPr>
        <sz val="8"/>
        <rFont val="宋体"/>
        <family val="3"/>
        <charset val="134"/>
        <scheme val="minor"/>
      </rPr>
      <t>普陀区</t>
    </r>
  </si>
  <si>
    <r>
      <rPr>
        <sz val="8"/>
        <rFont val="宋体"/>
        <family val="3"/>
        <charset val="134"/>
        <scheme val="minor"/>
      </rPr>
      <t>中信泰富</t>
    </r>
  </si>
  <si>
    <r>
      <rPr>
        <sz val="8"/>
        <rFont val="宋体"/>
        <family val="3"/>
        <charset val="134"/>
        <scheme val="minor"/>
      </rPr>
      <t>古星电子</t>
    </r>
  </si>
  <si>
    <r>
      <rPr>
        <sz val="8"/>
        <rFont val="宋体"/>
        <family val="3"/>
        <charset val="134"/>
        <scheme val="minor"/>
      </rPr>
      <t>信泰中心T4</t>
    </r>
  </si>
  <si>
    <r>
      <rPr>
        <sz val="8"/>
        <rFont val="宋体"/>
        <family val="3"/>
        <charset val="134"/>
        <scheme val="minor"/>
      </rPr>
      <t>一嗨租车</t>
    </r>
  </si>
  <si>
    <r>
      <rPr>
        <sz val="8"/>
        <rFont val="宋体"/>
        <family val="3"/>
        <charset val="134"/>
        <scheme val="minor"/>
      </rPr>
      <t>长三角绿洲智谷赵巷A1</t>
    </r>
  </si>
  <si>
    <r>
      <rPr>
        <sz val="8"/>
        <rFont val="宋体"/>
        <family val="3"/>
        <charset val="134"/>
        <scheme val="minor"/>
      </rPr>
      <t>青浦区</t>
    </r>
  </si>
  <si>
    <r>
      <rPr>
        <sz val="8"/>
        <rFont val="宋体"/>
        <family val="3"/>
        <charset val="134"/>
        <scheme val="minor"/>
      </rPr>
      <t>漕河泾开发</t>
    </r>
  </si>
  <si>
    <r>
      <rPr>
        <sz val="8"/>
        <rFont val="宋体"/>
        <family val="3"/>
        <charset val="134"/>
        <scheme val="minor"/>
      </rPr>
      <t>公牛集团</t>
    </r>
  </si>
  <si>
    <r>
      <rPr>
        <sz val="8"/>
        <rFont val="宋体"/>
        <family val="3"/>
        <charset val="134"/>
        <scheme val="minor"/>
      </rPr>
      <t>长三角绿洲智谷赵巷B2</t>
    </r>
  </si>
  <si>
    <r>
      <rPr>
        <sz val="8"/>
        <rFont val="宋体"/>
        <family val="3"/>
        <charset val="134"/>
        <scheme val="minor"/>
      </rPr>
      <t>华润苏河湾办公楼</t>
    </r>
  </si>
  <si>
    <r>
      <rPr>
        <sz val="8"/>
        <rFont val="宋体"/>
        <family val="3"/>
        <charset val="134"/>
        <scheme val="minor"/>
      </rPr>
      <t>静安区</t>
    </r>
  </si>
  <si>
    <r>
      <rPr>
        <sz val="8"/>
        <rFont val="宋体"/>
        <family val="3"/>
        <charset val="134"/>
        <scheme val="minor"/>
      </rPr>
      <t>华润</t>
    </r>
  </si>
  <si>
    <r>
      <rPr>
        <sz val="8"/>
        <rFont val="宋体"/>
        <family val="3"/>
        <charset val="134"/>
        <scheme val="minor"/>
      </rPr>
      <t>鄂尔多斯</t>
    </r>
  </si>
  <si>
    <r>
      <rPr>
        <sz val="8"/>
        <rFont val="宋体"/>
        <family val="3"/>
        <charset val="134"/>
        <scheme val="minor"/>
      </rPr>
      <t>中粮大悦城写字楼</t>
    </r>
  </si>
  <si>
    <r>
      <rPr>
        <sz val="8"/>
        <rFont val="宋体"/>
        <family val="3"/>
        <charset val="134"/>
        <scheme val="minor"/>
      </rPr>
      <t>中粮</t>
    </r>
  </si>
  <si>
    <r>
      <rPr>
        <sz val="8"/>
        <rFont val="宋体"/>
        <family val="3"/>
        <charset val="134"/>
        <scheme val="minor"/>
      </rPr>
      <t>汇能集团</t>
    </r>
  </si>
  <si>
    <r>
      <rPr>
        <sz val="8"/>
        <rFont val="宋体"/>
        <family val="3"/>
        <charset val="134"/>
        <scheme val="minor"/>
      </rPr>
      <t>中粮大悦城商业</t>
    </r>
  </si>
  <si>
    <r>
      <rPr>
        <sz val="8"/>
        <rFont val="宋体"/>
        <family val="3"/>
        <charset val="134"/>
        <scheme val="minor"/>
      </rPr>
      <t>零售</t>
    </r>
  </si>
  <si>
    <r>
      <rPr>
        <sz val="8"/>
        <rFont val="宋体"/>
        <family val="3"/>
        <charset val="134"/>
        <scheme val="minor"/>
      </rPr>
      <t>浙江卡游</t>
    </r>
  </si>
  <si>
    <r>
      <rPr>
        <sz val="8"/>
        <rFont val="宋体"/>
        <family val="3"/>
        <charset val="134"/>
        <scheme val="minor"/>
      </rPr>
      <t>七宝万象中心</t>
    </r>
  </si>
  <si>
    <r>
      <rPr>
        <sz val="8"/>
        <rFont val="宋体"/>
        <family val="3"/>
        <charset val="134"/>
        <scheme val="minor"/>
      </rPr>
      <t>闵行区</t>
    </r>
  </si>
  <si>
    <r>
      <rPr>
        <sz val="8"/>
        <rFont val="宋体"/>
        <family val="3"/>
        <charset val="134"/>
        <scheme val="minor"/>
      </rPr>
      <t>奈雪的茶</t>
    </r>
  </si>
  <si>
    <r>
      <rPr>
        <sz val="8"/>
        <rFont val="宋体"/>
        <family val="3"/>
        <charset val="134"/>
        <scheme val="minor"/>
      </rPr>
      <t>徐汇龙华万科中心T1</t>
    </r>
  </si>
  <si>
    <r>
      <rPr>
        <sz val="8"/>
        <rFont val="宋体"/>
        <family val="3"/>
        <charset val="134"/>
        <scheme val="minor"/>
      </rPr>
      <t>徐汇区</t>
    </r>
  </si>
  <si>
    <r>
      <rPr>
        <sz val="8"/>
        <rFont val="宋体"/>
        <family val="3"/>
        <charset val="134"/>
        <scheme val="minor"/>
      </rPr>
      <t>万科</t>
    </r>
  </si>
  <si>
    <r>
      <rPr>
        <sz val="8"/>
        <rFont val="宋体"/>
        <family val="3"/>
        <charset val="134"/>
        <scheme val="minor"/>
      </rPr>
      <t>上咨集团</t>
    </r>
  </si>
  <si>
    <r>
      <rPr>
        <sz val="8"/>
        <rFont val="宋体"/>
        <family val="3"/>
        <charset val="134"/>
        <scheme val="minor"/>
      </rPr>
      <t>绿地智创商务中心</t>
    </r>
  </si>
  <si>
    <r>
      <rPr>
        <sz val="8"/>
        <rFont val="宋体"/>
        <family val="3"/>
        <charset val="134"/>
        <scheme val="minor"/>
      </rPr>
      <t>绿地集团</t>
    </r>
  </si>
  <si>
    <r>
      <rPr>
        <sz val="8"/>
        <rFont val="宋体"/>
        <family val="3"/>
        <charset val="134"/>
        <scheme val="minor"/>
      </rPr>
      <t>安狮/吉宝/建信</t>
    </r>
  </si>
  <si>
    <r>
      <rPr>
        <sz val="8"/>
        <rFont val="宋体"/>
        <family val="3"/>
        <charset val="134"/>
        <scheme val="minor"/>
      </rPr>
      <t>浙铁绿城长风中心2号楼</t>
    </r>
  </si>
  <si>
    <r>
      <rPr>
        <sz val="8"/>
        <rFont val="宋体"/>
        <family val="3"/>
        <charset val="134"/>
        <scheme val="minor"/>
      </rPr>
      <t>浙江交投/绿城</t>
    </r>
  </si>
  <si>
    <r>
      <rPr>
        <sz val="8"/>
        <rFont val="宋体"/>
        <family val="3"/>
        <charset val="134"/>
        <scheme val="minor"/>
      </rPr>
      <t>新长征/竑沣昇/晶凯圣</t>
    </r>
  </si>
  <si>
    <r>
      <rPr>
        <sz val="8"/>
        <rFont val="宋体"/>
        <family val="3"/>
        <charset val="134"/>
        <scheme val="minor"/>
      </rPr>
      <t>佳兆业金融中心</t>
    </r>
  </si>
  <si>
    <r>
      <rPr>
        <sz val="8"/>
        <rFont val="宋体"/>
        <family val="3"/>
        <charset val="134"/>
        <scheme val="minor"/>
      </rPr>
      <t>佳兆业集团</t>
    </r>
  </si>
  <si>
    <r>
      <rPr>
        <sz val="8"/>
        <rFont val="宋体"/>
        <family val="3"/>
        <charset val="134"/>
        <scheme val="minor"/>
      </rPr>
      <t>中谷物流</t>
    </r>
  </si>
  <si>
    <r>
      <rPr>
        <sz val="8"/>
        <rFont val="宋体"/>
        <family val="3"/>
        <charset val="134"/>
        <scheme val="minor"/>
      </rPr>
      <t>境内股权</t>
    </r>
  </si>
  <si>
    <r>
      <rPr>
        <sz val="8"/>
        <rFont val="宋体"/>
        <family val="3"/>
        <charset val="134"/>
        <scheme val="minor"/>
      </rPr>
      <t>丰树宝山工业园</t>
    </r>
  </si>
  <si>
    <r>
      <rPr>
        <sz val="8"/>
        <rFont val="宋体"/>
        <family val="3"/>
        <charset val="134"/>
        <scheme val="minor"/>
      </rPr>
      <t>宝山区</t>
    </r>
  </si>
  <si>
    <r>
      <rPr>
        <sz val="8"/>
        <rFont val="宋体"/>
        <family val="3"/>
        <charset val="134"/>
        <scheme val="minor"/>
      </rPr>
      <t>厂房</t>
    </r>
  </si>
  <si>
    <r>
      <rPr>
        <sz val="8"/>
        <rFont val="宋体"/>
        <family val="3"/>
        <charset val="134"/>
        <scheme val="minor"/>
      </rPr>
      <t>丰树</t>
    </r>
  </si>
  <si>
    <r>
      <rPr>
        <sz val="8"/>
        <rFont val="宋体"/>
        <family val="3"/>
        <charset val="134"/>
        <scheme val="minor"/>
      </rPr>
      <t>中联基金/南山控股</t>
    </r>
  </si>
  <si>
    <r>
      <rPr>
        <sz val="8"/>
        <rFont val="宋体"/>
        <family val="3"/>
        <charset val="134"/>
        <scheme val="minor"/>
      </rPr>
      <t>上海维璟中心B座</t>
    </r>
  </si>
  <si>
    <r>
      <rPr>
        <sz val="8"/>
        <rFont val="宋体"/>
        <family val="3"/>
        <charset val="134"/>
        <scheme val="minor"/>
      </rPr>
      <t>五牛基金</t>
    </r>
  </si>
  <si>
    <r>
      <rPr>
        <sz val="8"/>
        <rFont val="宋体"/>
        <family val="3"/>
        <charset val="134"/>
        <scheme val="minor"/>
      </rPr>
      <t>凯德</t>
    </r>
  </si>
  <si>
    <r>
      <rPr>
        <sz val="8"/>
        <rFont val="宋体"/>
        <family val="3"/>
        <charset val="134"/>
        <scheme val="minor"/>
      </rPr>
      <t>村田大厦（大宁东方环球企业中心）</t>
    </r>
  </si>
  <si>
    <r>
      <rPr>
        <sz val="8"/>
        <rFont val="宋体"/>
        <family val="3"/>
        <charset val="134"/>
        <scheme val="minor"/>
      </rPr>
      <t>日本村田集团</t>
    </r>
  </si>
  <si>
    <r>
      <rPr>
        <sz val="8"/>
        <rFont val="宋体"/>
        <family val="3"/>
        <charset val="134"/>
        <scheme val="minor"/>
      </rPr>
      <t>私人投资者</t>
    </r>
  </si>
  <si>
    <r>
      <rPr>
        <sz val="8"/>
        <rFont val="宋体"/>
        <family val="3"/>
        <charset val="134"/>
        <scheme val="minor"/>
      </rPr>
      <t>松江经开物流项目</t>
    </r>
  </si>
  <si>
    <r>
      <rPr>
        <sz val="8"/>
        <rFont val="宋体"/>
        <family val="3"/>
        <charset val="134"/>
        <scheme val="minor"/>
      </rPr>
      <t>松江区</t>
    </r>
  </si>
  <si>
    <r>
      <rPr>
        <sz val="8"/>
        <rFont val="宋体"/>
        <family val="3"/>
        <charset val="134"/>
        <scheme val="minor"/>
      </rPr>
      <t>物流</t>
    </r>
  </si>
  <si>
    <r>
      <rPr>
        <sz val="8"/>
        <rFont val="宋体"/>
        <family val="3"/>
        <charset val="134"/>
        <scheme val="minor"/>
      </rPr>
      <t>松江经开集团</t>
    </r>
  </si>
  <si>
    <r>
      <rPr>
        <sz val="8"/>
        <rFont val="宋体"/>
        <family val="3"/>
        <charset val="134"/>
        <scheme val="minor"/>
      </rPr>
      <t>索尼</t>
    </r>
  </si>
  <si>
    <r>
      <rPr>
        <sz val="8"/>
        <rFont val="宋体"/>
        <family val="3"/>
        <charset val="134"/>
        <scheme val="minor"/>
      </rPr>
      <t>新场镇工业项目</t>
    </r>
  </si>
  <si>
    <r>
      <rPr>
        <sz val="8"/>
        <rFont val="宋体"/>
        <family val="3"/>
        <charset val="134"/>
        <scheme val="minor"/>
      </rPr>
      <t>康桥实业</t>
    </r>
  </si>
  <si>
    <r>
      <rPr>
        <sz val="8"/>
        <rFont val="宋体"/>
        <family val="3"/>
        <charset val="134"/>
        <scheme val="minor"/>
      </rPr>
      <t>基汇资本</t>
    </r>
  </si>
  <si>
    <r>
      <rPr>
        <sz val="8"/>
        <rFont val="宋体"/>
        <family val="3"/>
        <charset val="134"/>
        <scheme val="minor"/>
      </rPr>
      <t>国浩长风城3号楼</t>
    </r>
  </si>
  <si>
    <r>
      <rPr>
        <sz val="8"/>
        <rFont val="宋体"/>
        <family val="3"/>
        <charset val="134"/>
        <scheme val="minor"/>
      </rPr>
      <t>Q4</t>
    </r>
  </si>
  <si>
    <r>
      <rPr>
        <sz val="8"/>
        <rFont val="宋体"/>
        <family val="3"/>
        <charset val="134"/>
        <scheme val="minor"/>
      </rPr>
      <t>国浩集团</t>
    </r>
  </si>
  <si>
    <r>
      <rPr>
        <sz val="8"/>
        <rFont val="宋体"/>
        <family val="3"/>
        <charset val="134"/>
        <scheme val="minor"/>
      </rPr>
      <t>安博通科技股份有限公司</t>
    </r>
  </si>
  <si>
    <r>
      <rPr>
        <sz val="8"/>
        <rFont val="宋体"/>
        <family val="3"/>
        <charset val="134"/>
        <scheme val="minor"/>
      </rPr>
      <t>中核科创园F2办公</t>
    </r>
  </si>
  <si>
    <r>
      <rPr>
        <sz val="8"/>
        <rFont val="宋体"/>
        <family val="3"/>
        <charset val="134"/>
        <scheme val="minor"/>
      </rPr>
      <t>中核建</t>
    </r>
  </si>
  <si>
    <r>
      <rPr>
        <sz val="8"/>
        <rFont val="宋体"/>
        <family val="3"/>
        <charset val="134"/>
        <scheme val="minor"/>
      </rPr>
      <t>中核五公司</t>
    </r>
  </si>
  <si>
    <r>
      <rPr>
        <sz val="8"/>
        <rFont val="宋体"/>
        <family val="3"/>
        <charset val="134"/>
        <scheme val="minor"/>
      </rPr>
      <t>BenQ明基商务广场</t>
    </r>
  </si>
  <si>
    <r>
      <rPr>
        <sz val="8"/>
        <rFont val="宋体"/>
        <family val="3"/>
        <charset val="134"/>
        <scheme val="minor"/>
      </rPr>
      <t>长宁区</t>
    </r>
  </si>
  <si>
    <r>
      <rPr>
        <sz val="8"/>
        <rFont val="宋体"/>
        <family val="3"/>
        <charset val="134"/>
        <scheme val="minor"/>
      </rPr>
      <t>明基电通股份有限公司(BenQ)</t>
    </r>
  </si>
  <si>
    <r>
      <rPr>
        <sz val="8"/>
        <rFont val="宋体"/>
        <family val="3"/>
        <charset val="134"/>
        <scheme val="minor"/>
      </rPr>
      <t>东久新宜</t>
    </r>
  </si>
  <si>
    <r>
      <rPr>
        <sz val="8"/>
        <rFont val="宋体"/>
        <family val="3"/>
        <charset val="134"/>
        <scheme val="minor"/>
      </rPr>
      <t>境外股权</t>
    </r>
  </si>
  <si>
    <r>
      <rPr>
        <sz val="8"/>
        <rFont val="宋体"/>
        <family val="3"/>
        <charset val="134"/>
        <scheme val="minor"/>
      </rPr>
      <t>桂桥路115号</t>
    </r>
  </si>
  <si>
    <r>
      <rPr>
        <sz val="8"/>
        <rFont val="宋体"/>
        <family val="3"/>
        <charset val="134"/>
        <scheme val="minor"/>
      </rPr>
      <t>上海报业</t>
    </r>
  </si>
  <si>
    <r>
      <rPr>
        <sz val="8"/>
        <rFont val="宋体"/>
        <family val="3"/>
        <charset val="134"/>
        <scheme val="minor"/>
      </rPr>
      <t>润邦实业</t>
    </r>
  </si>
  <si>
    <r>
      <rPr>
        <sz val="8"/>
        <rFont val="宋体"/>
        <family val="3"/>
        <charset val="134"/>
        <scheme val="minor"/>
      </rPr>
      <t>黄兴大楼</t>
    </r>
  </si>
  <si>
    <r>
      <rPr>
        <sz val="8"/>
        <rFont val="宋体"/>
        <family val="3"/>
        <charset val="134"/>
        <scheme val="minor"/>
      </rPr>
      <t>杨浦区</t>
    </r>
  </si>
  <si>
    <r>
      <rPr>
        <sz val="8"/>
        <rFont val="宋体"/>
        <family val="3"/>
        <charset val="134"/>
        <scheme val="minor"/>
      </rPr>
      <t>公寓</t>
    </r>
  </si>
  <si>
    <r>
      <rPr>
        <sz val="8"/>
        <rFont val="宋体"/>
        <family val="3"/>
        <charset val="134"/>
        <scheme val="minor"/>
      </rPr>
      <t>朗诗</t>
    </r>
  </si>
  <si>
    <r>
      <rPr>
        <sz val="8"/>
        <rFont val="宋体"/>
        <family val="3"/>
        <charset val="134"/>
        <scheme val="minor"/>
      </rPr>
      <t>Lasalle</t>
    </r>
  </si>
  <si>
    <r>
      <rPr>
        <sz val="8"/>
        <rFont val="宋体"/>
        <family val="3"/>
        <charset val="134"/>
        <scheme val="minor"/>
      </rPr>
      <t>悦樘公寓大宁店</t>
    </r>
  </si>
  <si>
    <r>
      <rPr>
        <sz val="8"/>
        <rFont val="宋体"/>
        <family val="3"/>
        <charset val="134"/>
        <scheme val="minor"/>
      </rPr>
      <t>景瑞</t>
    </r>
  </si>
  <si>
    <r>
      <rPr>
        <sz val="8"/>
        <rFont val="宋体"/>
        <family val="3"/>
        <charset val="134"/>
        <scheme val="minor"/>
      </rPr>
      <t>建信信托</t>
    </r>
  </si>
  <si>
    <r>
      <rPr>
        <sz val="8"/>
        <rFont val="宋体"/>
        <family val="3"/>
        <charset val="134"/>
        <scheme val="minor"/>
      </rPr>
      <t>张江腾飞科技大厦(I-link)</t>
    </r>
  </si>
  <si>
    <r>
      <rPr>
        <sz val="8"/>
        <rFont val="宋体"/>
        <family val="3"/>
        <charset val="134"/>
        <scheme val="minor"/>
      </rPr>
      <t>中国产业园核心型人民币基金I期</t>
    </r>
  </si>
  <si>
    <r>
      <rPr>
        <sz val="8"/>
        <rFont val="宋体"/>
        <family val="3"/>
        <charset val="134"/>
        <scheme val="minor"/>
      </rPr>
      <t>凯德投资（CLI）</t>
    </r>
  </si>
  <si>
    <r>
      <rPr>
        <sz val="8"/>
        <rFont val="宋体"/>
        <family val="3"/>
        <charset val="134"/>
        <scheme val="minor"/>
      </rPr>
      <t>新都国际公寓</t>
    </r>
  </si>
  <si>
    <r>
      <rPr>
        <sz val="8"/>
        <rFont val="宋体"/>
        <family val="3"/>
        <charset val="134"/>
        <scheme val="minor"/>
      </rPr>
      <t>复地</t>
    </r>
  </si>
  <si>
    <r>
      <rPr>
        <sz val="8"/>
        <rFont val="宋体"/>
        <family val="3"/>
        <charset val="134"/>
        <scheme val="minor"/>
      </rPr>
      <t>飞镖加速器</t>
    </r>
  </si>
  <si>
    <r>
      <rPr>
        <sz val="8"/>
        <rFont val="宋体"/>
        <family val="3"/>
        <charset val="134"/>
        <scheme val="minor"/>
      </rPr>
      <t>青峰药业</t>
    </r>
  </si>
  <si>
    <r>
      <rPr>
        <sz val="8"/>
        <rFont val="宋体"/>
        <family val="3"/>
        <charset val="134"/>
        <scheme val="minor"/>
      </rPr>
      <t>高瓴资本</t>
    </r>
  </si>
  <si>
    <r>
      <rPr>
        <sz val="8"/>
        <rFont val="宋体"/>
        <family val="3"/>
        <charset val="134"/>
        <scheme val="minor"/>
      </rPr>
      <t>上实中心北外滩</t>
    </r>
  </si>
  <si>
    <r>
      <rPr>
        <sz val="8"/>
        <rFont val="宋体"/>
        <family val="3"/>
        <charset val="134"/>
        <scheme val="minor"/>
      </rPr>
      <t>虹口区</t>
    </r>
  </si>
  <si>
    <r>
      <rPr>
        <sz val="8"/>
        <rFont val="宋体"/>
        <family val="3"/>
        <charset val="134"/>
        <scheme val="minor"/>
      </rPr>
      <t>上海实业集团</t>
    </r>
  </si>
  <si>
    <r>
      <rPr>
        <sz val="8"/>
        <rFont val="宋体"/>
        <family val="3"/>
        <charset val="134"/>
        <scheme val="minor"/>
      </rPr>
      <t>AIA</t>
    </r>
  </si>
  <si>
    <r>
      <rPr>
        <sz val="8"/>
        <rFont val="宋体"/>
        <family val="3"/>
        <charset val="134"/>
        <scheme val="minor"/>
      </rPr>
      <t>浙铁长风中心1号楼</t>
    </r>
  </si>
  <si>
    <r>
      <rPr>
        <sz val="8"/>
        <rFont val="宋体"/>
        <family val="3"/>
        <charset val="134"/>
        <scheme val="minor"/>
      </rPr>
      <t>上海西部企业集团</t>
    </r>
  </si>
  <si>
    <r>
      <rPr>
        <sz val="8"/>
        <rFont val="宋体"/>
        <family val="3"/>
        <charset val="134"/>
        <scheme val="minor"/>
      </rPr>
      <t>上海西岸国际人工智能中心西楼（4F-26F)</t>
    </r>
  </si>
  <si>
    <r>
      <rPr>
        <sz val="8"/>
        <rFont val="宋体"/>
        <family val="3"/>
        <charset val="134"/>
        <scheme val="minor"/>
      </rPr>
      <t>上海西岸开发</t>
    </r>
  </si>
  <si>
    <r>
      <rPr>
        <sz val="8"/>
        <rFont val="宋体"/>
        <family val="3"/>
        <charset val="134"/>
        <scheme val="minor"/>
      </rPr>
      <t>上海商汤</t>
    </r>
  </si>
  <si>
    <r>
      <rPr>
        <sz val="8"/>
        <rFont val="宋体"/>
        <family val="3"/>
        <charset val="134"/>
        <scheme val="minor"/>
      </rPr>
      <t>上海西岸国际人工智能中心西楼（28F-36F</t>
    </r>
  </si>
  <si>
    <r>
      <rPr>
        <sz val="8"/>
        <rFont val="宋体"/>
        <family val="3"/>
        <charset val="134"/>
        <scheme val="minor"/>
      </rPr>
      <t>中电金信</t>
    </r>
  </si>
  <si>
    <r>
      <rPr>
        <sz val="8"/>
        <rFont val="宋体"/>
        <family val="3"/>
        <charset val="134"/>
        <scheme val="minor"/>
      </rPr>
      <t>张江集贤商务中心2幢</t>
    </r>
  </si>
  <si>
    <r>
      <rPr>
        <sz val="8"/>
        <rFont val="宋体"/>
        <family val="3"/>
        <charset val="134"/>
        <scheme val="minor"/>
      </rPr>
      <t>张江高科</t>
    </r>
  </si>
  <si>
    <r>
      <rPr>
        <sz val="8"/>
        <rFont val="宋体"/>
        <family val="3"/>
        <charset val="134"/>
        <scheme val="minor"/>
      </rPr>
      <t>银联数据</t>
    </r>
  </si>
  <si>
    <r>
      <rPr>
        <sz val="8"/>
        <rFont val="宋体"/>
        <family val="3"/>
        <charset val="134"/>
        <scheme val="minor"/>
      </rPr>
      <t>凯桥文化广场</t>
    </r>
  </si>
  <si>
    <r>
      <rPr>
        <sz val="8"/>
        <rFont val="宋体"/>
        <family val="3"/>
        <charset val="134"/>
        <scheme val="minor"/>
      </rPr>
      <t>新长宁集团</t>
    </r>
  </si>
  <si>
    <r>
      <rPr>
        <sz val="8"/>
        <rFont val="宋体"/>
        <family val="3"/>
        <charset val="134"/>
        <scheme val="minor"/>
      </rPr>
      <t>樊登读书</t>
    </r>
  </si>
  <si>
    <r>
      <rPr>
        <sz val="8"/>
        <rFont val="宋体"/>
        <family val="3"/>
        <charset val="134"/>
        <scheme val="minor"/>
      </rPr>
      <t>虹桥良华商业项目25%股权</t>
    </r>
  </si>
  <si>
    <r>
      <rPr>
        <sz val="8"/>
        <rFont val="宋体"/>
        <family val="3"/>
        <charset val="134"/>
        <scheme val="minor"/>
      </rPr>
      <t>星立方大厦</t>
    </r>
  </si>
  <si>
    <r>
      <rPr>
        <sz val="8"/>
        <rFont val="宋体"/>
        <family val="3"/>
        <charset val="134"/>
        <scheme val="minor"/>
      </rPr>
      <t>金川集团</t>
    </r>
  </si>
  <si>
    <r>
      <rPr>
        <sz val="8"/>
        <rFont val="宋体"/>
        <family val="3"/>
        <charset val="134"/>
        <scheme val="minor"/>
      </rPr>
      <t>无锡市国联发展集团</t>
    </r>
  </si>
  <si>
    <r>
      <rPr>
        <sz val="8"/>
        <rFont val="宋体"/>
        <family val="3"/>
        <charset val="134"/>
        <scheme val="minor"/>
      </rPr>
      <t>久远路388弄</t>
    </r>
  </si>
  <si>
    <r>
      <rPr>
        <sz val="8"/>
        <rFont val="宋体"/>
        <family val="3"/>
        <charset val="134"/>
        <scheme val="minor"/>
      </rPr>
      <t>上海旭统精密电子</t>
    </r>
  </si>
  <si>
    <r>
      <rPr>
        <sz val="8"/>
        <rFont val="宋体"/>
        <family val="3"/>
        <charset val="134"/>
        <scheme val="minor"/>
      </rPr>
      <t>纽文上海资产管理</t>
    </r>
  </si>
  <si>
    <r>
      <rPr>
        <sz val="8"/>
        <rFont val="宋体"/>
        <family val="3"/>
        <charset val="134"/>
        <scheme val="minor"/>
      </rPr>
      <t>德邻公寓</t>
    </r>
  </si>
  <si>
    <r>
      <rPr>
        <sz val="8"/>
        <rFont val="宋体"/>
        <family val="3"/>
        <charset val="134"/>
        <scheme val="minor"/>
      </rPr>
      <t>摩硕投资</t>
    </r>
  </si>
  <si>
    <r>
      <rPr>
        <sz val="8"/>
        <rFont val="宋体"/>
        <family val="3"/>
        <charset val="134"/>
        <scheme val="minor"/>
      </rPr>
      <t>尤安设计</t>
    </r>
  </si>
  <si>
    <r>
      <rPr>
        <sz val="8"/>
        <rFont val="宋体"/>
        <family val="3"/>
        <charset val="134"/>
        <scheme val="minor"/>
      </rPr>
      <t>6号楼1层118、2层213、3层344、4层440号</t>
    </r>
  </si>
  <si>
    <r>
      <rPr>
        <sz val="8"/>
        <rFont val="宋体"/>
        <family val="3"/>
        <charset val="134"/>
        <scheme val="minor"/>
      </rPr>
      <t>北京</t>
    </r>
  </si>
  <si>
    <r>
      <rPr>
        <sz val="8"/>
        <rFont val="宋体"/>
        <family val="3"/>
        <charset val="134"/>
        <scheme val="minor"/>
      </rPr>
      <t>海淀区</t>
    </r>
  </si>
  <si>
    <r>
      <rPr>
        <sz val="8"/>
        <rFont val="宋体"/>
        <family val="3"/>
        <charset val="134"/>
        <scheme val="minor"/>
      </rPr>
      <t>Q1</t>
    </r>
  </si>
  <si>
    <r>
      <rPr>
        <sz val="8"/>
        <rFont val="宋体"/>
        <family val="3"/>
        <charset val="134"/>
        <scheme val="minor"/>
      </rPr>
      <t>北京泽烽投资有限公司</t>
    </r>
  </si>
  <si>
    <r>
      <rPr>
        <sz val="8"/>
        <rFont val="宋体"/>
        <family val="3"/>
        <charset val="134"/>
        <scheme val="minor"/>
      </rPr>
      <t>苏静竹</t>
    </r>
  </si>
  <si>
    <r>
      <rPr>
        <sz val="8"/>
        <rFont val="宋体"/>
        <family val="3"/>
        <charset val="134"/>
        <scheme val="minor"/>
      </rPr>
      <t>玫瑰坊商业中心(法拍）</t>
    </r>
  </si>
  <si>
    <r>
      <rPr>
        <sz val="8"/>
        <rFont val="宋体"/>
        <family val="3"/>
        <charset val="134"/>
        <scheme val="minor"/>
      </rPr>
      <t>通州区</t>
    </r>
  </si>
  <si>
    <r>
      <rPr>
        <sz val="8"/>
        <rFont val="宋体"/>
        <family val="3"/>
        <charset val="134"/>
        <scheme val="minor"/>
      </rPr>
      <t>北京君合百年房地产开发有限公司</t>
    </r>
  </si>
  <si>
    <r>
      <rPr>
        <sz val="8"/>
        <rFont val="宋体"/>
        <family val="3"/>
        <charset val="134"/>
        <scheme val="minor"/>
      </rPr>
      <t>北京通华业科技发展有限公司</t>
    </r>
  </si>
  <si>
    <t>亚奥家和超市</t>
  </si>
  <si>
    <t>北京</t>
  </si>
  <si>
    <t>朝阳区</t>
  </si>
  <si>
    <t>八大处控股</t>
  </si>
  <si>
    <t>翰同资本</t>
  </si>
  <si>
    <t>境内股权交易</t>
  </si>
  <si>
    <r>
      <rPr>
        <sz val="8"/>
        <rFont val="宋体"/>
        <family val="3"/>
        <charset val="134"/>
        <scheme val="minor"/>
      </rPr>
      <t>中骏金辉.未来云城</t>
    </r>
  </si>
  <si>
    <r>
      <rPr>
        <sz val="8"/>
        <rFont val="宋体"/>
        <family val="3"/>
        <charset val="134"/>
        <scheme val="minor"/>
      </rPr>
      <t>大兴区</t>
    </r>
  </si>
  <si>
    <r>
      <rPr>
        <sz val="8"/>
        <rFont val="宋体"/>
        <family val="3"/>
        <charset val="134"/>
        <scheme val="minor"/>
      </rPr>
      <t>中骏/金辉</t>
    </r>
  </si>
  <si>
    <r>
      <rPr>
        <sz val="8"/>
        <rFont val="宋体"/>
        <family val="3"/>
        <charset val="134"/>
        <scheme val="minor"/>
      </rPr>
      <t>KKR/方隅</t>
    </r>
  </si>
  <si>
    <r>
      <rPr>
        <sz val="8"/>
        <rFont val="宋体"/>
        <family val="3"/>
        <charset val="134"/>
        <scheme val="minor"/>
      </rPr>
      <t>北京远洋锐中心34.5%股权</t>
    </r>
  </si>
  <si>
    <r>
      <rPr>
        <sz val="8"/>
        <rFont val="宋体"/>
        <family val="3"/>
        <charset val="134"/>
        <scheme val="minor"/>
      </rPr>
      <t>丰台区</t>
    </r>
  </si>
  <si>
    <r>
      <rPr>
        <sz val="8"/>
        <rFont val="宋体"/>
        <family val="3"/>
        <charset val="134"/>
        <scheme val="minor"/>
      </rPr>
      <t>Q2</t>
    </r>
  </si>
  <si>
    <r>
      <rPr>
        <sz val="8"/>
        <rFont val="宋体"/>
        <family val="3"/>
        <charset val="134"/>
        <scheme val="minor"/>
      </rPr>
      <t>远洋</t>
    </r>
  </si>
  <si>
    <r>
      <rPr>
        <sz val="8"/>
        <rFont val="宋体"/>
        <family val="3"/>
        <charset val="134"/>
        <scheme val="minor"/>
      </rPr>
      <t>平安人寿</t>
    </r>
  </si>
  <si>
    <r>
      <rPr>
        <sz val="8"/>
        <rFont val="宋体"/>
        <family val="3"/>
        <charset val="134"/>
        <scheme val="minor"/>
      </rPr>
      <t>境内股权交易</t>
    </r>
  </si>
  <si>
    <r>
      <rPr>
        <sz val="8"/>
        <rFont val="宋体"/>
        <family val="3"/>
        <charset val="134"/>
        <scheme val="minor"/>
      </rPr>
      <t>北京金融街丽思卡尔顿酒店</t>
    </r>
  </si>
  <si>
    <r>
      <rPr>
        <sz val="8"/>
        <rFont val="宋体"/>
        <family val="3"/>
        <charset val="134"/>
        <scheme val="minor"/>
      </rPr>
      <t>西城区</t>
    </r>
  </si>
  <si>
    <r>
      <rPr>
        <sz val="8"/>
        <rFont val="宋体"/>
        <family val="3"/>
        <charset val="134"/>
        <scheme val="minor"/>
      </rPr>
      <t>酒店</t>
    </r>
  </si>
  <si>
    <r>
      <rPr>
        <sz val="8"/>
        <rFont val="宋体"/>
        <family val="3"/>
        <charset val="134"/>
        <scheme val="minor"/>
      </rPr>
      <t>金融街控股</t>
    </r>
  </si>
  <si>
    <r>
      <rPr>
        <sz val="8"/>
        <rFont val="宋体"/>
        <family val="3"/>
        <charset val="134"/>
        <scheme val="minor"/>
      </rPr>
      <t>金融街投资集团</t>
    </r>
  </si>
  <si>
    <t>颐堤港一期项目50%股权</t>
  </si>
  <si>
    <t>远洋</t>
  </si>
  <si>
    <t>国寿资本</t>
  </si>
  <si>
    <r>
      <rPr>
        <sz val="8"/>
        <rFont val="宋体"/>
        <family val="3"/>
        <charset val="134"/>
        <scheme val="minor"/>
      </rPr>
      <t>福地凰城酒店</t>
    </r>
  </si>
  <si>
    <r>
      <rPr>
        <sz val="8"/>
        <rFont val="宋体"/>
        <family val="3"/>
        <charset val="134"/>
        <scheme val="minor"/>
      </rPr>
      <t>东城区</t>
    </r>
  </si>
  <si>
    <r>
      <rPr>
        <sz val="8"/>
        <rFont val="宋体"/>
        <family val="3"/>
        <charset val="134"/>
        <scheme val="minor"/>
      </rPr>
      <t>翰德东辉</t>
    </r>
  </si>
  <si>
    <r>
      <rPr>
        <sz val="8"/>
        <rFont val="宋体"/>
        <family val="3"/>
        <charset val="134"/>
        <scheme val="minor"/>
      </rPr>
      <t>锦和</t>
    </r>
  </si>
  <si>
    <r>
      <rPr>
        <sz val="8"/>
        <rFont val="宋体"/>
        <family val="3"/>
        <charset val="134"/>
        <scheme val="minor"/>
      </rPr>
      <t>中关村软件园10号楼</t>
    </r>
  </si>
  <si>
    <r>
      <rPr>
        <sz val="8"/>
        <rFont val="宋体"/>
        <family val="3"/>
        <charset val="134"/>
        <scheme val="minor"/>
      </rPr>
      <t>北京永旺融合信息系统有限公司</t>
    </r>
  </si>
  <si>
    <r>
      <rPr>
        <sz val="8"/>
        <rFont val="宋体"/>
        <family val="3"/>
        <charset val="134"/>
        <scheme val="minor"/>
      </rPr>
      <t>北京伟仕佳杰云创科技</t>
    </r>
  </si>
  <si>
    <r>
      <rPr>
        <sz val="8"/>
        <rFont val="宋体"/>
        <family val="3"/>
        <charset val="134"/>
        <scheme val="minor"/>
      </rPr>
      <t>三元NEO-CitiGo酒店</t>
    </r>
  </si>
  <si>
    <r>
      <rPr>
        <sz val="8"/>
        <rFont val="宋体"/>
        <family val="3"/>
        <charset val="134"/>
        <scheme val="minor"/>
      </rPr>
      <t>朝阳区</t>
    </r>
  </si>
  <si>
    <r>
      <rPr>
        <sz val="8"/>
        <rFont val="宋体"/>
        <family val="3"/>
        <charset val="134"/>
        <scheme val="minor"/>
      </rPr>
      <t>翰同资本</t>
    </r>
  </si>
  <si>
    <r>
      <rPr>
        <sz val="8"/>
        <rFont val="宋体"/>
        <family val="3"/>
        <charset val="134"/>
        <scheme val="minor"/>
      </rPr>
      <t>华住/安住此间</t>
    </r>
  </si>
  <si>
    <r>
      <rPr>
        <sz val="8"/>
        <rFont val="宋体"/>
        <family val="3"/>
        <charset val="134"/>
        <scheme val="minor"/>
      </rPr>
      <t>大兴生物医药产业园(80%股权）</t>
    </r>
  </si>
  <si>
    <r>
      <rPr>
        <sz val="8"/>
        <rFont val="宋体"/>
        <family val="3"/>
        <charset val="134"/>
        <scheme val="minor"/>
      </rPr>
      <t>TBD</t>
    </r>
  </si>
  <si>
    <r>
      <rPr>
        <sz val="8"/>
        <rFont val="宋体"/>
        <family val="3"/>
        <charset val="134"/>
        <scheme val="minor"/>
      </rPr>
      <t>康桥资本</t>
    </r>
  </si>
  <si>
    <t>招商蛇口</t>
  </si>
  <si>
    <t>招商局商业房地产投资信托基金</t>
  </si>
  <si>
    <r>
      <rPr>
        <sz val="8"/>
        <rFont val="宋体"/>
        <family val="3"/>
        <charset val="134"/>
        <scheme val="minor"/>
      </rPr>
      <t>中关村西三旗（金隅）科技园1期5号楼</t>
    </r>
  </si>
  <si>
    <r>
      <rPr>
        <sz val="8"/>
        <rFont val="宋体"/>
        <family val="3"/>
        <charset val="134"/>
        <scheme val="minor"/>
      </rPr>
      <t>北京金隅创新科技孵化器有限公司</t>
    </r>
  </si>
  <si>
    <r>
      <rPr>
        <sz val="8"/>
        <rFont val="宋体"/>
        <family val="3"/>
        <charset val="134"/>
        <scheme val="minor"/>
      </rPr>
      <t>拓尔思信息技术有限公司</t>
    </r>
  </si>
  <si>
    <r>
      <rPr>
        <sz val="8"/>
        <rFont val="宋体"/>
        <family val="3"/>
        <charset val="134"/>
        <scheme val="minor"/>
      </rPr>
      <t>大悦时代广场T2楼</t>
    </r>
  </si>
  <si>
    <r>
      <rPr>
        <sz val="8"/>
        <rFont val="宋体"/>
        <family val="3"/>
        <charset val="134"/>
        <scheme val="minor"/>
      </rPr>
      <t>北京农商行</t>
    </r>
  </si>
  <si>
    <r>
      <rPr>
        <sz val="8"/>
        <rFont val="宋体"/>
        <family val="3"/>
        <charset val="134"/>
        <scheme val="minor"/>
      </rPr>
      <t>优士阁</t>
    </r>
  </si>
  <si>
    <r>
      <rPr>
        <sz val="8"/>
        <rFont val="宋体"/>
        <family val="3"/>
        <charset val="134"/>
        <scheme val="minor"/>
      </rPr>
      <t>艺星置业</t>
    </r>
  </si>
  <si>
    <r>
      <rPr>
        <sz val="8"/>
        <rFont val="宋体"/>
        <family val="3"/>
        <charset val="134"/>
        <scheme val="minor"/>
      </rPr>
      <t>金茂广场1#楼</t>
    </r>
  </si>
  <si>
    <r>
      <rPr>
        <sz val="8"/>
        <rFont val="宋体"/>
        <family val="3"/>
        <charset val="134"/>
        <scheme val="minor"/>
      </rPr>
      <t>金茂广场</t>
    </r>
  </si>
  <si>
    <r>
      <rPr>
        <sz val="8"/>
        <rFont val="宋体"/>
        <family val="3"/>
        <charset val="134"/>
        <scheme val="minor"/>
      </rPr>
      <t>某部委下属机构</t>
    </r>
  </si>
  <si>
    <t>博瑞大厦(法拍）</t>
  </si>
  <si>
    <t>Q4</t>
  </si>
  <si>
    <t>大连永嘉集团</t>
  </si>
  <si>
    <t>凯德</t>
  </si>
  <si>
    <r>
      <rPr>
        <sz val="8"/>
        <rFont val="宋体"/>
        <family val="3"/>
        <charset val="134"/>
        <scheme val="minor"/>
      </rPr>
      <t>北京五环大酒店</t>
    </r>
  </si>
  <si>
    <r>
      <rPr>
        <sz val="8"/>
        <rFont val="宋体"/>
        <family val="3"/>
        <charset val="134"/>
        <scheme val="minor"/>
      </rPr>
      <t>北京市第三中级人民法院</t>
    </r>
  </si>
  <si>
    <r>
      <rPr>
        <sz val="8"/>
        <rFont val="宋体"/>
        <family val="3"/>
        <charset val="134"/>
        <scheme val="minor"/>
      </rPr>
      <t>北京亮视医院管理发展有限公司</t>
    </r>
  </si>
  <si>
    <r>
      <rPr>
        <sz val="8"/>
        <rFont val="宋体"/>
        <family val="3"/>
        <charset val="134"/>
        <scheme val="minor"/>
      </rPr>
      <t>诺德中心</t>
    </r>
  </si>
  <si>
    <r>
      <rPr>
        <sz val="8"/>
        <rFont val="宋体"/>
        <family val="3"/>
        <charset val="134"/>
        <scheme val="minor"/>
      </rPr>
      <t>中铁建工</t>
    </r>
  </si>
  <si>
    <r>
      <rPr>
        <sz val="8"/>
        <rFont val="宋体"/>
        <family val="3"/>
        <charset val="134"/>
        <scheme val="minor"/>
      </rPr>
      <t>某新能源公司</t>
    </r>
  </si>
  <si>
    <r>
      <rPr>
        <sz val="8"/>
        <rFont val="宋体"/>
        <family val="3"/>
        <charset val="134"/>
        <scheme val="minor"/>
      </rPr>
      <t>佑安中心</t>
    </r>
  </si>
  <si>
    <r>
      <rPr>
        <sz val="8"/>
        <rFont val="宋体"/>
        <family val="3"/>
        <charset val="134"/>
        <scheme val="minor"/>
      </rPr>
      <t>金茂集团</t>
    </r>
  </si>
  <si>
    <r>
      <rPr>
        <sz val="8"/>
        <rFont val="宋体"/>
        <family val="3"/>
        <charset val="134"/>
        <scheme val="minor"/>
      </rPr>
      <t>山东东明石化</t>
    </r>
  </si>
  <si>
    <r>
      <rPr>
        <sz val="8"/>
        <rFont val="宋体"/>
        <family val="3"/>
        <charset val="134"/>
        <scheme val="minor"/>
      </rPr>
      <t>富力万达嘉华酒店</t>
    </r>
  </si>
  <si>
    <r>
      <rPr>
        <sz val="8"/>
        <rFont val="宋体"/>
        <family val="3"/>
        <charset val="134"/>
        <scheme val="minor"/>
      </rPr>
      <t>石景山区</t>
    </r>
  </si>
  <si>
    <r>
      <rPr>
        <sz val="8"/>
        <rFont val="宋体"/>
        <family val="3"/>
        <charset val="134"/>
        <scheme val="minor"/>
      </rPr>
      <t>富力集团</t>
    </r>
  </si>
  <si>
    <r>
      <rPr>
        <sz val="8"/>
        <rFont val="宋体"/>
        <family val="3"/>
        <charset val="134"/>
        <scheme val="minor"/>
      </rPr>
      <t>北京英协置业投资</t>
    </r>
  </si>
  <si>
    <r>
      <rPr>
        <sz val="8"/>
        <rFont val="宋体"/>
        <family val="3"/>
        <charset val="134"/>
        <scheme val="minor"/>
      </rPr>
      <t>通州富力中心</t>
    </r>
  </si>
  <si>
    <r>
      <rPr>
        <sz val="8"/>
        <rFont val="宋体"/>
        <family val="3"/>
        <charset val="134"/>
        <scheme val="minor"/>
      </rPr>
      <t>中建一局</t>
    </r>
  </si>
  <si>
    <r>
      <rPr>
        <sz val="8"/>
        <rFont val="宋体"/>
        <family val="3"/>
        <charset val="134"/>
        <scheme val="minor"/>
      </rPr>
      <t>招商雍和府</t>
    </r>
  </si>
  <si>
    <r>
      <rPr>
        <sz val="8"/>
        <rFont val="宋体"/>
        <family val="3"/>
        <charset val="134"/>
        <scheme val="minor"/>
      </rPr>
      <t>招商地产</t>
    </r>
  </si>
  <si>
    <r>
      <rPr>
        <sz val="8"/>
        <rFont val="宋体"/>
        <family val="3"/>
        <charset val="134"/>
        <scheme val="minor"/>
      </rPr>
      <t>某投资机构</t>
    </r>
  </si>
  <si>
    <r>
      <rPr>
        <sz val="8"/>
        <rFont val="宋体"/>
        <family val="3"/>
        <charset val="134"/>
        <scheme val="minor"/>
      </rPr>
      <t>冠华大厦</t>
    </r>
  </si>
  <si>
    <r>
      <rPr>
        <sz val="8"/>
        <rFont val="宋体"/>
        <family val="3"/>
        <charset val="134"/>
        <scheme val="minor"/>
      </rPr>
      <t>华润置地</t>
    </r>
  </si>
  <si>
    <r>
      <rPr>
        <sz val="8"/>
        <rFont val="宋体"/>
        <family val="3"/>
        <charset val="134"/>
        <scheme val="minor"/>
      </rPr>
      <t>中国电信</t>
    </r>
  </si>
  <si>
    <r>
      <rPr>
        <sz val="8"/>
        <rFont val="宋体"/>
        <family val="3"/>
        <charset val="134"/>
        <scheme val="minor"/>
      </rPr>
      <t>电子城IT产业园401号楼</t>
    </r>
  </si>
  <si>
    <r>
      <rPr>
        <sz val="8"/>
        <rFont val="宋体"/>
        <family val="3"/>
        <charset val="134"/>
        <scheme val="minor"/>
      </rPr>
      <t>电子城集团</t>
    </r>
  </si>
  <si>
    <r>
      <rPr>
        <sz val="8"/>
        <rFont val="宋体"/>
        <family val="3"/>
        <charset val="134"/>
        <scheme val="minor"/>
      </rPr>
      <t>ABB</t>
    </r>
  </si>
  <si>
    <r>
      <rPr>
        <sz val="8"/>
        <rFont val="宋体"/>
        <family val="3"/>
        <charset val="134"/>
        <scheme val="minor"/>
      </rPr>
      <t>中国金融出版社中心</t>
    </r>
  </si>
  <si>
    <r>
      <rPr>
        <sz val="8"/>
        <rFont val="宋体"/>
        <family val="3"/>
        <charset val="134"/>
        <scheme val="minor"/>
      </rPr>
      <t>中国金融出版社</t>
    </r>
  </si>
  <si>
    <r>
      <rPr>
        <sz val="8"/>
        <rFont val="宋体"/>
        <family val="3"/>
        <charset val="134"/>
        <scheme val="minor"/>
      </rPr>
      <t>通用时代中心BC座</t>
    </r>
  </si>
  <si>
    <r>
      <rPr>
        <sz val="8"/>
        <rFont val="宋体"/>
        <family val="3"/>
        <charset val="134"/>
        <scheme val="minor"/>
      </rPr>
      <t>中国通用技术集团</t>
    </r>
  </si>
  <si>
    <r>
      <rPr>
        <sz val="8"/>
        <rFont val="宋体"/>
        <family val="3"/>
        <charset val="134"/>
        <scheme val="minor"/>
      </rPr>
      <t>国寿资本</t>
    </r>
  </si>
  <si>
    <r>
      <rPr>
        <sz val="8"/>
        <rFont val="宋体"/>
        <family val="3"/>
        <charset val="134"/>
        <scheme val="minor"/>
      </rPr>
      <t>京西大悦城</t>
    </r>
  </si>
  <si>
    <r>
      <rPr>
        <sz val="8"/>
        <rFont val="宋体"/>
        <family val="3"/>
        <charset val="134"/>
        <scheme val="minor"/>
      </rPr>
      <t>大悦城/华远</t>
    </r>
  </si>
  <si>
    <r>
      <rPr>
        <sz val="8"/>
        <rFont val="宋体"/>
        <family val="3"/>
        <charset val="134"/>
        <scheme val="minor"/>
      </rPr>
      <t>聚龙花园</t>
    </r>
  </si>
  <si>
    <r>
      <rPr>
        <sz val="8"/>
        <rFont val="宋体"/>
        <family val="3"/>
        <charset val="134"/>
        <scheme val="minor"/>
      </rPr>
      <t>深圳麦卢卡贸易有限公司</t>
    </r>
  </si>
  <si>
    <r>
      <rPr>
        <sz val="8"/>
        <rFont val="宋体"/>
        <family val="3"/>
        <charset val="134"/>
        <scheme val="minor"/>
      </rPr>
      <t>北京海天瑞声科技股份有限公司</t>
    </r>
  </si>
  <si>
    <r>
      <rPr>
        <sz val="8"/>
        <rFont val="宋体"/>
        <family val="3"/>
        <charset val="134"/>
        <scheme val="minor"/>
      </rPr>
      <t>丰台科技园零售物业</t>
    </r>
  </si>
  <si>
    <r>
      <rPr>
        <sz val="8"/>
        <rFont val="宋体"/>
        <family val="3"/>
        <charset val="134"/>
        <scheme val="minor"/>
      </rPr>
      <t>乐华梅兰</t>
    </r>
  </si>
  <si>
    <r>
      <rPr>
        <sz val="8"/>
        <rFont val="宋体"/>
        <family val="3"/>
        <charset val="134"/>
        <scheme val="minor"/>
      </rPr>
      <t>StorHub(趣存自助仓）</t>
    </r>
  </si>
  <si>
    <r>
      <rPr>
        <sz val="8"/>
        <rFont val="宋体"/>
        <family val="3"/>
        <charset val="134"/>
        <scheme val="minor"/>
      </rPr>
      <t>前海金融中心二期B座37层</t>
    </r>
  </si>
  <si>
    <r>
      <rPr>
        <sz val="8"/>
        <rFont val="宋体"/>
        <family val="3"/>
        <charset val="134"/>
        <scheme val="minor"/>
      </rPr>
      <t>深圳</t>
    </r>
  </si>
  <si>
    <r>
      <rPr>
        <sz val="8"/>
        <rFont val="宋体"/>
        <family val="3"/>
        <charset val="134"/>
        <scheme val="minor"/>
      </rPr>
      <t>南山区</t>
    </r>
  </si>
  <si>
    <r>
      <rPr>
        <sz val="8"/>
        <rFont val="宋体"/>
        <family val="3"/>
        <charset val="134"/>
        <scheme val="minor"/>
      </rPr>
      <t>前海冠泽物业管理有限公司</t>
    </r>
  </si>
  <si>
    <r>
      <rPr>
        <sz val="8"/>
        <rFont val="宋体"/>
        <family val="3"/>
        <charset val="134"/>
        <scheme val="minor"/>
      </rPr>
      <t>富满微电子集团有限公司</t>
    </r>
  </si>
  <si>
    <r>
      <rPr>
        <sz val="8"/>
        <rFont val="宋体"/>
        <family val="3"/>
        <charset val="134"/>
        <scheme val="minor"/>
      </rPr>
      <t>宝安航城大道175号主体商业及裙楼</t>
    </r>
  </si>
  <si>
    <r>
      <rPr>
        <sz val="8"/>
        <rFont val="宋体"/>
        <family val="3"/>
        <charset val="134"/>
        <scheme val="minor"/>
      </rPr>
      <t>宝安区</t>
    </r>
  </si>
  <si>
    <r>
      <rPr>
        <sz val="8"/>
        <rFont val="宋体"/>
        <family val="3"/>
        <charset val="134"/>
        <scheme val="minor"/>
      </rPr>
      <t>深圳市南方航空经济发展有限公司</t>
    </r>
  </si>
  <si>
    <r>
      <rPr>
        <sz val="8"/>
        <rFont val="宋体"/>
        <family val="3"/>
        <charset val="134"/>
        <scheme val="minor"/>
      </rPr>
      <t>欧陆通电子股份有限公司</t>
    </r>
  </si>
  <si>
    <r>
      <rPr>
        <sz val="8"/>
        <rFont val="宋体"/>
        <family val="3"/>
        <charset val="134"/>
        <scheme val="minor"/>
      </rPr>
      <t>凤珍实业发展深圳综合体</t>
    </r>
  </si>
  <si>
    <r>
      <rPr>
        <sz val="8"/>
        <rFont val="宋体"/>
        <family val="3"/>
        <charset val="134"/>
        <scheme val="minor"/>
      </rPr>
      <t>龙岗区</t>
    </r>
  </si>
  <si>
    <r>
      <rPr>
        <sz val="8"/>
        <rFont val="宋体"/>
        <family val="3"/>
        <charset val="134"/>
        <scheme val="minor"/>
      </rPr>
      <t>综合体</t>
    </r>
  </si>
  <si>
    <r>
      <rPr>
        <sz val="8"/>
        <rFont val="宋体"/>
        <family val="3"/>
        <charset val="134"/>
        <scheme val="minor"/>
      </rPr>
      <t>中国城市基础设施集团有限公司</t>
    </r>
  </si>
  <si>
    <r>
      <rPr>
        <sz val="8"/>
        <rFont val="宋体"/>
        <family val="3"/>
        <charset val="134"/>
        <scheme val="minor"/>
      </rPr>
      <t>Sky Climber Development Limited</t>
    </r>
  </si>
  <si>
    <r>
      <rPr>
        <sz val="8"/>
        <rFont val="宋体"/>
        <family val="3"/>
        <charset val="134"/>
        <scheme val="minor"/>
      </rPr>
      <t>境外股权交易</t>
    </r>
  </si>
  <si>
    <r>
      <rPr>
        <sz val="8"/>
        <rFont val="宋体"/>
        <family val="3"/>
        <charset val="134"/>
        <scheme val="minor"/>
      </rPr>
      <t>深铁置业大厦</t>
    </r>
  </si>
  <si>
    <r>
      <rPr>
        <sz val="8"/>
        <rFont val="宋体"/>
        <family val="3"/>
        <charset val="134"/>
        <scheme val="minor"/>
      </rPr>
      <t>福田</t>
    </r>
  </si>
  <si>
    <r>
      <rPr>
        <sz val="8"/>
        <rFont val="宋体"/>
        <family val="3"/>
        <charset val="134"/>
        <scheme val="minor"/>
      </rPr>
      <t>深铁物业</t>
    </r>
  </si>
  <si>
    <r>
      <rPr>
        <sz val="8"/>
        <rFont val="宋体"/>
        <family val="3"/>
        <charset val="134"/>
        <scheme val="minor"/>
      </rPr>
      <t>某银行</t>
    </r>
  </si>
  <si>
    <r>
      <rPr>
        <sz val="8"/>
        <rFont val="宋体"/>
        <family val="3"/>
        <charset val="134"/>
        <scheme val="minor"/>
      </rPr>
      <t>深圳湾科技园办公楼17-19楼</t>
    </r>
  </si>
  <si>
    <r>
      <rPr>
        <sz val="8"/>
        <rFont val="宋体"/>
        <family val="3"/>
        <charset val="134"/>
        <scheme val="minor"/>
      </rPr>
      <t>深圳市投资控股有限公司</t>
    </r>
  </si>
  <si>
    <r>
      <rPr>
        <sz val="8"/>
        <rFont val="宋体"/>
        <family val="3"/>
        <charset val="134"/>
        <scheme val="minor"/>
      </rPr>
      <t>集创北方</t>
    </r>
  </si>
  <si>
    <r>
      <rPr>
        <sz val="8"/>
        <rFont val="宋体"/>
        <family val="3"/>
        <charset val="134"/>
        <scheme val="minor"/>
      </rPr>
      <t>深圳梅林街道产业研发楼</t>
    </r>
  </si>
  <si>
    <r>
      <rPr>
        <sz val="8"/>
        <rFont val="宋体"/>
        <family val="3"/>
        <charset val="134"/>
        <scheme val="minor"/>
      </rPr>
      <t>深圳恒裕联翔投资发展有限公司</t>
    </r>
  </si>
  <si>
    <r>
      <rPr>
        <sz val="8"/>
        <rFont val="宋体"/>
        <family val="3"/>
        <charset val="134"/>
        <scheme val="minor"/>
      </rPr>
      <t>锦欣生殖</t>
    </r>
  </si>
  <si>
    <r>
      <rPr>
        <sz val="8"/>
        <rFont val="宋体"/>
        <family val="3"/>
        <charset val="134"/>
        <scheme val="minor"/>
      </rPr>
      <t>润智研发中心2栋</t>
    </r>
  </si>
  <si>
    <r>
      <rPr>
        <sz val="8"/>
        <rFont val="宋体"/>
        <family val="3"/>
        <charset val="134"/>
        <scheme val="minor"/>
      </rPr>
      <t>深圳瑞凌实业集团</t>
    </r>
  </si>
  <si>
    <r>
      <rPr>
        <sz val="8"/>
        <rFont val="宋体"/>
        <family val="3"/>
        <charset val="134"/>
        <scheme val="minor"/>
      </rPr>
      <t>本斯大厦</t>
    </r>
  </si>
  <si>
    <r>
      <rPr>
        <sz val="8"/>
        <rFont val="宋体"/>
        <family val="3"/>
        <charset val="134"/>
        <scheme val="minor"/>
      </rPr>
      <t>工业厂房</t>
    </r>
  </si>
  <si>
    <r>
      <rPr>
        <sz val="8"/>
        <rFont val="宋体"/>
        <family val="3"/>
        <charset val="134"/>
        <scheme val="minor"/>
      </rPr>
      <t>波音电信通讯有限公司</t>
    </r>
  </si>
  <si>
    <r>
      <rPr>
        <sz val="8"/>
        <rFont val="宋体"/>
        <family val="3"/>
        <charset val="134"/>
        <scheme val="minor"/>
      </rPr>
      <t>上海会畅通讯</t>
    </r>
  </si>
  <si>
    <r>
      <rPr>
        <sz val="8"/>
        <rFont val="宋体"/>
        <family val="3"/>
        <charset val="134"/>
        <scheme val="minor"/>
      </rPr>
      <t>智丰大厦</t>
    </r>
  </si>
  <si>
    <r>
      <rPr>
        <sz val="8"/>
        <rFont val="宋体"/>
        <family val="3"/>
        <charset val="134"/>
        <scheme val="minor"/>
      </rPr>
      <t>罗湖区</t>
    </r>
  </si>
  <si>
    <r>
      <rPr>
        <sz val="8"/>
        <rFont val="宋体"/>
        <family val="3"/>
        <charset val="134"/>
        <scheme val="minor"/>
      </rPr>
      <t>深业泰富</t>
    </r>
  </si>
  <si>
    <r>
      <rPr>
        <sz val="8"/>
        <rFont val="宋体"/>
        <family val="3"/>
        <charset val="134"/>
        <scheme val="minor"/>
      </rPr>
      <t>罗湖控股</t>
    </r>
  </si>
  <si>
    <r>
      <rPr>
        <sz val="8"/>
        <rFont val="宋体"/>
        <family val="3"/>
        <charset val="134"/>
        <scheme val="minor"/>
      </rPr>
      <t>#REF!</t>
    </r>
  </si>
  <si>
    <r>
      <rPr>
        <sz val="8"/>
        <rFont val="宋体"/>
        <family val="3"/>
        <charset val="134"/>
        <scheme val="minor"/>
      </rPr>
      <t>恒大时尚慧谷大厦</t>
    </r>
  </si>
  <si>
    <r>
      <rPr>
        <sz val="8"/>
        <rFont val="宋体"/>
        <family val="3"/>
        <charset val="134"/>
        <scheme val="minor"/>
      </rPr>
      <t>龙华区</t>
    </r>
  </si>
  <si>
    <r>
      <rPr>
        <sz val="8"/>
        <rFont val="宋体"/>
        <family val="3"/>
        <charset val="134"/>
        <scheme val="minor"/>
      </rPr>
      <t>恒大地产</t>
    </r>
  </si>
  <si>
    <r>
      <rPr>
        <sz val="8"/>
        <rFont val="宋体"/>
        <family val="3"/>
        <charset val="134"/>
        <scheme val="minor"/>
      </rPr>
      <t>某债权人</t>
    </r>
  </si>
  <si>
    <r>
      <rPr>
        <sz val="8"/>
        <rFont val="宋体"/>
        <family val="3"/>
        <charset val="134"/>
        <scheme val="minor"/>
      </rPr>
      <t>华联城市商务中心T2</t>
    </r>
  </si>
  <si>
    <r>
      <rPr>
        <sz val="8"/>
        <rFont val="宋体"/>
        <family val="3"/>
        <charset val="134"/>
        <scheme val="minor"/>
      </rPr>
      <t>华联控股</t>
    </r>
  </si>
  <si>
    <r>
      <rPr>
        <sz val="8"/>
        <rFont val="宋体"/>
        <family val="3"/>
        <charset val="134"/>
        <scheme val="minor"/>
      </rPr>
      <t>深圳深汇通投资控股</t>
    </r>
  </si>
  <si>
    <r>
      <rPr>
        <sz val="8"/>
        <rFont val="宋体"/>
        <family val="3"/>
        <charset val="134"/>
        <scheme val="minor"/>
      </rPr>
      <t>京基水贝城市广场</t>
    </r>
  </si>
  <si>
    <r>
      <rPr>
        <sz val="8"/>
        <rFont val="宋体"/>
        <family val="3"/>
        <charset val="134"/>
        <scheme val="minor"/>
      </rPr>
      <t>华侨城</t>
    </r>
  </si>
  <si>
    <r>
      <rPr>
        <sz val="8"/>
        <rFont val="宋体"/>
        <family val="3"/>
        <charset val="134"/>
        <scheme val="minor"/>
      </rPr>
      <t>某珠宝公司</t>
    </r>
  </si>
  <si>
    <r>
      <rPr>
        <sz val="8"/>
        <rFont val="宋体"/>
        <family val="3"/>
        <charset val="134"/>
        <scheme val="minor"/>
      </rPr>
      <t>宏发玺玥大厦</t>
    </r>
  </si>
  <si>
    <r>
      <rPr>
        <sz val="8"/>
        <rFont val="宋体"/>
        <family val="3"/>
        <charset val="134"/>
        <scheme val="minor"/>
      </rPr>
      <t>深圳市宏正达房地产开发有限公司</t>
    </r>
  </si>
  <si>
    <r>
      <rPr>
        <sz val="8"/>
        <rFont val="宋体"/>
        <family val="3"/>
        <charset val="134"/>
        <scheme val="minor"/>
      </rPr>
      <t>宝安区政府平台公司</t>
    </r>
  </si>
  <si>
    <r>
      <rPr>
        <sz val="8"/>
        <rFont val="宋体"/>
        <family val="3"/>
        <charset val="134"/>
        <scheme val="minor"/>
      </rPr>
      <t>番禺邻里时光</t>
    </r>
  </si>
  <si>
    <r>
      <rPr>
        <sz val="8"/>
        <rFont val="宋体"/>
        <family val="3"/>
        <charset val="134"/>
        <scheme val="minor"/>
      </rPr>
      <t>广州</t>
    </r>
  </si>
  <si>
    <r>
      <rPr>
        <sz val="8"/>
        <rFont val="宋体"/>
        <family val="3"/>
        <charset val="134"/>
        <scheme val="minor"/>
      </rPr>
      <t>番禺区</t>
    </r>
  </si>
  <si>
    <r>
      <rPr>
        <sz val="8"/>
        <rFont val="宋体"/>
        <family val="3"/>
        <charset val="134"/>
        <scheme val="minor"/>
      </rPr>
      <t>商业</t>
    </r>
  </si>
  <si>
    <r>
      <rPr>
        <sz val="8"/>
        <rFont val="宋体"/>
        <family val="3"/>
        <charset val="134"/>
        <scheme val="minor"/>
      </rPr>
      <t>雅居乐地产</t>
    </r>
  </si>
  <si>
    <r>
      <rPr>
        <sz val="8"/>
        <rFont val="宋体"/>
        <family val="3"/>
        <charset val="134"/>
        <scheme val="minor"/>
      </rPr>
      <t>私人买家</t>
    </r>
  </si>
  <si>
    <r>
      <rPr>
        <sz val="8"/>
        <rFont val="宋体"/>
        <family val="3"/>
        <charset val="134"/>
        <scheme val="minor"/>
      </rPr>
      <t>股权交易</t>
    </r>
  </si>
  <si>
    <r>
      <rPr>
        <sz val="8"/>
        <rFont val="宋体"/>
        <family val="3"/>
        <charset val="134"/>
        <scheme val="minor"/>
      </rPr>
      <t>广州大学城智慧谷</t>
    </r>
  </si>
  <si>
    <r>
      <rPr>
        <sz val="8"/>
        <rFont val="宋体"/>
        <family val="3"/>
        <charset val="134"/>
        <scheme val="minor"/>
      </rPr>
      <t>碧桂园/思科</t>
    </r>
  </si>
  <si>
    <r>
      <rPr>
        <sz val="8"/>
        <rFont val="宋体"/>
        <family val="3"/>
        <charset val="134"/>
        <scheme val="minor"/>
      </rPr>
      <t>自用买家</t>
    </r>
  </si>
  <si>
    <r>
      <rPr>
        <sz val="8"/>
        <rFont val="宋体"/>
        <family val="3"/>
        <charset val="134"/>
        <scheme val="minor"/>
      </rPr>
      <t>广东小米互联网产业园</t>
    </r>
  </si>
  <si>
    <r>
      <rPr>
        <sz val="8"/>
        <rFont val="宋体"/>
        <family val="3"/>
        <charset val="134"/>
        <scheme val="minor"/>
      </rPr>
      <t>海珠区</t>
    </r>
  </si>
  <si>
    <r>
      <rPr>
        <sz val="8"/>
        <rFont val="宋体"/>
        <family val="3"/>
        <charset val="134"/>
        <scheme val="minor"/>
      </rPr>
      <t>小米</t>
    </r>
  </si>
  <si>
    <r>
      <rPr>
        <sz val="8"/>
        <rFont val="宋体"/>
        <family val="3"/>
        <charset val="134"/>
        <scheme val="minor"/>
      </rPr>
      <t>凯龙瑞</t>
    </r>
  </si>
  <si>
    <r>
      <rPr>
        <sz val="8"/>
        <rFont val="宋体"/>
        <family val="3"/>
        <charset val="134"/>
        <scheme val="minor"/>
      </rPr>
      <t>粤海金融中心T1</t>
    </r>
  </si>
  <si>
    <r>
      <rPr>
        <sz val="8"/>
        <rFont val="宋体"/>
        <family val="3"/>
        <charset val="134"/>
        <scheme val="minor"/>
      </rPr>
      <t>天河区</t>
    </r>
  </si>
  <si>
    <r>
      <rPr>
        <sz val="8"/>
        <rFont val="宋体"/>
        <family val="3"/>
        <charset val="134"/>
        <scheme val="minor"/>
      </rPr>
      <t>粤海集团</t>
    </r>
  </si>
  <si>
    <r>
      <rPr>
        <sz val="8"/>
        <rFont val="宋体"/>
        <family val="3"/>
        <charset val="134"/>
        <scheme val="minor"/>
      </rPr>
      <t>太平洋保险</t>
    </r>
  </si>
  <si>
    <r>
      <rPr>
        <sz val="8"/>
        <rFont val="宋体"/>
        <family val="3"/>
        <charset val="134"/>
        <scheme val="minor"/>
      </rPr>
      <t>祈福新邨</t>
    </r>
  </si>
  <si>
    <r>
      <rPr>
        <sz val="8"/>
        <rFont val="宋体"/>
        <family val="3"/>
        <charset val="134"/>
        <scheme val="minor"/>
      </rPr>
      <t>祈福集团</t>
    </r>
  </si>
  <si>
    <r>
      <rPr>
        <sz val="8"/>
        <rFont val="宋体"/>
        <family val="3"/>
        <charset val="134"/>
        <scheme val="minor"/>
      </rPr>
      <t>TBC</t>
    </r>
  </si>
  <si>
    <r>
      <rPr>
        <sz val="8"/>
        <rFont val="宋体"/>
        <family val="3"/>
        <charset val="134"/>
        <scheme val="minor"/>
      </rPr>
      <t>广州亚运城(53.33%股权）</t>
    </r>
  </si>
  <si>
    <r>
      <rPr>
        <sz val="8"/>
        <rFont val="宋体"/>
        <family val="3"/>
        <charset val="134"/>
        <scheme val="minor"/>
      </rPr>
      <t>广州利合</t>
    </r>
  </si>
  <si>
    <r>
      <rPr>
        <sz val="8"/>
        <rFont val="宋体"/>
        <family val="3"/>
        <charset val="134"/>
        <scheme val="minor"/>
      </rPr>
      <t>中国海外发展</t>
    </r>
  </si>
  <si>
    <r>
      <rPr>
        <sz val="8"/>
        <rFont val="宋体"/>
        <family val="3"/>
        <charset val="134"/>
        <scheme val="minor"/>
      </rPr>
      <t>广州智汇ECO</t>
    </r>
  </si>
  <si>
    <r>
      <rPr>
        <sz val="8"/>
        <rFont val="宋体"/>
        <family val="3"/>
        <charset val="134"/>
        <scheme val="minor"/>
      </rPr>
      <t>碧桂园</t>
    </r>
  </si>
  <si>
    <r>
      <rPr>
        <sz val="8"/>
        <rFont val="宋体"/>
        <family val="3"/>
        <charset val="134"/>
        <scheme val="minor"/>
      </rPr>
      <t>广州国翔发展有限公司</t>
    </r>
  </si>
  <si>
    <r>
      <rPr>
        <sz val="8"/>
        <rFont val="宋体"/>
        <family val="3"/>
        <charset val="134"/>
        <scheme val="minor"/>
      </rPr>
      <t>珠光金融城壹号</t>
    </r>
  </si>
  <si>
    <r>
      <rPr>
        <sz val="8"/>
        <rFont val="宋体"/>
        <family val="3"/>
        <charset val="134"/>
        <scheme val="minor"/>
      </rPr>
      <t>珠光控股</t>
    </r>
  </si>
  <si>
    <r>
      <rPr>
        <sz val="8"/>
        <rFont val="宋体"/>
        <family val="3"/>
        <charset val="134"/>
        <scheme val="minor"/>
      </rPr>
      <t>九江银行</t>
    </r>
  </si>
  <si>
    <r>
      <rPr>
        <sz val="8"/>
        <rFont val="宋体"/>
        <family val="3"/>
        <charset val="134"/>
        <scheme val="minor"/>
      </rPr>
      <t>润慧科技园</t>
    </r>
  </si>
  <si>
    <r>
      <rPr>
        <sz val="8"/>
        <rFont val="宋体"/>
        <family val="3"/>
        <charset val="134"/>
        <scheme val="minor"/>
      </rPr>
      <t>黄埔区</t>
    </r>
  </si>
  <si>
    <r>
      <rPr>
        <sz val="8"/>
        <rFont val="宋体"/>
        <family val="3"/>
        <charset val="134"/>
        <scheme val="minor"/>
      </rPr>
      <t>中金资本</t>
    </r>
  </si>
  <si>
    <r>
      <rPr>
        <sz val="8"/>
        <rFont val="宋体"/>
        <family val="3"/>
        <charset val="134"/>
        <scheme val="minor"/>
      </rPr>
      <t>广州科学城创意大厦</t>
    </r>
  </si>
  <si>
    <r>
      <rPr>
        <sz val="8"/>
        <rFont val="宋体"/>
        <family val="3"/>
        <charset val="134"/>
        <scheme val="minor"/>
      </rPr>
      <t>黄埔区政府平台公司</t>
    </r>
  </si>
  <si>
    <r>
      <rPr>
        <sz val="8"/>
        <rFont val="宋体"/>
        <family val="3"/>
        <charset val="134"/>
        <scheme val="minor"/>
      </rPr>
      <t>易方达基金</t>
    </r>
  </si>
  <si>
    <r>
      <rPr>
        <sz val="8"/>
        <rFont val="宋体"/>
        <family val="3"/>
        <charset val="134"/>
        <scheme val="minor"/>
      </rPr>
      <t>皇庭国际中心写字楼</t>
    </r>
  </si>
  <si>
    <r>
      <rPr>
        <sz val="8"/>
        <rFont val="宋体"/>
        <family val="3"/>
        <charset val="134"/>
        <scheme val="minor"/>
      </rPr>
      <t>成都</t>
    </r>
  </si>
  <si>
    <r>
      <rPr>
        <sz val="8"/>
        <rFont val="宋体"/>
        <family val="3"/>
        <charset val="134"/>
        <scheme val="minor"/>
      </rPr>
      <t>高新区</t>
    </r>
  </si>
  <si>
    <r>
      <rPr>
        <sz val="8"/>
        <rFont val="宋体"/>
        <family val="3"/>
        <charset val="134"/>
        <scheme val="minor"/>
      </rPr>
      <t>深圳皇庭国际</t>
    </r>
  </si>
  <si>
    <r>
      <rPr>
        <sz val="8"/>
        <rFont val="宋体"/>
        <family val="3"/>
        <charset val="134"/>
        <scheme val="minor"/>
      </rPr>
      <t>华银金融</t>
    </r>
  </si>
  <si>
    <r>
      <rPr>
        <sz val="8"/>
        <rFont val="宋体"/>
        <family val="3"/>
        <charset val="134"/>
        <scheme val="minor"/>
      </rPr>
      <t>赛门铁克A&amp;B楼</t>
    </r>
  </si>
  <si>
    <r>
      <rPr>
        <sz val="8"/>
        <rFont val="宋体"/>
        <family val="3"/>
        <charset val="134"/>
        <scheme val="minor"/>
      </rPr>
      <t>武侯区</t>
    </r>
  </si>
  <si>
    <r>
      <rPr>
        <sz val="8"/>
        <rFont val="宋体"/>
        <family val="3"/>
        <charset val="134"/>
        <scheme val="minor"/>
      </rPr>
      <t>赛门铁克</t>
    </r>
  </si>
  <si>
    <r>
      <rPr>
        <sz val="8"/>
        <rFont val="宋体"/>
        <family val="3"/>
        <charset val="134"/>
        <scheme val="minor"/>
      </rPr>
      <t>字节跳动</t>
    </r>
  </si>
  <si>
    <r>
      <rPr>
        <sz val="8"/>
        <rFont val="宋体"/>
        <family val="3"/>
        <charset val="134"/>
        <scheme val="minor"/>
      </rPr>
      <t>艺尚锦江文创中心</t>
    </r>
  </si>
  <si>
    <r>
      <rPr>
        <sz val="8"/>
        <rFont val="宋体"/>
        <family val="3"/>
        <charset val="134"/>
        <scheme val="minor"/>
      </rPr>
      <t>锦江区</t>
    </r>
  </si>
  <si>
    <r>
      <rPr>
        <sz val="8"/>
        <rFont val="宋体"/>
        <family val="3"/>
        <charset val="134"/>
        <scheme val="minor"/>
      </rPr>
      <t>西部印象置业</t>
    </r>
  </si>
  <si>
    <r>
      <rPr>
        <sz val="8"/>
        <rFont val="宋体"/>
        <family val="3"/>
        <charset val="134"/>
        <scheme val="minor"/>
      </rPr>
      <t>盛新锂能</t>
    </r>
  </si>
  <si>
    <r>
      <rPr>
        <sz val="8"/>
        <rFont val="宋体"/>
        <family val="3"/>
        <charset val="134"/>
        <scheme val="minor"/>
      </rPr>
      <t>普汇中金国际中心</t>
    </r>
  </si>
  <si>
    <r>
      <rPr>
        <sz val="8"/>
        <rFont val="宋体"/>
        <family val="3"/>
        <charset val="134"/>
        <scheme val="minor"/>
      </rPr>
      <t>西安</t>
    </r>
  </si>
  <si>
    <r>
      <rPr>
        <sz val="8"/>
        <rFont val="宋体"/>
        <family val="3"/>
        <charset val="134"/>
        <scheme val="minor"/>
      </rPr>
      <t>未央区</t>
    </r>
  </si>
  <si>
    <r>
      <rPr>
        <sz val="8"/>
        <rFont val="宋体"/>
        <family val="3"/>
        <charset val="134"/>
        <scheme val="minor"/>
      </rPr>
      <t>陕西天恒投资有限公司</t>
    </r>
  </si>
  <si>
    <r>
      <rPr>
        <sz val="8"/>
        <rFont val="宋体"/>
        <family val="3"/>
        <charset val="134"/>
        <scheme val="minor"/>
      </rPr>
      <t>世茂茂立方</t>
    </r>
  </si>
  <si>
    <r>
      <rPr>
        <sz val="8"/>
        <rFont val="宋体"/>
        <family val="3"/>
        <charset val="134"/>
        <scheme val="minor"/>
      </rPr>
      <t>成华区</t>
    </r>
  </si>
  <si>
    <r>
      <rPr>
        <sz val="8"/>
        <rFont val="宋体"/>
        <family val="3"/>
        <charset val="134"/>
        <scheme val="minor"/>
      </rPr>
      <t>世茂</t>
    </r>
  </si>
  <si>
    <r>
      <rPr>
        <sz val="8"/>
        <rFont val="宋体"/>
        <family val="3"/>
        <charset val="134"/>
        <scheme val="minor"/>
      </rPr>
      <t>锦江区攀成钢片区项目50%股权</t>
    </r>
  </si>
  <si>
    <r>
      <rPr>
        <sz val="8"/>
        <rFont val="宋体"/>
        <family val="3"/>
        <charset val="134"/>
        <scheme val="minor"/>
      </rPr>
      <t>合景泰富</t>
    </r>
  </si>
  <si>
    <r>
      <rPr>
        <sz val="8"/>
        <rFont val="宋体"/>
        <family val="3"/>
        <charset val="134"/>
        <scheme val="minor"/>
      </rPr>
      <t>香港置地</t>
    </r>
  </si>
  <si>
    <r>
      <rPr>
        <sz val="8"/>
        <rFont val="宋体"/>
        <family val="3"/>
        <charset val="134"/>
        <scheme val="minor"/>
      </rPr>
      <t>欧森国际A栋</t>
    </r>
  </si>
  <si>
    <r>
      <rPr>
        <sz val="8"/>
        <rFont val="宋体"/>
        <family val="3"/>
        <charset val="134"/>
        <scheme val="minor"/>
      </rPr>
      <t>雁塔区</t>
    </r>
  </si>
  <si>
    <r>
      <rPr>
        <sz val="8"/>
        <rFont val="宋体"/>
        <family val="3"/>
        <charset val="134"/>
        <scheme val="minor"/>
      </rPr>
      <t>曲江置业</t>
    </r>
  </si>
  <si>
    <r>
      <rPr>
        <sz val="8"/>
        <rFont val="宋体"/>
        <family val="3"/>
        <charset val="134"/>
        <scheme val="minor"/>
      </rPr>
      <t>中国邮电器材西北有限公司</t>
    </r>
  </si>
  <si>
    <r>
      <rPr>
        <sz val="8"/>
        <rFont val="宋体"/>
        <family val="3"/>
        <charset val="134"/>
        <scheme val="minor"/>
      </rPr>
      <t>陕西国家广告产业园一期</t>
    </r>
  </si>
  <si>
    <r>
      <rPr>
        <sz val="8"/>
        <rFont val="宋体"/>
        <family val="3"/>
        <charset val="134"/>
        <scheme val="minor"/>
      </rPr>
      <t>灞桥区</t>
    </r>
  </si>
  <si>
    <r>
      <rPr>
        <sz val="8"/>
        <rFont val="宋体"/>
        <family val="3"/>
        <charset val="134"/>
        <scheme val="minor"/>
      </rPr>
      <t>陕西广告产业园投资控股有限公司</t>
    </r>
  </si>
  <si>
    <r>
      <rPr>
        <sz val="8"/>
        <rFont val="宋体"/>
        <family val="3"/>
        <charset val="134"/>
        <scheme val="minor"/>
      </rPr>
      <t>西安市安居建设管理集团</t>
    </r>
  </si>
  <si>
    <r>
      <rPr>
        <sz val="8"/>
        <rFont val="宋体"/>
        <family val="3"/>
        <charset val="134"/>
        <scheme val="minor"/>
      </rPr>
      <t>西安万兴达酒店</t>
    </r>
  </si>
  <si>
    <r>
      <rPr>
        <sz val="8"/>
        <rFont val="宋体"/>
        <family val="3"/>
        <charset val="134"/>
        <scheme val="minor"/>
      </rPr>
      <t>莲湖区</t>
    </r>
  </si>
  <si>
    <r>
      <rPr>
        <sz val="8"/>
        <rFont val="宋体"/>
        <family val="3"/>
        <charset val="134"/>
        <scheme val="minor"/>
      </rPr>
      <t>广忻房地产开发有限公司</t>
    </r>
  </si>
  <si>
    <r>
      <rPr>
        <sz val="8"/>
        <rFont val="宋体"/>
        <family val="3"/>
        <charset val="134"/>
        <scheme val="minor"/>
      </rPr>
      <t>西安中铁丝路总部项目1号楼</t>
    </r>
  </si>
  <si>
    <r>
      <rPr>
        <sz val="8"/>
        <rFont val="宋体"/>
        <family val="3"/>
        <charset val="134"/>
        <scheme val="minor"/>
      </rPr>
      <t>西安益茂房地产有限公司</t>
    </r>
  </si>
  <si>
    <r>
      <rPr>
        <sz val="8"/>
        <rFont val="宋体"/>
        <family val="3"/>
        <charset val="134"/>
        <scheme val="minor"/>
      </rPr>
      <t>众兴大厦</t>
    </r>
  </si>
  <si>
    <r>
      <rPr>
        <sz val="8"/>
        <rFont val="宋体"/>
        <family val="3"/>
        <charset val="134"/>
        <scheme val="minor"/>
      </rPr>
      <t>陕西合创盛业地产有限公司</t>
    </r>
  </si>
  <si>
    <r>
      <rPr>
        <sz val="8"/>
        <rFont val="宋体"/>
        <family val="3"/>
        <charset val="134"/>
        <scheme val="minor"/>
      </rPr>
      <t>长安国金中心</t>
    </r>
  </si>
  <si>
    <r>
      <rPr>
        <sz val="8"/>
        <rFont val="宋体"/>
        <family val="3"/>
        <charset val="134"/>
        <scheme val="minor"/>
      </rPr>
      <t>西安海荣青东村房地产开发有限公</t>
    </r>
  </si>
  <si>
    <r>
      <rPr>
        <sz val="8"/>
        <rFont val="宋体"/>
        <family val="3"/>
        <charset val="134"/>
        <scheme val="minor"/>
      </rPr>
      <t>新世纪广场（老三届·悦湖）</t>
    </r>
  </si>
  <si>
    <r>
      <rPr>
        <sz val="8"/>
        <rFont val="宋体"/>
        <family val="3"/>
        <charset val="134"/>
        <scheme val="minor"/>
      </rPr>
      <t>陕西克力房地产开发</t>
    </r>
  </si>
  <si>
    <r>
      <rPr>
        <sz val="8"/>
        <rFont val="宋体"/>
        <family val="3"/>
        <charset val="134"/>
        <scheme val="minor"/>
      </rPr>
      <t>华润置地万象域</t>
    </r>
  </si>
  <si>
    <r>
      <rPr>
        <sz val="8"/>
        <rFont val="宋体"/>
        <family val="3"/>
        <charset val="134"/>
        <scheme val="minor"/>
      </rPr>
      <t>缨东路北侧棚户区改造项目（朗基幸福乐城</t>
    </r>
  </si>
  <si>
    <r>
      <rPr>
        <sz val="8"/>
        <rFont val="宋体"/>
        <family val="3"/>
        <charset val="134"/>
        <scheme val="minor"/>
      </rPr>
      <t>新城区</t>
    </r>
  </si>
  <si>
    <r>
      <rPr>
        <sz val="8"/>
        <rFont val="宋体"/>
        <family val="3"/>
        <charset val="134"/>
        <scheme val="minor"/>
      </rPr>
      <t>西安百益兴东置业有限公司</t>
    </r>
  </si>
  <si>
    <r>
      <rPr>
        <sz val="8"/>
        <rFont val="宋体"/>
        <family val="3"/>
        <charset val="134"/>
        <scheme val="minor"/>
      </rPr>
      <t>复地大华里2号楼</t>
    </r>
  </si>
  <si>
    <t>首创中心项目62#63#65#楼</t>
  </si>
  <si>
    <r>
      <rPr>
        <sz val="8"/>
        <rFont val="宋体"/>
        <family val="3"/>
        <charset val="134"/>
        <scheme val="minor"/>
      </rPr>
      <t>首创</t>
    </r>
  </si>
  <si>
    <t>东三环北路甲26号</t>
    <phoneticPr fontId="3" type="noConversion"/>
  </si>
  <si>
    <t>博瑞大厦</t>
    <phoneticPr fontId="134" type="noConversion"/>
  </si>
  <si>
    <t>正常</t>
  </si>
  <si>
    <t>是否含地下车库</t>
    <phoneticPr fontId="31" type="noConversion"/>
  </si>
  <si>
    <t>是</t>
    <phoneticPr fontId="31" type="noConversion"/>
  </si>
  <si>
    <t>http://fapaiwang.cn/show/view?id=19284</t>
  </si>
  <si>
    <r>
      <t>2</t>
    </r>
    <r>
      <rPr>
        <sz val="11"/>
        <color theme="1"/>
        <rFont val="宋体"/>
        <family val="3"/>
        <charset val="134"/>
        <scheme val="minor"/>
      </rPr>
      <t>010年建成</t>
    </r>
    <phoneticPr fontId="134" type="noConversion"/>
  </si>
  <si>
    <t>比较法-办公</t>
  </si>
  <si>
    <t>朝阳北苑路158号</t>
  </si>
  <si>
    <t>收购商改办</t>
    <phoneticPr fontId="134" type="noConversion"/>
  </si>
  <si>
    <t>是</t>
    <phoneticPr fontId="31" type="noConversion"/>
  </si>
  <si>
    <t>是</t>
    <phoneticPr fontId="31" type="noConversion"/>
  </si>
  <si>
    <t>中融信托大厦</t>
    <phoneticPr fontId="134" type="noConversion"/>
  </si>
  <si>
    <t>七通</t>
  </si>
  <si>
    <t>城市高速路</t>
    <phoneticPr fontId="3" type="noConversion"/>
  </si>
  <si>
    <t>城市快速路</t>
    <phoneticPr fontId="3" type="noConversion"/>
  </si>
  <si>
    <t>城市主干道</t>
    <phoneticPr fontId="3" type="noConversion"/>
  </si>
  <si>
    <t>钢混</t>
    <phoneticPr fontId="31" type="noConversion"/>
  </si>
  <si>
    <t>精装修</t>
  </si>
  <si>
    <t>精装修</t>
    <phoneticPr fontId="31" type="noConversion"/>
  </si>
  <si>
    <t>物业公司管理</t>
  </si>
  <si>
    <t>物业公司管理</t>
    <phoneticPr fontId="31" type="noConversion"/>
  </si>
  <si>
    <t>七通</t>
    <phoneticPr fontId="3" type="noConversion"/>
  </si>
  <si>
    <t>六通</t>
    <phoneticPr fontId="3" type="noConversion"/>
  </si>
  <si>
    <t>五通</t>
    <phoneticPr fontId="3" type="noConversion"/>
  </si>
  <si>
    <t>精装修</t>
    <phoneticPr fontId="3" type="noConversion"/>
  </si>
  <si>
    <t>普通装修</t>
    <phoneticPr fontId="3" type="noConversion"/>
  </si>
  <si>
    <t>简单装修</t>
    <phoneticPr fontId="3" type="noConversion"/>
  </si>
  <si>
    <t>毛坯</t>
    <phoneticPr fontId="3" type="noConversion"/>
  </si>
  <si>
    <t>是</t>
    <phoneticPr fontId="31" type="noConversion"/>
  </si>
  <si>
    <t>否</t>
    <phoneticPr fontId="31" type="noConversion"/>
  </si>
  <si>
    <t>五通</t>
  </si>
  <si>
    <r>
      <t>2</t>
    </r>
    <r>
      <rPr>
        <sz val="11"/>
        <color theme="1"/>
        <rFont val="宋体"/>
        <family val="3"/>
        <charset val="134"/>
        <scheme val="minor"/>
      </rPr>
      <t>015年建成</t>
    </r>
    <phoneticPr fontId="134" type="noConversion"/>
  </si>
  <si>
    <t>城市次干道</t>
    <phoneticPr fontId="31" type="noConversion"/>
  </si>
  <si>
    <t>城市支路</t>
    <phoneticPr fontId="31" type="noConversion"/>
  </si>
  <si>
    <r>
      <rPr>
        <sz val="11"/>
        <rFont val="宋体"/>
        <family val="3"/>
        <charset val="134"/>
      </rPr>
      <t>城市次干道</t>
    </r>
    <r>
      <rPr>
        <sz val="11"/>
        <rFont val="Arial"/>
        <family val="2"/>
      </rPr>
      <t>-</t>
    </r>
    <r>
      <rPr>
        <sz val="11"/>
        <rFont val="宋体"/>
        <family val="3"/>
        <charset val="134"/>
      </rPr>
      <t>七圣北路</t>
    </r>
    <phoneticPr fontId="31" type="noConversion"/>
  </si>
  <si>
    <t>城市快速路</t>
  </si>
  <si>
    <r>
      <rPr>
        <sz val="11"/>
        <rFont val="宋体"/>
        <family val="3"/>
        <charset val="134"/>
      </rPr>
      <t>城市快速路</t>
    </r>
    <r>
      <rPr>
        <sz val="11"/>
        <rFont val="Arial"/>
        <family val="2"/>
      </rPr>
      <t>-</t>
    </r>
    <r>
      <rPr>
        <sz val="11"/>
        <rFont val="宋体"/>
        <family val="3"/>
        <charset val="134"/>
      </rPr>
      <t>东三环北路</t>
    </r>
    <phoneticPr fontId="31" type="noConversion"/>
  </si>
  <si>
    <t>售价</t>
  </si>
  <si>
    <t>项目模式</t>
  </si>
  <si>
    <t>办公楼</t>
  </si>
  <si>
    <t>办公楼</t>
    <phoneticPr fontId="31" type="noConversion"/>
  </si>
  <si>
    <t>押三</t>
  </si>
  <si>
    <t>博瑞大厦</t>
    <phoneticPr fontId="3" type="noConversion"/>
  </si>
  <si>
    <t>城市次干道</t>
  </si>
  <si>
    <t>楼层修正</t>
  </si>
  <si>
    <t>招商局航华科贸中心（46.41%股权）</t>
    <phoneticPr fontId="134" type="noConversion"/>
  </si>
  <si>
    <t>中关村智谷大厦</t>
  </si>
  <si>
    <t>海淀区</t>
  </si>
  <si>
    <t>龙湖</t>
  </si>
  <si>
    <t>浪潮软件</t>
  </si>
  <si>
    <t>https://paimai.jd.com/290973235</t>
    <phoneticPr fontId="134" type="noConversion"/>
  </si>
  <si>
    <t>法拍</t>
  </si>
  <si>
    <t>法拍</t>
    <phoneticPr fontId="31" type="noConversion"/>
  </si>
  <si>
    <t>亚奥家和超市</t>
    <phoneticPr fontId="134" type="noConversion"/>
  </si>
  <si>
    <t>锐中心</t>
    <phoneticPr fontId="134" type="noConversion"/>
  </si>
  <si>
    <t>锐中心</t>
    <phoneticPr fontId="3" type="noConversion"/>
  </si>
  <si>
    <r>
      <rPr>
        <sz val="11"/>
        <rFont val="宋体"/>
        <family val="3"/>
        <charset val="134"/>
      </rPr>
      <t>城市次干道</t>
    </r>
    <r>
      <rPr>
        <sz val="11"/>
        <rFont val="Arial"/>
        <family val="2"/>
      </rPr>
      <t>-</t>
    </r>
    <r>
      <rPr>
        <sz val="11"/>
        <rFont val="宋体"/>
        <family val="3"/>
        <charset val="134"/>
      </rPr>
      <t>骆驼湾街</t>
    </r>
    <phoneticPr fontId="31" type="noConversion"/>
  </si>
  <si>
    <t>https://www.sohu.com/a/635608971_121462046</t>
  </si>
  <si>
    <t>一般</t>
  </si>
  <si>
    <t>土地级别</t>
    <phoneticPr fontId="31" type="noConversion"/>
  </si>
  <si>
    <t>https://otc.cbex.com/sfpm/detail/5AE66098109B7F2ED993D334AC8A4D76.html</t>
  </si>
  <si>
    <t>A</t>
    <phoneticPr fontId="134" type="noConversion"/>
  </si>
  <si>
    <t>B</t>
    <phoneticPr fontId="134" type="noConversion"/>
  </si>
  <si>
    <t>C</t>
    <phoneticPr fontId="134" type="noConversion"/>
  </si>
  <si>
    <t>D</t>
    <phoneticPr fontId="134" type="noConversion"/>
  </si>
  <si>
    <t>E</t>
    <phoneticPr fontId="134" type="noConversion"/>
  </si>
  <si>
    <t>https://www.sohu.com/a/609292684_121471483</t>
  </si>
  <si>
    <t>德胜国际中心</t>
    <phoneticPr fontId="134" type="noConversion"/>
  </si>
  <si>
    <t>A</t>
    <phoneticPr fontId="134" type="noConversion"/>
  </si>
  <si>
    <t>B</t>
    <phoneticPr fontId="134" type="noConversion"/>
  </si>
  <si>
    <t>C</t>
    <phoneticPr fontId="134" type="noConversion"/>
  </si>
  <si>
    <t>D</t>
    <phoneticPr fontId="134" type="noConversion"/>
  </si>
  <si>
    <t>E</t>
    <phoneticPr fontId="134" type="noConversion"/>
  </si>
  <si>
    <t>https://mp.weixin.qq.com/s?src=11&amp;timestamp=1676436003&amp;ver=4351&amp;signature=ksth9m8gx5GBQrYH6IftZshWnxKBUmV-O9pOI0Qm9ESQRxw5bP16rPsgIcsxP3Rm5z3u6zlSkdIi1uh68PXLBXFVWWUPpXtVL-W3FQb6o92j*9SRq*-55WSgnttu70wD&amp;new=1</t>
  </si>
  <si>
    <t>德胜国际中心BE</t>
    <phoneticPr fontId="3" type="noConversion"/>
  </si>
  <si>
    <t>积水潭站889米</t>
    <phoneticPr fontId="31" type="noConversion"/>
  </si>
  <si>
    <r>
      <rPr>
        <sz val="11"/>
        <rFont val="宋体"/>
        <family val="3"/>
        <charset val="134"/>
      </rPr>
      <t>城市快速路</t>
    </r>
    <r>
      <rPr>
        <sz val="11"/>
        <rFont val="Arial"/>
        <family val="2"/>
      </rPr>
      <t>-</t>
    </r>
    <r>
      <rPr>
        <sz val="11"/>
        <rFont val="宋体"/>
        <family val="3"/>
        <charset val="134"/>
      </rPr>
      <t>德胜门外大街</t>
    </r>
    <phoneticPr fontId="31" type="noConversion"/>
  </si>
  <si>
    <t>2008年建成</t>
    <phoneticPr fontId="134" type="noConversion"/>
  </si>
  <si>
    <r>
      <rPr>
        <sz val="11"/>
        <rFont val="宋体"/>
        <family val="3"/>
        <charset val="134"/>
      </rPr>
      <t>丽泽商务区站</t>
    </r>
    <r>
      <rPr>
        <sz val="11"/>
        <rFont val="Arial"/>
        <family val="2"/>
      </rPr>
      <t>425</t>
    </r>
    <r>
      <rPr>
        <sz val="11"/>
        <rFont val="宋体"/>
        <family val="3"/>
        <charset val="134"/>
      </rPr>
      <t>米</t>
    </r>
    <phoneticPr fontId="31" type="noConversion"/>
  </si>
  <si>
    <t>综合体</t>
    <phoneticPr fontId="31" type="noConversion"/>
  </si>
  <si>
    <t>光熙门536米</t>
    <phoneticPr fontId="40" type="noConversion"/>
  </si>
  <si>
    <r>
      <rPr>
        <sz val="11"/>
        <rFont val="宋体"/>
        <family val="3"/>
        <charset val="134"/>
      </rPr>
      <t>呼家楼</t>
    </r>
    <r>
      <rPr>
        <sz val="11"/>
        <rFont val="Arial"/>
        <family val="2"/>
      </rPr>
      <t>539</t>
    </r>
    <r>
      <rPr>
        <sz val="11"/>
        <rFont val="宋体"/>
        <family val="3"/>
        <charset val="134"/>
      </rPr>
      <t>米</t>
    </r>
    <phoneticPr fontId="31" type="noConversion"/>
  </si>
  <si>
    <t>租赁期间</t>
    <phoneticPr fontId="134" type="noConversion"/>
  </si>
  <si>
    <t>租赁面积</t>
    <phoneticPr fontId="134" type="noConversion"/>
  </si>
  <si>
    <t>含税单价
（元/平方米/月）</t>
    <phoneticPr fontId="134" type="noConversion"/>
  </si>
  <si>
    <t>不含税单价
（元/平方米/月）</t>
    <phoneticPr fontId="134" type="noConversion"/>
  </si>
  <si>
    <t>含税年租金（元）</t>
    <phoneticPr fontId="134" type="noConversion"/>
  </si>
  <si>
    <t>不含税年租金（元）</t>
    <phoneticPr fontId="134" type="noConversion"/>
  </si>
  <si>
    <t>现状用途</t>
    <phoneticPr fontId="134" type="noConversion"/>
  </si>
  <si>
    <t>地上2层至地上6层（F2-F6）租金明细</t>
    <phoneticPr fontId="134" type="noConversion"/>
  </si>
  <si>
    <t>B座</t>
  </si>
  <si>
    <t>车库</t>
    <phoneticPr fontId="134" type="noConversion"/>
  </si>
  <si>
    <t>第一个计租年度</t>
    <phoneticPr fontId="134" type="noConversion"/>
  </si>
  <si>
    <t>车库</t>
    <phoneticPr fontId="134" type="noConversion"/>
  </si>
  <si>
    <t>第二个计租年度</t>
    <phoneticPr fontId="134" type="noConversion"/>
  </si>
  <si>
    <t>车库</t>
    <phoneticPr fontId="134" type="noConversion"/>
  </si>
  <si>
    <t>车位面积</t>
    <phoneticPr fontId="134" type="noConversion"/>
  </si>
  <si>
    <t>车位个数</t>
    <phoneticPr fontId="134" type="noConversion"/>
  </si>
  <si>
    <t>套均面积</t>
    <phoneticPr fontId="134" type="noConversion"/>
  </si>
  <si>
    <t>第三个计租年度</t>
    <phoneticPr fontId="134" type="noConversion"/>
  </si>
  <si>
    <t>第四个计租年度</t>
    <phoneticPr fontId="134" type="noConversion"/>
  </si>
  <si>
    <t>商业</t>
    <phoneticPr fontId="134" type="noConversion"/>
  </si>
  <si>
    <t>地上1层（F1）租金明细</t>
    <phoneticPr fontId="134" type="noConversion"/>
  </si>
  <si>
    <t>商业</t>
    <phoneticPr fontId="134" type="noConversion"/>
  </si>
  <si>
    <t>总土地面积</t>
    <phoneticPr fontId="3" type="noConversion"/>
  </si>
  <si>
    <t>总土地面积</t>
    <phoneticPr fontId="3" type="noConversion"/>
  </si>
  <si>
    <t xml:space="preserve"> </t>
    <phoneticPr fontId="134" type="noConversion"/>
  </si>
  <si>
    <t>第一个计租年度</t>
    <phoneticPr fontId="134" type="noConversion"/>
  </si>
  <si>
    <t>办公</t>
    <phoneticPr fontId="134" type="noConversion"/>
  </si>
  <si>
    <t>总建筑面积</t>
    <phoneticPr fontId="3" type="noConversion"/>
  </si>
  <si>
    <t>出让建筑面积</t>
    <phoneticPr fontId="134" type="noConversion"/>
  </si>
  <si>
    <t xml:space="preserve"> </t>
    <phoneticPr fontId="134" type="noConversion"/>
  </si>
  <si>
    <t>第二个计租年度</t>
    <phoneticPr fontId="134" type="noConversion"/>
  </si>
  <si>
    <t>办公</t>
    <phoneticPr fontId="134" type="noConversion"/>
  </si>
  <si>
    <t>容积率</t>
    <phoneticPr fontId="3" type="noConversion"/>
  </si>
  <si>
    <t>出让容积率</t>
    <phoneticPr fontId="134" type="noConversion"/>
  </si>
  <si>
    <t>第三个计租年度</t>
    <phoneticPr fontId="134" type="noConversion"/>
  </si>
  <si>
    <t>办公</t>
    <phoneticPr fontId="134" type="noConversion"/>
  </si>
  <si>
    <t>分摊土地面积</t>
    <phoneticPr fontId="134" type="noConversion"/>
  </si>
  <si>
    <t>出让分摊土地面积</t>
    <phoneticPr fontId="134" type="noConversion"/>
  </si>
  <si>
    <t>第四个计租年度</t>
    <phoneticPr fontId="134" type="noConversion"/>
  </si>
  <si>
    <t>办公</t>
    <phoneticPr fontId="134" type="noConversion"/>
  </si>
  <si>
    <t>地下1层（B1）租金明细</t>
    <phoneticPr fontId="134" type="noConversion"/>
  </si>
  <si>
    <t>第一个计租年度</t>
    <phoneticPr fontId="134" type="noConversion"/>
  </si>
  <si>
    <t>附属用房</t>
  </si>
  <si>
    <t>地下车库</t>
    <phoneticPr fontId="134" type="noConversion"/>
  </si>
  <si>
    <t>地下仓储</t>
    <phoneticPr fontId="134" type="noConversion"/>
  </si>
  <si>
    <t>第三个计租年度</t>
    <phoneticPr fontId="134" type="noConversion"/>
  </si>
  <si>
    <t>地下办公</t>
    <phoneticPr fontId="134" type="noConversion"/>
  </si>
  <si>
    <t>第四个计租年度</t>
    <phoneticPr fontId="134" type="noConversion"/>
  </si>
  <si>
    <t>商业</t>
    <phoneticPr fontId="134" type="noConversion"/>
  </si>
  <si>
    <t>合计</t>
    <phoneticPr fontId="134" type="noConversion"/>
  </si>
  <si>
    <t>租赁期间</t>
    <phoneticPr fontId="134" type="noConversion"/>
  </si>
  <si>
    <t>租赁面积</t>
    <phoneticPr fontId="134" type="noConversion"/>
  </si>
  <si>
    <t>含税单价
（元/平方米/月）</t>
    <phoneticPr fontId="134" type="noConversion"/>
  </si>
  <si>
    <t>不含税单价
（元/平方米/月）</t>
    <phoneticPr fontId="134" type="noConversion"/>
  </si>
  <si>
    <t>含税年租金（元）</t>
    <phoneticPr fontId="134" type="noConversion"/>
  </si>
  <si>
    <t>不含税年租金（元）</t>
    <phoneticPr fontId="134" type="noConversion"/>
  </si>
  <si>
    <t>办公</t>
    <phoneticPr fontId="134" type="noConversion"/>
  </si>
  <si>
    <t>第二个计租年度</t>
    <phoneticPr fontId="134" type="noConversion"/>
  </si>
  <si>
    <t>第三个计租年度</t>
    <phoneticPr fontId="134" type="noConversion"/>
  </si>
  <si>
    <t>第四个计租年度</t>
    <phoneticPr fontId="134" type="noConversion"/>
  </si>
  <si>
    <t>月租金</t>
    <phoneticPr fontId="134" type="noConversion"/>
  </si>
  <si>
    <t>日租金</t>
    <phoneticPr fontId="134" type="noConversion"/>
  </si>
  <si>
    <t>融中心B座</t>
    <phoneticPr fontId="3" type="noConversion"/>
  </si>
  <si>
    <t>办公</t>
    <phoneticPr fontId="31" type="noConversion"/>
  </si>
  <si>
    <t>商业</t>
    <phoneticPr fontId="31" type="noConversion"/>
  </si>
  <si>
    <t>三个月物业管理费</t>
    <phoneticPr fontId="134" type="noConversion"/>
  </si>
  <si>
    <t>3个月租金</t>
    <phoneticPr fontId="134" type="noConversion"/>
  </si>
  <si>
    <t>保证金合计</t>
    <phoneticPr fontId="134"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</si>
</sst>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3">
    <numFmt numFmtId="43" formatCode="_ * #,##0.00_ ;_ * \-#,##0.00_ ;_ * &quot;-&quot;??_ ;_ @_ "/>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0.00_ "/>
    <numFmt numFmtId="197" formatCode="_ * #,##0.000_ ;_ * \-#,##0.000_ ;_ * &quot;-&quot;??_ ;_ @_ "/>
  </numFmts>
  <fonts count="28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theme="1"/>
      <name val="Arial Narrow"/>
      <family val="2"/>
    </font>
    <font>
      <sz val="9"/>
      <color rgb="FFFF0000"/>
      <name val="宋体"/>
      <family val="3"/>
      <charset val="134"/>
      <scheme val="minor"/>
    </font>
    <font>
      <sz val="12"/>
      <color theme="1"/>
      <name val="宋体"/>
      <family val="2"/>
      <scheme val="minor"/>
    </font>
    <font>
      <sz val="10"/>
      <color rgb="FFFF0000"/>
      <name val="Arial Narrow"/>
      <family val="2"/>
    </font>
    <font>
      <sz val="11"/>
      <color theme="1"/>
      <name val="宋体"/>
      <family val="3"/>
      <charset val="134"/>
      <scheme val="minor"/>
    </font>
    <font>
      <sz val="10"/>
      <color rgb="FF000000"/>
      <name val="Times New Roman"/>
      <family val="1"/>
    </font>
    <font>
      <b/>
      <sz val="11"/>
      <color rgb="FF000000"/>
      <name val="宋体"/>
      <family val="3"/>
      <charset val="134"/>
      <scheme val="minor"/>
    </font>
    <font>
      <b/>
      <sz val="11"/>
      <name val="宋体"/>
      <family val="3"/>
      <charset val="134"/>
      <scheme val="minor"/>
    </font>
    <font>
      <sz val="9"/>
      <color rgb="FF000000"/>
      <name val="宋体"/>
      <family val="3"/>
      <charset val="134"/>
      <scheme val="minor"/>
    </font>
    <font>
      <sz val="8"/>
      <color rgb="FF000000"/>
      <name val="宋体"/>
      <family val="3"/>
      <charset val="134"/>
      <scheme val="minor"/>
    </font>
    <font>
      <sz val="8"/>
      <name val="宋体"/>
      <family val="3"/>
      <charset val="134"/>
      <scheme val="minor"/>
    </font>
    <font>
      <sz val="8"/>
      <color rgb="FFFF0000"/>
      <name val="宋体"/>
      <family val="3"/>
      <charset val="134"/>
      <scheme val="minor"/>
    </font>
    <font>
      <sz val="11"/>
      <color rgb="FF000000"/>
      <name val="宋体"/>
      <family val="2"/>
      <charset val="134"/>
    </font>
    <font>
      <sz val="11"/>
      <name val="宋体"/>
      <family val="2"/>
      <charset val="134"/>
    </font>
    <font>
      <u/>
      <sz val="11"/>
      <color theme="10"/>
      <name val="宋体"/>
      <family val="3"/>
      <charset val="134"/>
      <scheme val="minor"/>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FFFFFF"/>
      </patternFill>
    </fill>
  </fills>
  <borders count="17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
      <left style="dashed">
        <color auto="1"/>
      </left>
      <right style="dashed">
        <color auto="1"/>
      </right>
      <top style="dashed">
        <color auto="1"/>
      </top>
      <bottom style="dashed">
        <color auto="1"/>
      </bottom>
      <diagonal/>
    </border>
  </borders>
  <cellStyleXfs count="27">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xf numFmtId="43" fontId="95" fillId="0" borderId="0" applyFont="0" applyFill="0" applyBorder="0" applyAlignment="0" applyProtection="0">
      <alignment vertical="center"/>
    </xf>
    <xf numFmtId="43" fontId="95" fillId="0" borderId="0" applyFont="0" applyFill="0" applyBorder="0" applyAlignment="0" applyProtection="0">
      <alignment vertical="center"/>
    </xf>
    <xf numFmtId="9" fontId="95" fillId="0" borderId="0" applyFont="0" applyFill="0" applyBorder="0" applyAlignment="0" applyProtection="0">
      <alignment vertical="center"/>
    </xf>
    <xf numFmtId="0" fontId="271" fillId="0" borderId="0"/>
    <xf numFmtId="43" fontId="273" fillId="0" borderId="0" applyFont="0" applyFill="0" applyBorder="0" applyAlignment="0" applyProtection="0">
      <alignment vertical="center"/>
    </xf>
    <xf numFmtId="0" fontId="274" fillId="0" borderId="0"/>
    <xf numFmtId="43" fontId="274" fillId="0" borderId="0" applyFont="0" applyFill="0" applyBorder="0" applyAlignment="0" applyProtection="0">
      <alignment vertical="center"/>
    </xf>
    <xf numFmtId="0" fontId="283" fillId="0" borderId="0" applyNumberFormat="0" applyFill="0" applyBorder="0" applyAlignment="0" applyProtection="0">
      <alignment vertical="center"/>
    </xf>
  </cellStyleXfs>
  <cellXfs count="3904">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10" fontId="99" fillId="0" borderId="0" xfId="9" applyNumberFormat="1" applyFont="1" applyFill="1" applyBorder="1" applyAlignment="1" applyProtection="1">
      <alignment horizontal="left" vertical="center"/>
    </xf>
    <xf numFmtId="0" fontId="77" fillId="0" borderId="0" xfId="0" applyFont="1" applyFill="1" applyBorder="1" applyAlignment="1" applyProtection="1">
      <alignment vertical="center"/>
      <protection locked="0"/>
    </xf>
    <xf numFmtId="43" fontId="270" fillId="0" borderId="0" xfId="10" applyNumberFormat="1" applyFont="1">
      <alignment vertical="center"/>
    </xf>
    <xf numFmtId="43" fontId="246" fillId="5" borderId="0" xfId="10" applyNumberFormat="1" applyFont="1" applyFill="1">
      <alignment vertical="center"/>
    </xf>
    <xf numFmtId="43" fontId="246" fillId="0" borderId="0" xfId="10" applyNumberFormat="1" applyFont="1">
      <alignment vertical="center"/>
    </xf>
    <xf numFmtId="0" fontId="246" fillId="0" borderId="0" xfId="10" applyFont="1">
      <alignment vertical="center"/>
    </xf>
    <xf numFmtId="0" fontId="246" fillId="0" borderId="176" xfId="10" applyFont="1" applyBorder="1">
      <alignment vertical="center"/>
    </xf>
    <xf numFmtId="196" fontId="246" fillId="0" borderId="176" xfId="10" applyNumberFormat="1" applyFont="1" applyBorder="1">
      <alignment vertical="center"/>
    </xf>
    <xf numFmtId="0" fontId="246" fillId="0" borderId="176" xfId="10" applyFont="1" applyFill="1" applyBorder="1">
      <alignment vertical="center"/>
    </xf>
    <xf numFmtId="196" fontId="246" fillId="0" borderId="176" xfId="10" applyNumberFormat="1" applyFont="1" applyFill="1" applyBorder="1">
      <alignment vertical="center"/>
    </xf>
    <xf numFmtId="0" fontId="246" fillId="0" borderId="176" xfId="10" applyFont="1" applyBorder="1" applyAlignment="1">
      <alignment horizontal="center" vertical="center"/>
    </xf>
    <xf numFmtId="196" fontId="122" fillId="0" borderId="0" xfId="10" applyNumberFormat="1" applyFont="1" applyFill="1">
      <alignment vertical="center"/>
    </xf>
    <xf numFmtId="0" fontId="246" fillId="0" borderId="0" xfId="10" applyFont="1" applyBorder="1">
      <alignment vertical="center"/>
    </xf>
    <xf numFmtId="196" fontId="246" fillId="0" borderId="0" xfId="10" applyNumberFormat="1" applyFont="1" applyBorder="1">
      <alignment vertical="center"/>
    </xf>
    <xf numFmtId="0" fontId="246" fillId="0" borderId="0" xfId="10" applyFont="1" applyAlignment="1">
      <alignment horizontal="right" vertical="center"/>
    </xf>
    <xf numFmtId="0" fontId="246" fillId="0" borderId="0" xfId="10" applyFont="1" applyAlignment="1">
      <alignment vertical="center" wrapText="1"/>
    </xf>
    <xf numFmtId="0" fontId="246" fillId="0" borderId="1" xfId="10" applyFont="1" applyBorder="1" applyAlignment="1">
      <alignment vertical="center" wrapText="1"/>
    </xf>
    <xf numFmtId="0" fontId="246" fillId="0" borderId="1" xfId="10" applyFont="1" applyBorder="1">
      <alignment vertical="center"/>
    </xf>
    <xf numFmtId="9" fontId="246" fillId="0" borderId="0" xfId="21" applyFont="1" applyAlignment="1">
      <alignment vertical="center" wrapText="1"/>
    </xf>
    <xf numFmtId="9" fontId="246" fillId="0" borderId="0" xfId="21" applyFont="1">
      <alignment vertical="center"/>
    </xf>
    <xf numFmtId="0" fontId="246" fillId="5" borderId="0" xfId="10" applyFont="1" applyFill="1" applyBorder="1">
      <alignment vertical="center"/>
    </xf>
    <xf numFmtId="0" fontId="246" fillId="5" borderId="0" xfId="10" applyFont="1" applyFill="1">
      <alignment vertical="center"/>
    </xf>
    <xf numFmtId="0" fontId="270" fillId="5" borderId="0" xfId="10" applyFont="1" applyFill="1">
      <alignment vertical="center"/>
    </xf>
    <xf numFmtId="196" fontId="129" fillId="5" borderId="0" xfId="10" applyNumberFormat="1" applyFont="1" applyFill="1">
      <alignment vertical="center"/>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7" fillId="6" borderId="36" xfId="0" applyFont="1" applyFill="1" applyBorder="1" applyAlignment="1" applyProtection="1">
      <alignment horizontal="left" vertical="center"/>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77" fillId="12" borderId="0" xfId="0" applyFont="1" applyFill="1" applyAlignment="1" applyProtection="1">
      <alignment vertical="center"/>
      <protection locked="0"/>
    </xf>
    <xf numFmtId="9" fontId="47" fillId="12" borderId="0" xfId="21" applyFont="1" applyFill="1" applyAlignment="1" applyProtection="1">
      <alignment vertical="center"/>
      <protection locked="0"/>
    </xf>
    <xf numFmtId="43" fontId="44" fillId="0" borderId="3" xfId="0" applyNumberFormat="1" applyFont="1" applyBorder="1" applyAlignment="1" applyProtection="1">
      <alignment vertical="center"/>
      <protection locked="0"/>
    </xf>
    <xf numFmtId="179" fontId="44" fillId="0" borderId="1" xfId="0" applyNumberFormat="1" applyFont="1" applyBorder="1" applyAlignment="1" applyProtection="1">
      <alignment horizontal="center" vertical="center"/>
      <protection locked="0"/>
    </xf>
    <xf numFmtId="43" fontId="52" fillId="6" borderId="1" xfId="0" applyNumberFormat="1" applyFont="1" applyFill="1" applyBorder="1" applyAlignment="1" applyProtection="1">
      <alignment horizontal="center" vertical="center"/>
      <protection locked="0"/>
    </xf>
    <xf numFmtId="0" fontId="95" fillId="0" borderId="0" xfId="0" applyFont="1">
      <alignment vertical="center"/>
    </xf>
    <xf numFmtId="0" fontId="0" fillId="0" borderId="0" xfId="0" applyAlignment="1">
      <alignment vertical="center" shrinkToFit="1"/>
    </xf>
    <xf numFmtId="0" fontId="275" fillId="19" borderId="60" xfId="24" applyFont="1" applyFill="1" applyBorder="1" applyAlignment="1">
      <alignment vertical="center"/>
    </xf>
    <xf numFmtId="43" fontId="275" fillId="19" borderId="60" xfId="25" applyFont="1" applyFill="1" applyBorder="1" applyAlignment="1">
      <alignment vertical="center"/>
    </xf>
    <xf numFmtId="0" fontId="277" fillId="22" borderId="0" xfId="24" applyFont="1" applyFill="1" applyBorder="1" applyAlignment="1">
      <alignment horizontal="left" vertical="center"/>
    </xf>
    <xf numFmtId="0" fontId="278" fillId="22" borderId="1" xfId="24" applyFont="1" applyFill="1" applyBorder="1" applyAlignment="1">
      <alignment horizontal="left" vertical="center"/>
    </xf>
    <xf numFmtId="43" fontId="278" fillId="22" borderId="1" xfId="25" applyFont="1" applyFill="1" applyBorder="1" applyAlignment="1">
      <alignment horizontal="left" vertical="center"/>
    </xf>
    <xf numFmtId="0" fontId="278" fillId="22" borderId="0" xfId="24" applyFont="1" applyFill="1" applyBorder="1" applyAlignment="1">
      <alignment horizontal="left" vertical="center"/>
    </xf>
    <xf numFmtId="0" fontId="280" fillId="22" borderId="1" xfId="24" applyFont="1" applyFill="1" applyBorder="1" applyAlignment="1">
      <alignment horizontal="left" vertical="center"/>
    </xf>
    <xf numFmtId="43" fontId="280" fillId="22" borderId="1" xfId="25" applyFont="1" applyFill="1" applyBorder="1" applyAlignment="1">
      <alignment horizontal="left" vertical="center"/>
    </xf>
    <xf numFmtId="0" fontId="280" fillId="22" borderId="0" xfId="24" applyFont="1" applyFill="1" applyBorder="1" applyAlignment="1">
      <alignment horizontal="left" vertical="center"/>
    </xf>
    <xf numFmtId="43" fontId="277" fillId="22" borderId="0" xfId="25" applyFont="1" applyFill="1" applyBorder="1" applyAlignment="1">
      <alignment horizontal="left" vertical="center"/>
    </xf>
    <xf numFmtId="0" fontId="280" fillId="5" borderId="1" xfId="24" applyFont="1" applyFill="1" applyBorder="1" applyAlignment="1">
      <alignment horizontal="left" vertical="center"/>
    </xf>
    <xf numFmtId="43" fontId="280" fillId="5" borderId="1" xfId="25" applyFont="1" applyFill="1" applyBorder="1" applyAlignment="1">
      <alignment horizontal="left" vertical="center"/>
    </xf>
    <xf numFmtId="0" fontId="280" fillId="5" borderId="0" xfId="24" applyFont="1" applyFill="1" applyBorder="1" applyAlignment="1">
      <alignment horizontal="left" vertical="center"/>
    </xf>
    <xf numFmtId="0" fontId="95" fillId="0" borderId="0" xfId="0" applyFont="1" applyAlignment="1">
      <alignment vertical="center" shrinkToFit="1"/>
    </xf>
    <xf numFmtId="0" fontId="128" fillId="0" borderId="51" xfId="0" applyNumberFormat="1" applyFont="1" applyFill="1" applyBorder="1" applyAlignment="1" applyProtection="1">
      <alignment horizontal="center" vertical="center" wrapText="1"/>
      <protection locked="0"/>
    </xf>
    <xf numFmtId="14" fontId="95" fillId="0" borderId="0" xfId="0" applyNumberFormat="1" applyFont="1" applyAlignment="1">
      <alignment vertical="center" shrinkToFit="1"/>
    </xf>
    <xf numFmtId="14" fontId="0" fillId="0" borderId="0" xfId="0" applyNumberFormat="1" applyAlignment="1">
      <alignment vertical="center" shrinkToFit="1"/>
    </xf>
    <xf numFmtId="43" fontId="0" fillId="0" borderId="0" xfId="23" applyFont="1" applyAlignment="1">
      <alignment vertical="center" shrinkToFit="1"/>
    </xf>
    <xf numFmtId="0" fontId="128" fillId="0" borderId="5" xfId="0" applyFont="1" applyFill="1" applyBorder="1" applyAlignment="1" applyProtection="1">
      <alignment horizontal="center" vertical="center" wrapText="1"/>
      <protection locked="0"/>
    </xf>
    <xf numFmtId="0" fontId="128" fillId="0" borderId="37" xfId="0" applyNumberFormat="1" applyFont="1" applyFill="1" applyBorder="1" applyAlignment="1" applyProtection="1">
      <alignment horizontal="center" vertical="center" wrapText="1"/>
      <protection locked="0"/>
    </xf>
    <xf numFmtId="0" fontId="128" fillId="0" borderId="41" xfId="0" applyNumberFormat="1" applyFont="1" applyFill="1" applyBorder="1" applyAlignment="1" applyProtection="1">
      <alignment horizontal="center" vertical="center" wrapText="1"/>
      <protection locked="0"/>
    </xf>
    <xf numFmtId="0" fontId="51" fillId="12" borderId="0" xfId="0" applyNumberFormat="1" applyFont="1" applyFill="1" applyAlignment="1" applyProtection="1">
      <alignment horizontal="center" vertical="center"/>
      <protection locked="0"/>
    </xf>
    <xf numFmtId="0" fontId="281" fillId="0" borderId="44"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282" fillId="0" borderId="44" xfId="0" applyNumberFormat="1" applyFont="1" applyFill="1" applyBorder="1" applyAlignment="1" applyProtection="1">
      <alignment horizontal="center" vertical="center" wrapText="1"/>
      <protection locked="0"/>
    </xf>
    <xf numFmtId="9" fontId="0" fillId="0" borderId="0" xfId="17" applyFont="1" applyAlignment="1">
      <alignment vertical="center" shrinkToFit="1"/>
    </xf>
    <xf numFmtId="176" fontId="51" fillId="0" borderId="44" xfId="0" applyNumberFormat="1" applyFont="1" applyFill="1" applyBorder="1" applyAlignment="1" applyProtection="1">
      <alignment horizontal="center" vertical="center" wrapText="1"/>
      <protection locked="0"/>
    </xf>
    <xf numFmtId="49" fontId="94" fillId="0" borderId="35"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278" fillId="5" borderId="1" xfId="24" applyFont="1" applyFill="1" applyBorder="1" applyAlignment="1">
      <alignment horizontal="left" vertical="center"/>
    </xf>
    <xf numFmtId="43" fontId="278" fillId="5" borderId="1" xfId="25" applyFont="1" applyFill="1" applyBorder="1" applyAlignment="1">
      <alignment horizontal="left" vertical="center"/>
    </xf>
    <xf numFmtId="0" fontId="278" fillId="5" borderId="0" xfId="24" applyFont="1" applyFill="1" applyBorder="1" applyAlignment="1">
      <alignment horizontal="left" vertical="center"/>
    </xf>
    <xf numFmtId="0" fontId="283" fillId="0" borderId="0" xfId="26" applyAlignment="1">
      <alignment vertical="center" shrinkToFit="1"/>
    </xf>
    <xf numFmtId="0" fontId="128" fillId="0" borderId="2" xfId="0" applyNumberFormat="1" applyFont="1" applyFill="1" applyBorder="1" applyAlignment="1" applyProtection="1">
      <alignment horizontal="center" vertical="center" wrapText="1"/>
      <protection locked="0"/>
    </xf>
    <xf numFmtId="17" fontId="0" fillId="0" borderId="0" xfId="0" applyNumberFormat="1">
      <alignment vertical="center"/>
    </xf>
    <xf numFmtId="14" fontId="0" fillId="0" borderId="0" xfId="0" applyNumberFormat="1">
      <alignment vertical="center"/>
    </xf>
    <xf numFmtId="43" fontId="0" fillId="0" borderId="0" xfId="23" applyFont="1">
      <alignment vertical="center"/>
    </xf>
    <xf numFmtId="43" fontId="0" fillId="0" borderId="0" xfId="0" applyNumberFormat="1">
      <alignment vertical="center"/>
    </xf>
    <xf numFmtId="0" fontId="128" fillId="0" borderId="24" xfId="0" applyFont="1" applyFill="1" applyBorder="1" applyAlignment="1" applyProtection="1">
      <alignment horizontal="center" vertical="center" wrapText="1"/>
      <protection locked="0"/>
    </xf>
    <xf numFmtId="183" fontId="100" fillId="0" borderId="70" xfId="0" applyNumberFormat="1" applyFont="1" applyFill="1" applyBorder="1" applyAlignment="1" applyProtection="1">
      <alignment horizontal="center" vertical="center" wrapText="1"/>
      <protection locked="0"/>
    </xf>
    <xf numFmtId="0" fontId="95" fillId="0" borderId="0" xfId="0" applyFont="1" applyAlignment="1">
      <alignment horizontal="right" vertical="center"/>
    </xf>
    <xf numFmtId="17" fontId="44" fillId="12" borderId="0" xfId="0" applyNumberFormat="1" applyFont="1" applyFill="1" applyBorder="1" applyAlignment="1" applyProtection="1">
      <alignment horizontal="center" vertical="center" wrapText="1"/>
      <protection locked="0"/>
    </xf>
    <xf numFmtId="9" fontId="68" fillId="12" borderId="0" xfId="0" applyNumberFormat="1" applyFont="1" applyFill="1" applyBorder="1" applyAlignment="1" applyProtection="1">
      <alignment horizontal="center" vertical="center" wrapText="1"/>
      <protection locked="0"/>
    </xf>
    <xf numFmtId="0" fontId="222" fillId="0" borderId="24" xfId="0" applyFont="1" applyBorder="1" applyAlignment="1" applyProtection="1">
      <alignment vertical="center" wrapText="1"/>
      <protection locked="0"/>
    </xf>
    <xf numFmtId="0" fontId="246" fillId="0" borderId="0" xfId="10" applyFont="1" applyFill="1" applyBorder="1">
      <alignment vertical="center"/>
    </xf>
    <xf numFmtId="43" fontId="246" fillId="0" borderId="1" xfId="20" applyFont="1" applyBorder="1">
      <alignment vertical="center"/>
    </xf>
    <xf numFmtId="43" fontId="246" fillId="0" borderId="0" xfId="20" applyFont="1">
      <alignment vertical="center"/>
    </xf>
    <xf numFmtId="196" fontId="246" fillId="0" borderId="0" xfId="10" applyNumberFormat="1" applyFont="1" applyFill="1" applyBorder="1">
      <alignment vertical="center"/>
    </xf>
    <xf numFmtId="43" fontId="246" fillId="0" borderId="0" xfId="20" applyFont="1" applyFill="1" applyBorder="1">
      <alignment vertical="center"/>
    </xf>
    <xf numFmtId="196" fontId="269" fillId="0" borderId="0" xfId="10" applyNumberFormat="1" applyFont="1" applyFill="1">
      <alignment vertical="center"/>
    </xf>
    <xf numFmtId="196" fontId="270" fillId="5" borderId="0" xfId="10" applyNumberFormat="1" applyFont="1" applyFill="1">
      <alignment vertical="center"/>
    </xf>
    <xf numFmtId="196" fontId="272" fillId="5" borderId="0" xfId="10" applyNumberFormat="1" applyFont="1" applyFill="1">
      <alignment vertical="center"/>
    </xf>
    <xf numFmtId="43" fontId="246" fillId="0" borderId="1" xfId="20" applyNumberFormat="1" applyFont="1" applyBorder="1">
      <alignment vertical="center"/>
    </xf>
    <xf numFmtId="43" fontId="246" fillId="0" borderId="0" xfId="20" applyFont="1" applyBorder="1">
      <alignment vertical="center"/>
    </xf>
    <xf numFmtId="197" fontId="246" fillId="0" borderId="0" xfId="20" applyNumberFormat="1" applyFont="1" applyBorder="1">
      <alignment vertical="center"/>
    </xf>
    <xf numFmtId="43" fontId="246" fillId="0" borderId="0" xfId="20" applyNumberFormat="1" applyFont="1">
      <alignment vertical="center"/>
    </xf>
    <xf numFmtId="43" fontId="246" fillId="5" borderId="0" xfId="20" applyFont="1" applyFill="1" applyBorder="1">
      <alignment vertical="center"/>
    </xf>
    <xf numFmtId="0" fontId="270" fillId="0" borderId="176" xfId="10" applyFont="1" applyBorder="1">
      <alignment vertical="center"/>
    </xf>
    <xf numFmtId="196" fontId="270" fillId="0" borderId="176" xfId="10" applyNumberFormat="1" applyFont="1" applyBorder="1">
      <alignment vertical="center"/>
    </xf>
    <xf numFmtId="0" fontId="270" fillId="0" borderId="0" xfId="10" applyFont="1" applyFill="1" applyBorder="1">
      <alignment vertical="center"/>
    </xf>
    <xf numFmtId="0" fontId="270" fillId="0" borderId="0" xfId="10" applyFont="1" applyBorder="1" applyAlignment="1">
      <alignment horizontal="center" vertical="center"/>
    </xf>
    <xf numFmtId="0" fontId="270" fillId="0" borderId="0" xfId="10" applyFont="1">
      <alignment vertical="center"/>
    </xf>
    <xf numFmtId="0" fontId="270" fillId="0" borderId="1" xfId="10" applyFont="1" applyBorder="1">
      <alignment vertical="center"/>
    </xf>
    <xf numFmtId="43" fontId="270" fillId="0" borderId="1" xfId="20" applyFont="1" applyBorder="1">
      <alignment vertical="center"/>
    </xf>
    <xf numFmtId="43" fontId="270" fillId="0" borderId="0" xfId="20" applyFont="1">
      <alignment vertical="center"/>
    </xf>
    <xf numFmtId="9" fontId="270" fillId="0" borderId="0" xfId="21" applyFont="1">
      <alignment vertical="center"/>
    </xf>
    <xf numFmtId="0" fontId="270" fillId="0" borderId="0" xfId="10" applyFont="1" applyBorder="1">
      <alignment vertical="center"/>
    </xf>
    <xf numFmtId="196" fontId="270" fillId="0" borderId="0" xfId="10" applyNumberFormat="1" applyFont="1" applyBorder="1">
      <alignment vertical="center"/>
    </xf>
    <xf numFmtId="196" fontId="270" fillId="0" borderId="0" xfId="10" applyNumberFormat="1" applyFont="1" applyFill="1" applyBorder="1">
      <alignment vertical="center"/>
    </xf>
    <xf numFmtId="43" fontId="270" fillId="0" borderId="0" xfId="23" applyFont="1" applyBorder="1">
      <alignment vertical="center"/>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0" borderId="1" xfId="10" applyFont="1" applyBorder="1" applyAlignment="1">
      <alignment horizontal="center" vertical="center"/>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7"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208" fillId="0" borderId="22" xfId="0" applyFont="1" applyFill="1" applyBorder="1" applyAlignment="1" applyProtection="1">
      <alignment horizontal="center" vertical="center" wrapText="1"/>
      <protection locked="0"/>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43" fontId="246" fillId="0" borderId="0" xfId="23" applyFont="1">
      <alignment vertical="center"/>
    </xf>
  </cellXfs>
  <cellStyles count="27">
    <cellStyle name="百分比" xfId="17" builtinId="5"/>
    <cellStyle name="百分比 2" xfId="14"/>
    <cellStyle name="百分比 3" xfId="21"/>
    <cellStyle name="常规" xfId="0" builtinId="0"/>
    <cellStyle name="常规 10" xfId="22"/>
    <cellStyle name="常规 11" xfId="18"/>
    <cellStyle name="常规 12" xfId="24"/>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超链接" xfId="26" builtinId="8"/>
    <cellStyle name="千位分隔" xfId="23" builtinId="3"/>
    <cellStyle name="千位分隔 2" xfId="20"/>
    <cellStyle name="千位分隔 3" xfId="19"/>
    <cellStyle name="千位分隔 4" xfId="25"/>
  </cellStyles>
  <dxfs count="237">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externalLink" Target="externalLinks/externalLink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externalLink" Target="externalLinks/externalLink2.xml"/><Relationship Id="rId58"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8" Type="http://schemas.openxmlformats.org/officeDocument/2006/relationships/image" Target="../media/image14.png"/><Relationship Id="rId13" Type="http://schemas.openxmlformats.org/officeDocument/2006/relationships/image" Target="../media/image19.png"/><Relationship Id="rId3" Type="http://schemas.openxmlformats.org/officeDocument/2006/relationships/image" Target="../media/image9.png"/><Relationship Id="rId7" Type="http://schemas.openxmlformats.org/officeDocument/2006/relationships/image" Target="../media/image13.png"/><Relationship Id="rId12" Type="http://schemas.openxmlformats.org/officeDocument/2006/relationships/image" Target="../media/image18.png"/><Relationship Id="rId2" Type="http://schemas.openxmlformats.org/officeDocument/2006/relationships/image" Target="../media/image8.png"/><Relationship Id="rId1" Type="http://schemas.openxmlformats.org/officeDocument/2006/relationships/image" Target="../media/image7.png"/><Relationship Id="rId6" Type="http://schemas.openxmlformats.org/officeDocument/2006/relationships/image" Target="../media/image12.png"/><Relationship Id="rId11" Type="http://schemas.openxmlformats.org/officeDocument/2006/relationships/image" Target="../media/image17.png"/><Relationship Id="rId5" Type="http://schemas.openxmlformats.org/officeDocument/2006/relationships/image" Target="../media/image11.png"/><Relationship Id="rId15" Type="http://schemas.openxmlformats.org/officeDocument/2006/relationships/image" Target="../media/image21.png"/><Relationship Id="rId10" Type="http://schemas.openxmlformats.org/officeDocument/2006/relationships/image" Target="../media/image16.png"/><Relationship Id="rId4" Type="http://schemas.openxmlformats.org/officeDocument/2006/relationships/image" Target="../media/image10.png"/><Relationship Id="rId9" Type="http://schemas.openxmlformats.org/officeDocument/2006/relationships/image" Target="../media/image15.png"/><Relationship Id="rId14" Type="http://schemas.openxmlformats.org/officeDocument/2006/relationships/image" Target="../media/image20.png"/></Relationships>
</file>

<file path=xl/drawings/_rels/drawing3.xml.rels><?xml version="1.0" encoding="UTF-8" standalone="yes"?>
<Relationships xmlns="http://schemas.openxmlformats.org/package/2006/relationships"><Relationship Id="rId8" Type="http://schemas.openxmlformats.org/officeDocument/2006/relationships/image" Target="../media/image29.png"/><Relationship Id="rId13" Type="http://schemas.openxmlformats.org/officeDocument/2006/relationships/image" Target="../media/image34.png"/><Relationship Id="rId3" Type="http://schemas.openxmlformats.org/officeDocument/2006/relationships/image" Target="../media/image24.png"/><Relationship Id="rId7" Type="http://schemas.openxmlformats.org/officeDocument/2006/relationships/image" Target="../media/image28.png"/><Relationship Id="rId12" Type="http://schemas.openxmlformats.org/officeDocument/2006/relationships/image" Target="../media/image33.png"/><Relationship Id="rId2" Type="http://schemas.openxmlformats.org/officeDocument/2006/relationships/image" Target="../media/image23.png"/><Relationship Id="rId1" Type="http://schemas.openxmlformats.org/officeDocument/2006/relationships/image" Target="../media/image22.png"/><Relationship Id="rId6" Type="http://schemas.openxmlformats.org/officeDocument/2006/relationships/image" Target="../media/image27.png"/><Relationship Id="rId11" Type="http://schemas.openxmlformats.org/officeDocument/2006/relationships/image" Target="../media/image32.png"/><Relationship Id="rId5" Type="http://schemas.openxmlformats.org/officeDocument/2006/relationships/image" Target="../media/image26.png"/><Relationship Id="rId10" Type="http://schemas.openxmlformats.org/officeDocument/2006/relationships/image" Target="../media/image31.png"/><Relationship Id="rId4" Type="http://schemas.openxmlformats.org/officeDocument/2006/relationships/image" Target="../media/image25.png"/><Relationship Id="rId9" Type="http://schemas.openxmlformats.org/officeDocument/2006/relationships/image" Target="../media/image30.png"/><Relationship Id="rId14" Type="http://schemas.openxmlformats.org/officeDocument/2006/relationships/image" Target="../media/image35.png"/></Relationships>
</file>

<file path=xl/drawings/_rels/drawing4.xml.rels><?xml version="1.0" encoding="UTF-8" standalone="yes"?>
<Relationships xmlns="http://schemas.openxmlformats.org/package/2006/relationships"><Relationship Id="rId8" Type="http://schemas.openxmlformats.org/officeDocument/2006/relationships/image" Target="../media/image39.png"/><Relationship Id="rId13" Type="http://schemas.openxmlformats.org/officeDocument/2006/relationships/image" Target="../media/image44.png"/><Relationship Id="rId18" Type="http://schemas.openxmlformats.org/officeDocument/2006/relationships/image" Target="../media/image49.png"/><Relationship Id="rId3" Type="http://schemas.openxmlformats.org/officeDocument/2006/relationships/image" Target="../media/image32.png"/><Relationship Id="rId7" Type="http://schemas.openxmlformats.org/officeDocument/2006/relationships/image" Target="../media/image38.png"/><Relationship Id="rId12" Type="http://schemas.openxmlformats.org/officeDocument/2006/relationships/image" Target="../media/image43.png"/><Relationship Id="rId17" Type="http://schemas.openxmlformats.org/officeDocument/2006/relationships/image" Target="../media/image48.png"/><Relationship Id="rId2" Type="http://schemas.openxmlformats.org/officeDocument/2006/relationships/image" Target="../media/image29.png"/><Relationship Id="rId16" Type="http://schemas.openxmlformats.org/officeDocument/2006/relationships/image" Target="../media/image47.png"/><Relationship Id="rId20" Type="http://schemas.openxmlformats.org/officeDocument/2006/relationships/image" Target="../media/image51.png"/><Relationship Id="rId1" Type="http://schemas.openxmlformats.org/officeDocument/2006/relationships/image" Target="../media/image28.png"/><Relationship Id="rId6" Type="http://schemas.openxmlformats.org/officeDocument/2006/relationships/image" Target="../media/image37.png"/><Relationship Id="rId11" Type="http://schemas.openxmlformats.org/officeDocument/2006/relationships/image" Target="../media/image42.png"/><Relationship Id="rId5" Type="http://schemas.openxmlformats.org/officeDocument/2006/relationships/image" Target="../media/image36.png"/><Relationship Id="rId15" Type="http://schemas.openxmlformats.org/officeDocument/2006/relationships/image" Target="../media/image46.png"/><Relationship Id="rId10" Type="http://schemas.openxmlformats.org/officeDocument/2006/relationships/image" Target="../media/image41.png"/><Relationship Id="rId19" Type="http://schemas.openxmlformats.org/officeDocument/2006/relationships/image" Target="../media/image50.png"/><Relationship Id="rId4" Type="http://schemas.openxmlformats.org/officeDocument/2006/relationships/image" Target="../media/image33.png"/><Relationship Id="rId9" Type="http://schemas.openxmlformats.org/officeDocument/2006/relationships/image" Target="../media/image40.png"/><Relationship Id="rId14" Type="http://schemas.openxmlformats.org/officeDocument/2006/relationships/image" Target="../media/image45.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9</xdr:col>
      <xdr:colOff>381000</xdr:colOff>
      <xdr:row>11</xdr:row>
      <xdr:rowOff>133350</xdr:rowOff>
    </xdr:from>
    <xdr:to>
      <xdr:col>12</xdr:col>
      <xdr:colOff>636</xdr:colOff>
      <xdr:row>23</xdr:row>
      <xdr:rowOff>98506</xdr:rowOff>
    </xdr:to>
    <xdr:pic>
      <xdr:nvPicPr>
        <xdr:cNvPr id="2" name="图片 1">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
        <a:stretch>
          <a:fillRect/>
        </a:stretch>
      </xdr:blipFill>
      <xdr:spPr>
        <a:xfrm>
          <a:off x="5019675" y="2028825"/>
          <a:ext cx="2181861" cy="1822531"/>
        </a:xfrm>
        <a:prstGeom prst="rect">
          <a:avLst/>
        </a:prstGeom>
      </xdr:spPr>
    </xdr:pic>
    <xdr:clientData/>
  </xdr:twoCellAnchor>
  <xdr:twoCellAnchor editAs="oneCell">
    <xdr:from>
      <xdr:col>0</xdr:col>
      <xdr:colOff>19050</xdr:colOff>
      <xdr:row>23</xdr:row>
      <xdr:rowOff>127000</xdr:rowOff>
    </xdr:from>
    <xdr:to>
      <xdr:col>10</xdr:col>
      <xdr:colOff>368260</xdr:colOff>
      <xdr:row>42</xdr:row>
      <xdr:rowOff>111400</xdr:rowOff>
    </xdr:to>
    <xdr:pic>
      <xdr:nvPicPr>
        <xdr:cNvPr id="3" name="图片 2">
          <a:extLst>
            <a:ext uri="{FF2B5EF4-FFF2-40B4-BE49-F238E27FC236}">
              <a16:creationId xmlns:a16="http://schemas.microsoft.com/office/drawing/2014/main" id="{BCE1C52D-3B2F-4A92-9C4D-AE61E80C2A87}"/>
            </a:ext>
          </a:extLst>
        </xdr:cNvPr>
        <xdr:cNvPicPr>
          <a:picLocks noChangeAspect="1"/>
        </xdr:cNvPicPr>
      </xdr:nvPicPr>
      <xdr:blipFill>
        <a:blip xmlns:r="http://schemas.openxmlformats.org/officeDocument/2006/relationships" r:embed="rId2"/>
        <a:stretch>
          <a:fillRect/>
        </a:stretch>
      </xdr:blipFill>
      <xdr:spPr>
        <a:xfrm>
          <a:off x="19050" y="3879850"/>
          <a:ext cx="5673685" cy="2699025"/>
        </a:xfrm>
        <a:prstGeom prst="rect">
          <a:avLst/>
        </a:prstGeom>
      </xdr:spPr>
    </xdr:pic>
    <xdr:clientData/>
  </xdr:twoCellAnchor>
  <xdr:twoCellAnchor editAs="oneCell">
    <xdr:from>
      <xdr:col>1</xdr:col>
      <xdr:colOff>0</xdr:colOff>
      <xdr:row>47</xdr:row>
      <xdr:rowOff>0</xdr:rowOff>
    </xdr:from>
    <xdr:to>
      <xdr:col>12</xdr:col>
      <xdr:colOff>94357</xdr:colOff>
      <xdr:row>57</xdr:row>
      <xdr:rowOff>133155</xdr:rowOff>
    </xdr:to>
    <xdr:pic>
      <xdr:nvPicPr>
        <xdr:cNvPr id="5" name="图片 4"/>
        <xdr:cNvPicPr>
          <a:picLocks noChangeAspect="1"/>
        </xdr:cNvPicPr>
      </xdr:nvPicPr>
      <xdr:blipFill>
        <a:blip xmlns:r="http://schemas.openxmlformats.org/officeDocument/2006/relationships" r:embed="rId3"/>
        <a:stretch>
          <a:fillRect/>
        </a:stretch>
      </xdr:blipFill>
      <xdr:spPr>
        <a:xfrm>
          <a:off x="152400" y="7181850"/>
          <a:ext cx="7142857" cy="1561905"/>
        </a:xfrm>
        <a:prstGeom prst="rect">
          <a:avLst/>
        </a:prstGeom>
      </xdr:spPr>
    </xdr:pic>
    <xdr:clientData/>
  </xdr:twoCellAnchor>
  <xdr:twoCellAnchor editAs="oneCell">
    <xdr:from>
      <xdr:col>13</xdr:col>
      <xdr:colOff>0</xdr:colOff>
      <xdr:row>58</xdr:row>
      <xdr:rowOff>0</xdr:rowOff>
    </xdr:from>
    <xdr:to>
      <xdr:col>21</xdr:col>
      <xdr:colOff>1050623</xdr:colOff>
      <xdr:row>69</xdr:row>
      <xdr:rowOff>56946</xdr:rowOff>
    </xdr:to>
    <xdr:pic>
      <xdr:nvPicPr>
        <xdr:cNvPr id="6" name="图片 5"/>
        <xdr:cNvPicPr>
          <a:picLocks noChangeAspect="1"/>
        </xdr:cNvPicPr>
      </xdr:nvPicPr>
      <xdr:blipFill>
        <a:blip xmlns:r="http://schemas.openxmlformats.org/officeDocument/2006/relationships" r:embed="rId4"/>
        <a:stretch>
          <a:fillRect/>
        </a:stretch>
      </xdr:blipFill>
      <xdr:spPr>
        <a:xfrm>
          <a:off x="8134350" y="8753475"/>
          <a:ext cx="7495238" cy="162857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321107</xdr:colOff>
      <xdr:row>25</xdr:row>
      <xdr:rowOff>142875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4435907" cy="4429125"/>
        </a:xfrm>
        <a:prstGeom prst="rect">
          <a:avLst/>
        </a:prstGeom>
      </xdr:spPr>
    </xdr:pic>
    <xdr:clientData/>
  </xdr:twoCellAnchor>
  <xdr:twoCellAnchor editAs="oneCell">
    <xdr:from>
      <xdr:col>7</xdr:col>
      <xdr:colOff>0</xdr:colOff>
      <xdr:row>0</xdr:row>
      <xdr:rowOff>0</xdr:rowOff>
    </xdr:from>
    <xdr:to>
      <xdr:col>14</xdr:col>
      <xdr:colOff>475540</xdr:colOff>
      <xdr:row>14</xdr:row>
      <xdr:rowOff>161605</xdr:rowOff>
    </xdr:to>
    <xdr:pic>
      <xdr:nvPicPr>
        <xdr:cNvPr id="3" name="图片 2"/>
        <xdr:cNvPicPr>
          <a:picLocks noChangeAspect="1"/>
        </xdr:cNvPicPr>
      </xdr:nvPicPr>
      <xdr:blipFill>
        <a:blip xmlns:r="http://schemas.openxmlformats.org/officeDocument/2006/relationships" r:embed="rId2"/>
        <a:stretch>
          <a:fillRect/>
        </a:stretch>
      </xdr:blipFill>
      <xdr:spPr>
        <a:xfrm>
          <a:off x="4800600" y="0"/>
          <a:ext cx="5676190" cy="2561905"/>
        </a:xfrm>
        <a:prstGeom prst="rect">
          <a:avLst/>
        </a:prstGeom>
      </xdr:spPr>
    </xdr:pic>
    <xdr:clientData/>
  </xdr:twoCellAnchor>
  <xdr:twoCellAnchor editAs="oneCell">
    <xdr:from>
      <xdr:col>0</xdr:col>
      <xdr:colOff>0</xdr:colOff>
      <xdr:row>38</xdr:row>
      <xdr:rowOff>85725</xdr:rowOff>
    </xdr:from>
    <xdr:to>
      <xdr:col>15</xdr:col>
      <xdr:colOff>350984</xdr:colOff>
      <xdr:row>66</xdr:row>
      <xdr:rowOff>138212</xdr:rowOff>
    </xdr:to>
    <xdr:pic>
      <xdr:nvPicPr>
        <xdr:cNvPr id="4" name="图片 3"/>
        <xdr:cNvPicPr>
          <a:picLocks noChangeAspect="1"/>
        </xdr:cNvPicPr>
      </xdr:nvPicPr>
      <xdr:blipFill>
        <a:blip xmlns:r="http://schemas.openxmlformats.org/officeDocument/2006/relationships" r:embed="rId3"/>
        <a:stretch>
          <a:fillRect/>
        </a:stretch>
      </xdr:blipFill>
      <xdr:spPr>
        <a:xfrm>
          <a:off x="0" y="6600825"/>
          <a:ext cx="11038034" cy="4853087"/>
        </a:xfrm>
        <a:prstGeom prst="rect">
          <a:avLst/>
        </a:prstGeom>
      </xdr:spPr>
    </xdr:pic>
    <xdr:clientData/>
  </xdr:twoCellAnchor>
  <xdr:twoCellAnchor editAs="oneCell">
    <xdr:from>
      <xdr:col>0</xdr:col>
      <xdr:colOff>0</xdr:colOff>
      <xdr:row>68</xdr:row>
      <xdr:rowOff>114300</xdr:rowOff>
    </xdr:from>
    <xdr:to>
      <xdr:col>16</xdr:col>
      <xdr:colOff>322388</xdr:colOff>
      <xdr:row>108</xdr:row>
      <xdr:rowOff>113443</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1772900"/>
          <a:ext cx="11695238" cy="6857143"/>
        </a:xfrm>
        <a:prstGeom prst="rect">
          <a:avLst/>
        </a:prstGeom>
      </xdr:spPr>
    </xdr:pic>
    <xdr:clientData/>
  </xdr:twoCellAnchor>
  <xdr:twoCellAnchor editAs="oneCell">
    <xdr:from>
      <xdr:col>0</xdr:col>
      <xdr:colOff>9525</xdr:colOff>
      <xdr:row>110</xdr:row>
      <xdr:rowOff>19050</xdr:rowOff>
    </xdr:from>
    <xdr:to>
      <xdr:col>16</xdr:col>
      <xdr:colOff>550961</xdr:colOff>
      <xdr:row>151</xdr:row>
      <xdr:rowOff>2485</xdr:rowOff>
    </xdr:to>
    <xdr:pic>
      <xdr:nvPicPr>
        <xdr:cNvPr id="6" name="图片 5"/>
        <xdr:cNvPicPr>
          <a:picLocks noChangeAspect="1"/>
        </xdr:cNvPicPr>
      </xdr:nvPicPr>
      <xdr:blipFill>
        <a:blip xmlns:r="http://schemas.openxmlformats.org/officeDocument/2006/relationships" r:embed="rId5"/>
        <a:stretch>
          <a:fillRect/>
        </a:stretch>
      </xdr:blipFill>
      <xdr:spPr>
        <a:xfrm>
          <a:off x="9525" y="18878550"/>
          <a:ext cx="11914286" cy="7009524"/>
        </a:xfrm>
        <a:prstGeom prst="rect">
          <a:avLst/>
        </a:prstGeom>
      </xdr:spPr>
    </xdr:pic>
    <xdr:clientData/>
  </xdr:twoCellAnchor>
  <xdr:twoCellAnchor editAs="oneCell">
    <xdr:from>
      <xdr:col>0</xdr:col>
      <xdr:colOff>0</xdr:colOff>
      <xdr:row>154</xdr:row>
      <xdr:rowOff>0</xdr:rowOff>
    </xdr:from>
    <xdr:to>
      <xdr:col>10</xdr:col>
      <xdr:colOff>551524</xdr:colOff>
      <xdr:row>169</xdr:row>
      <xdr:rowOff>142536</xdr:rowOff>
    </xdr:to>
    <xdr:pic>
      <xdr:nvPicPr>
        <xdr:cNvPr id="7" name="图片 6"/>
        <xdr:cNvPicPr>
          <a:picLocks noChangeAspect="1"/>
        </xdr:cNvPicPr>
      </xdr:nvPicPr>
      <xdr:blipFill>
        <a:blip xmlns:r="http://schemas.openxmlformats.org/officeDocument/2006/relationships" r:embed="rId6"/>
        <a:stretch>
          <a:fillRect/>
        </a:stretch>
      </xdr:blipFill>
      <xdr:spPr>
        <a:xfrm>
          <a:off x="0" y="26403300"/>
          <a:ext cx="7409524" cy="2714286"/>
        </a:xfrm>
        <a:prstGeom prst="rect">
          <a:avLst/>
        </a:prstGeom>
      </xdr:spPr>
    </xdr:pic>
    <xdr:clientData/>
  </xdr:twoCellAnchor>
  <xdr:twoCellAnchor editAs="oneCell">
    <xdr:from>
      <xdr:col>0</xdr:col>
      <xdr:colOff>11206</xdr:colOff>
      <xdr:row>172</xdr:row>
      <xdr:rowOff>123266</xdr:rowOff>
    </xdr:from>
    <xdr:to>
      <xdr:col>16</xdr:col>
      <xdr:colOff>594662</xdr:colOff>
      <xdr:row>191</xdr:row>
      <xdr:rowOff>101018</xdr:rowOff>
    </xdr:to>
    <xdr:pic>
      <xdr:nvPicPr>
        <xdr:cNvPr id="8" name="图片 7"/>
        <xdr:cNvPicPr>
          <a:picLocks noChangeAspect="1"/>
        </xdr:cNvPicPr>
      </xdr:nvPicPr>
      <xdr:blipFill>
        <a:blip xmlns:r="http://schemas.openxmlformats.org/officeDocument/2006/relationships" r:embed="rId7"/>
        <a:stretch>
          <a:fillRect/>
        </a:stretch>
      </xdr:blipFill>
      <xdr:spPr>
        <a:xfrm>
          <a:off x="11206" y="29034442"/>
          <a:ext cx="11923809" cy="3171429"/>
        </a:xfrm>
        <a:prstGeom prst="rect">
          <a:avLst/>
        </a:prstGeom>
      </xdr:spPr>
    </xdr:pic>
    <xdr:clientData/>
  </xdr:twoCellAnchor>
  <xdr:twoCellAnchor editAs="oneCell">
    <xdr:from>
      <xdr:col>15</xdr:col>
      <xdr:colOff>358588</xdr:colOff>
      <xdr:row>38</xdr:row>
      <xdr:rowOff>22411</xdr:rowOff>
    </xdr:from>
    <xdr:to>
      <xdr:col>30</xdr:col>
      <xdr:colOff>533777</xdr:colOff>
      <xdr:row>46</xdr:row>
      <xdr:rowOff>1515</xdr:rowOff>
    </xdr:to>
    <xdr:pic>
      <xdr:nvPicPr>
        <xdr:cNvPr id="9" name="图片 8"/>
        <xdr:cNvPicPr>
          <a:picLocks noChangeAspect="1"/>
        </xdr:cNvPicPr>
      </xdr:nvPicPr>
      <xdr:blipFill>
        <a:blip xmlns:r="http://schemas.openxmlformats.org/officeDocument/2006/relationships" r:embed="rId8"/>
        <a:stretch>
          <a:fillRect/>
        </a:stretch>
      </xdr:blipFill>
      <xdr:spPr>
        <a:xfrm>
          <a:off x="11015382" y="6409764"/>
          <a:ext cx="10428571" cy="1323810"/>
        </a:xfrm>
        <a:prstGeom prst="rect">
          <a:avLst/>
        </a:prstGeom>
      </xdr:spPr>
    </xdr:pic>
    <xdr:clientData/>
  </xdr:twoCellAnchor>
  <xdr:twoCellAnchor editAs="oneCell">
    <xdr:from>
      <xdr:col>0</xdr:col>
      <xdr:colOff>0</xdr:colOff>
      <xdr:row>194</xdr:row>
      <xdr:rowOff>0</xdr:rowOff>
    </xdr:from>
    <xdr:to>
      <xdr:col>19</xdr:col>
      <xdr:colOff>323257</xdr:colOff>
      <xdr:row>236</xdr:row>
      <xdr:rowOff>149818</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32609118"/>
          <a:ext cx="13714286" cy="7209524"/>
        </a:xfrm>
        <a:prstGeom prst="rect">
          <a:avLst/>
        </a:prstGeom>
      </xdr:spPr>
    </xdr:pic>
    <xdr:clientData/>
  </xdr:twoCellAnchor>
  <xdr:twoCellAnchor editAs="oneCell">
    <xdr:from>
      <xdr:col>0</xdr:col>
      <xdr:colOff>0</xdr:colOff>
      <xdr:row>237</xdr:row>
      <xdr:rowOff>0</xdr:rowOff>
    </xdr:from>
    <xdr:to>
      <xdr:col>17</xdr:col>
      <xdr:colOff>337993</xdr:colOff>
      <xdr:row>275</xdr:row>
      <xdr:rowOff>79314</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39836912"/>
          <a:ext cx="12361905" cy="6466667"/>
        </a:xfrm>
        <a:prstGeom prst="rect">
          <a:avLst/>
        </a:prstGeom>
      </xdr:spPr>
    </xdr:pic>
    <xdr:clientData/>
  </xdr:twoCellAnchor>
  <xdr:twoCellAnchor editAs="oneCell">
    <xdr:from>
      <xdr:col>0</xdr:col>
      <xdr:colOff>0</xdr:colOff>
      <xdr:row>276</xdr:row>
      <xdr:rowOff>0</xdr:rowOff>
    </xdr:from>
    <xdr:to>
      <xdr:col>15</xdr:col>
      <xdr:colOff>124158</xdr:colOff>
      <xdr:row>312</xdr:row>
      <xdr:rowOff>120253</xdr:rowOff>
    </xdr:to>
    <xdr:pic>
      <xdr:nvPicPr>
        <xdr:cNvPr id="12" name="图片 11"/>
        <xdr:cNvPicPr>
          <a:picLocks noChangeAspect="1"/>
        </xdr:cNvPicPr>
      </xdr:nvPicPr>
      <xdr:blipFill>
        <a:blip xmlns:r="http://schemas.openxmlformats.org/officeDocument/2006/relationships" r:embed="rId11"/>
        <a:stretch>
          <a:fillRect/>
        </a:stretch>
      </xdr:blipFill>
      <xdr:spPr>
        <a:xfrm>
          <a:off x="0" y="46392353"/>
          <a:ext cx="10780952" cy="6171429"/>
        </a:xfrm>
        <a:prstGeom prst="rect">
          <a:avLst/>
        </a:prstGeom>
      </xdr:spPr>
    </xdr:pic>
    <xdr:clientData/>
  </xdr:twoCellAnchor>
  <xdr:twoCellAnchor editAs="oneCell">
    <xdr:from>
      <xdr:col>1</xdr:col>
      <xdr:colOff>0</xdr:colOff>
      <xdr:row>313</xdr:row>
      <xdr:rowOff>0</xdr:rowOff>
    </xdr:from>
    <xdr:to>
      <xdr:col>12</xdr:col>
      <xdr:colOff>132376</xdr:colOff>
      <xdr:row>322</xdr:row>
      <xdr:rowOff>142664</xdr:rowOff>
    </xdr:to>
    <xdr:pic>
      <xdr:nvPicPr>
        <xdr:cNvPr id="13" name="图片 12"/>
        <xdr:cNvPicPr>
          <a:picLocks noChangeAspect="1"/>
        </xdr:cNvPicPr>
      </xdr:nvPicPr>
      <xdr:blipFill>
        <a:blip xmlns:r="http://schemas.openxmlformats.org/officeDocument/2006/relationships" r:embed="rId12"/>
        <a:stretch>
          <a:fillRect/>
        </a:stretch>
      </xdr:blipFill>
      <xdr:spPr>
        <a:xfrm>
          <a:off x="685800" y="53663850"/>
          <a:ext cx="7790476" cy="1685714"/>
        </a:xfrm>
        <a:prstGeom prst="rect">
          <a:avLst/>
        </a:prstGeom>
      </xdr:spPr>
    </xdr:pic>
    <xdr:clientData/>
  </xdr:twoCellAnchor>
  <xdr:twoCellAnchor editAs="oneCell">
    <xdr:from>
      <xdr:col>1</xdr:col>
      <xdr:colOff>0</xdr:colOff>
      <xdr:row>323</xdr:row>
      <xdr:rowOff>0</xdr:rowOff>
    </xdr:from>
    <xdr:to>
      <xdr:col>13</xdr:col>
      <xdr:colOff>570350</xdr:colOff>
      <xdr:row>342</xdr:row>
      <xdr:rowOff>94831</xdr:rowOff>
    </xdr:to>
    <xdr:pic>
      <xdr:nvPicPr>
        <xdr:cNvPr id="14" name="图片 13"/>
        <xdr:cNvPicPr>
          <a:picLocks noChangeAspect="1"/>
        </xdr:cNvPicPr>
      </xdr:nvPicPr>
      <xdr:blipFill>
        <a:blip xmlns:r="http://schemas.openxmlformats.org/officeDocument/2006/relationships" r:embed="rId13"/>
        <a:stretch>
          <a:fillRect/>
        </a:stretch>
      </xdr:blipFill>
      <xdr:spPr>
        <a:xfrm>
          <a:off x="685800" y="55378350"/>
          <a:ext cx="9200000" cy="3352381"/>
        </a:xfrm>
        <a:prstGeom prst="rect">
          <a:avLst/>
        </a:prstGeom>
      </xdr:spPr>
    </xdr:pic>
    <xdr:clientData/>
  </xdr:twoCellAnchor>
  <xdr:twoCellAnchor editAs="oneCell">
    <xdr:from>
      <xdr:col>1</xdr:col>
      <xdr:colOff>0</xdr:colOff>
      <xdr:row>347</xdr:row>
      <xdr:rowOff>0</xdr:rowOff>
    </xdr:from>
    <xdr:to>
      <xdr:col>12</xdr:col>
      <xdr:colOff>37138</xdr:colOff>
      <xdr:row>356</xdr:row>
      <xdr:rowOff>142664</xdr:rowOff>
    </xdr:to>
    <xdr:pic>
      <xdr:nvPicPr>
        <xdr:cNvPr id="15" name="图片 14"/>
        <xdr:cNvPicPr>
          <a:picLocks noChangeAspect="1"/>
        </xdr:cNvPicPr>
      </xdr:nvPicPr>
      <xdr:blipFill>
        <a:blip xmlns:r="http://schemas.openxmlformats.org/officeDocument/2006/relationships" r:embed="rId14"/>
        <a:stretch>
          <a:fillRect/>
        </a:stretch>
      </xdr:blipFill>
      <xdr:spPr>
        <a:xfrm>
          <a:off x="685800" y="59493150"/>
          <a:ext cx="7695238" cy="1685714"/>
        </a:xfrm>
        <a:prstGeom prst="rect">
          <a:avLst/>
        </a:prstGeom>
      </xdr:spPr>
    </xdr:pic>
    <xdr:clientData/>
  </xdr:twoCellAnchor>
  <xdr:twoCellAnchor editAs="oneCell">
    <xdr:from>
      <xdr:col>1</xdr:col>
      <xdr:colOff>0</xdr:colOff>
      <xdr:row>357</xdr:row>
      <xdr:rowOff>0</xdr:rowOff>
    </xdr:from>
    <xdr:to>
      <xdr:col>12</xdr:col>
      <xdr:colOff>341900</xdr:colOff>
      <xdr:row>366</xdr:row>
      <xdr:rowOff>47426</xdr:rowOff>
    </xdr:to>
    <xdr:pic>
      <xdr:nvPicPr>
        <xdr:cNvPr id="16" name="图片 15"/>
        <xdr:cNvPicPr>
          <a:picLocks noChangeAspect="1"/>
        </xdr:cNvPicPr>
      </xdr:nvPicPr>
      <xdr:blipFill>
        <a:blip xmlns:r="http://schemas.openxmlformats.org/officeDocument/2006/relationships" r:embed="rId15"/>
        <a:stretch>
          <a:fillRect/>
        </a:stretch>
      </xdr:blipFill>
      <xdr:spPr>
        <a:xfrm>
          <a:off x="685800" y="61207650"/>
          <a:ext cx="8000000" cy="159047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xdr:row>
      <xdr:rowOff>161925</xdr:rowOff>
    </xdr:from>
    <xdr:to>
      <xdr:col>12</xdr:col>
      <xdr:colOff>379924</xdr:colOff>
      <xdr:row>9</xdr:row>
      <xdr:rowOff>37944</xdr:rowOff>
    </xdr:to>
    <xdr:pic>
      <xdr:nvPicPr>
        <xdr:cNvPr id="2" name="图片 1"/>
        <xdr:cNvPicPr>
          <a:picLocks noChangeAspect="1"/>
        </xdr:cNvPicPr>
      </xdr:nvPicPr>
      <xdr:blipFill>
        <a:blip xmlns:r="http://schemas.openxmlformats.org/officeDocument/2006/relationships" r:embed="rId1"/>
        <a:stretch>
          <a:fillRect/>
        </a:stretch>
      </xdr:blipFill>
      <xdr:spPr>
        <a:xfrm>
          <a:off x="0" y="333375"/>
          <a:ext cx="8609524" cy="1247619"/>
        </a:xfrm>
        <a:prstGeom prst="rect">
          <a:avLst/>
        </a:prstGeom>
      </xdr:spPr>
    </xdr:pic>
    <xdr:clientData/>
  </xdr:twoCellAnchor>
  <xdr:twoCellAnchor editAs="oneCell">
    <xdr:from>
      <xdr:col>0</xdr:col>
      <xdr:colOff>0</xdr:colOff>
      <xdr:row>11</xdr:row>
      <xdr:rowOff>0</xdr:rowOff>
    </xdr:from>
    <xdr:to>
      <xdr:col>12</xdr:col>
      <xdr:colOff>341828</xdr:colOff>
      <xdr:row>18</xdr:row>
      <xdr:rowOff>56993</xdr:rowOff>
    </xdr:to>
    <xdr:pic>
      <xdr:nvPicPr>
        <xdr:cNvPr id="4" name="图片 3"/>
        <xdr:cNvPicPr>
          <a:picLocks noChangeAspect="1"/>
        </xdr:cNvPicPr>
      </xdr:nvPicPr>
      <xdr:blipFill>
        <a:blip xmlns:r="http://schemas.openxmlformats.org/officeDocument/2006/relationships" r:embed="rId2"/>
        <a:stretch>
          <a:fillRect/>
        </a:stretch>
      </xdr:blipFill>
      <xdr:spPr>
        <a:xfrm>
          <a:off x="0" y="1885950"/>
          <a:ext cx="8571428" cy="1257143"/>
        </a:xfrm>
        <a:prstGeom prst="rect">
          <a:avLst/>
        </a:prstGeom>
      </xdr:spPr>
    </xdr:pic>
    <xdr:clientData/>
  </xdr:twoCellAnchor>
  <xdr:twoCellAnchor editAs="oneCell">
    <xdr:from>
      <xdr:col>0</xdr:col>
      <xdr:colOff>0</xdr:colOff>
      <xdr:row>20</xdr:row>
      <xdr:rowOff>0</xdr:rowOff>
    </xdr:from>
    <xdr:to>
      <xdr:col>12</xdr:col>
      <xdr:colOff>465638</xdr:colOff>
      <xdr:row>27</xdr:row>
      <xdr:rowOff>95088</xdr:rowOff>
    </xdr:to>
    <xdr:pic>
      <xdr:nvPicPr>
        <xdr:cNvPr id="5" name="图片 4"/>
        <xdr:cNvPicPr>
          <a:picLocks noChangeAspect="1"/>
        </xdr:cNvPicPr>
      </xdr:nvPicPr>
      <xdr:blipFill>
        <a:blip xmlns:r="http://schemas.openxmlformats.org/officeDocument/2006/relationships" r:embed="rId3"/>
        <a:stretch>
          <a:fillRect/>
        </a:stretch>
      </xdr:blipFill>
      <xdr:spPr>
        <a:xfrm>
          <a:off x="0" y="3429000"/>
          <a:ext cx="8695238" cy="1295238"/>
        </a:xfrm>
        <a:prstGeom prst="rect">
          <a:avLst/>
        </a:prstGeom>
      </xdr:spPr>
    </xdr:pic>
    <xdr:clientData/>
  </xdr:twoCellAnchor>
  <xdr:twoCellAnchor editAs="oneCell">
    <xdr:from>
      <xdr:col>13</xdr:col>
      <xdr:colOff>9525</xdr:colOff>
      <xdr:row>20</xdr:row>
      <xdr:rowOff>28575</xdr:rowOff>
    </xdr:from>
    <xdr:to>
      <xdr:col>16</xdr:col>
      <xdr:colOff>342587</xdr:colOff>
      <xdr:row>25</xdr:row>
      <xdr:rowOff>142754</xdr:rowOff>
    </xdr:to>
    <xdr:pic>
      <xdr:nvPicPr>
        <xdr:cNvPr id="6" name="图片 5"/>
        <xdr:cNvPicPr>
          <a:picLocks noChangeAspect="1"/>
        </xdr:cNvPicPr>
      </xdr:nvPicPr>
      <xdr:blipFill>
        <a:blip xmlns:r="http://schemas.openxmlformats.org/officeDocument/2006/relationships" r:embed="rId4"/>
        <a:stretch>
          <a:fillRect/>
        </a:stretch>
      </xdr:blipFill>
      <xdr:spPr>
        <a:xfrm>
          <a:off x="8924925" y="3457575"/>
          <a:ext cx="2504762" cy="971429"/>
        </a:xfrm>
        <a:prstGeom prst="rect">
          <a:avLst/>
        </a:prstGeom>
      </xdr:spPr>
    </xdr:pic>
    <xdr:clientData/>
  </xdr:twoCellAnchor>
  <xdr:twoCellAnchor editAs="oneCell">
    <xdr:from>
      <xdr:col>0</xdr:col>
      <xdr:colOff>0</xdr:colOff>
      <xdr:row>29</xdr:row>
      <xdr:rowOff>0</xdr:rowOff>
    </xdr:from>
    <xdr:to>
      <xdr:col>12</xdr:col>
      <xdr:colOff>532305</xdr:colOff>
      <xdr:row>36</xdr:row>
      <xdr:rowOff>133183</xdr:rowOff>
    </xdr:to>
    <xdr:pic>
      <xdr:nvPicPr>
        <xdr:cNvPr id="7" name="图片 6"/>
        <xdr:cNvPicPr>
          <a:picLocks noChangeAspect="1"/>
        </xdr:cNvPicPr>
      </xdr:nvPicPr>
      <xdr:blipFill>
        <a:blip xmlns:r="http://schemas.openxmlformats.org/officeDocument/2006/relationships" r:embed="rId5"/>
        <a:stretch>
          <a:fillRect/>
        </a:stretch>
      </xdr:blipFill>
      <xdr:spPr>
        <a:xfrm>
          <a:off x="0" y="4972050"/>
          <a:ext cx="8761905" cy="1333333"/>
        </a:xfrm>
        <a:prstGeom prst="rect">
          <a:avLst/>
        </a:prstGeom>
      </xdr:spPr>
    </xdr:pic>
    <xdr:clientData/>
  </xdr:twoCellAnchor>
  <xdr:twoCellAnchor editAs="oneCell">
    <xdr:from>
      <xdr:col>0</xdr:col>
      <xdr:colOff>0</xdr:colOff>
      <xdr:row>38</xdr:row>
      <xdr:rowOff>0</xdr:rowOff>
    </xdr:from>
    <xdr:to>
      <xdr:col>12</xdr:col>
      <xdr:colOff>513257</xdr:colOff>
      <xdr:row>45</xdr:row>
      <xdr:rowOff>66517</xdr:rowOff>
    </xdr:to>
    <xdr:pic>
      <xdr:nvPicPr>
        <xdr:cNvPr id="8" name="图片 7"/>
        <xdr:cNvPicPr>
          <a:picLocks noChangeAspect="1"/>
        </xdr:cNvPicPr>
      </xdr:nvPicPr>
      <xdr:blipFill>
        <a:blip xmlns:r="http://schemas.openxmlformats.org/officeDocument/2006/relationships" r:embed="rId6"/>
        <a:stretch>
          <a:fillRect/>
        </a:stretch>
      </xdr:blipFill>
      <xdr:spPr>
        <a:xfrm>
          <a:off x="0" y="6515100"/>
          <a:ext cx="8742857" cy="1266667"/>
        </a:xfrm>
        <a:prstGeom prst="rect">
          <a:avLst/>
        </a:prstGeom>
      </xdr:spPr>
    </xdr:pic>
    <xdr:clientData/>
  </xdr:twoCellAnchor>
  <xdr:twoCellAnchor editAs="oneCell">
    <xdr:from>
      <xdr:col>0</xdr:col>
      <xdr:colOff>0</xdr:colOff>
      <xdr:row>51</xdr:row>
      <xdr:rowOff>114300</xdr:rowOff>
    </xdr:from>
    <xdr:to>
      <xdr:col>8</xdr:col>
      <xdr:colOff>342171</xdr:colOff>
      <xdr:row>64</xdr:row>
      <xdr:rowOff>9260</xdr:rowOff>
    </xdr:to>
    <xdr:pic>
      <xdr:nvPicPr>
        <xdr:cNvPr id="9" name="图片 8"/>
        <xdr:cNvPicPr>
          <a:picLocks noChangeAspect="1"/>
        </xdr:cNvPicPr>
      </xdr:nvPicPr>
      <xdr:blipFill>
        <a:blip xmlns:r="http://schemas.openxmlformats.org/officeDocument/2006/relationships" r:embed="rId7"/>
        <a:stretch>
          <a:fillRect/>
        </a:stretch>
      </xdr:blipFill>
      <xdr:spPr>
        <a:xfrm>
          <a:off x="0" y="8858250"/>
          <a:ext cx="5828571" cy="2123810"/>
        </a:xfrm>
        <a:prstGeom prst="rect">
          <a:avLst/>
        </a:prstGeom>
      </xdr:spPr>
    </xdr:pic>
    <xdr:clientData/>
  </xdr:twoCellAnchor>
  <xdr:twoCellAnchor editAs="oneCell">
    <xdr:from>
      <xdr:col>0</xdr:col>
      <xdr:colOff>0</xdr:colOff>
      <xdr:row>64</xdr:row>
      <xdr:rowOff>28575</xdr:rowOff>
    </xdr:from>
    <xdr:to>
      <xdr:col>13</xdr:col>
      <xdr:colOff>446505</xdr:colOff>
      <xdr:row>88</xdr:row>
      <xdr:rowOff>151870</xdr:rowOff>
    </xdr:to>
    <xdr:pic>
      <xdr:nvPicPr>
        <xdr:cNvPr id="10" name="图片 9"/>
        <xdr:cNvPicPr>
          <a:picLocks noChangeAspect="1"/>
        </xdr:cNvPicPr>
      </xdr:nvPicPr>
      <xdr:blipFill>
        <a:blip xmlns:r="http://schemas.openxmlformats.org/officeDocument/2006/relationships" r:embed="rId8"/>
        <a:stretch>
          <a:fillRect/>
        </a:stretch>
      </xdr:blipFill>
      <xdr:spPr>
        <a:xfrm>
          <a:off x="0" y="11001375"/>
          <a:ext cx="9361905" cy="4238095"/>
        </a:xfrm>
        <a:prstGeom prst="rect">
          <a:avLst/>
        </a:prstGeom>
      </xdr:spPr>
    </xdr:pic>
    <xdr:clientData/>
  </xdr:twoCellAnchor>
  <xdr:twoCellAnchor editAs="oneCell">
    <xdr:from>
      <xdr:col>14</xdr:col>
      <xdr:colOff>28575</xdr:colOff>
      <xdr:row>1</xdr:row>
      <xdr:rowOff>152400</xdr:rowOff>
    </xdr:from>
    <xdr:to>
      <xdr:col>16</xdr:col>
      <xdr:colOff>495070</xdr:colOff>
      <xdr:row>7</xdr:row>
      <xdr:rowOff>2820</xdr:rowOff>
    </xdr:to>
    <xdr:pic>
      <xdr:nvPicPr>
        <xdr:cNvPr id="11" name="图片 10"/>
        <xdr:cNvPicPr>
          <a:picLocks noChangeAspect="1"/>
        </xdr:cNvPicPr>
      </xdr:nvPicPr>
      <xdr:blipFill>
        <a:blip xmlns:r="http://schemas.openxmlformats.org/officeDocument/2006/relationships" r:embed="rId9"/>
        <a:stretch>
          <a:fillRect/>
        </a:stretch>
      </xdr:blipFill>
      <xdr:spPr>
        <a:xfrm>
          <a:off x="9744075" y="323850"/>
          <a:ext cx="1838095" cy="876190"/>
        </a:xfrm>
        <a:prstGeom prst="rect">
          <a:avLst/>
        </a:prstGeom>
      </xdr:spPr>
    </xdr:pic>
    <xdr:clientData/>
  </xdr:twoCellAnchor>
  <xdr:twoCellAnchor editAs="oneCell">
    <xdr:from>
      <xdr:col>18</xdr:col>
      <xdr:colOff>11206</xdr:colOff>
      <xdr:row>2</xdr:row>
      <xdr:rowOff>0</xdr:rowOff>
    </xdr:from>
    <xdr:to>
      <xdr:col>25</xdr:col>
      <xdr:colOff>133350</xdr:colOff>
      <xdr:row>14</xdr:row>
      <xdr:rowOff>23493</xdr:rowOff>
    </xdr:to>
    <xdr:pic>
      <xdr:nvPicPr>
        <xdr:cNvPr id="12" name="图片 11"/>
        <xdr:cNvPicPr>
          <a:picLocks noChangeAspect="1"/>
        </xdr:cNvPicPr>
      </xdr:nvPicPr>
      <xdr:blipFill>
        <a:blip xmlns:r="http://schemas.openxmlformats.org/officeDocument/2006/relationships" r:embed="rId10"/>
        <a:stretch>
          <a:fillRect/>
        </a:stretch>
      </xdr:blipFill>
      <xdr:spPr>
        <a:xfrm>
          <a:off x="12469906" y="342900"/>
          <a:ext cx="4922744" cy="2080893"/>
        </a:xfrm>
        <a:prstGeom prst="rect">
          <a:avLst/>
        </a:prstGeom>
      </xdr:spPr>
    </xdr:pic>
    <xdr:clientData/>
  </xdr:twoCellAnchor>
  <xdr:twoCellAnchor editAs="oneCell">
    <xdr:from>
      <xdr:col>0</xdr:col>
      <xdr:colOff>0</xdr:colOff>
      <xdr:row>92</xdr:row>
      <xdr:rowOff>1</xdr:rowOff>
    </xdr:from>
    <xdr:to>
      <xdr:col>7</xdr:col>
      <xdr:colOff>9394</xdr:colOff>
      <xdr:row>124</xdr:row>
      <xdr:rowOff>1</xdr:rowOff>
    </xdr:to>
    <xdr:pic>
      <xdr:nvPicPr>
        <xdr:cNvPr id="13" name="图片 12"/>
        <xdr:cNvPicPr>
          <a:picLocks noChangeAspect="1"/>
        </xdr:cNvPicPr>
      </xdr:nvPicPr>
      <xdr:blipFill>
        <a:blip xmlns:r="http://schemas.openxmlformats.org/officeDocument/2006/relationships" r:embed="rId11"/>
        <a:stretch>
          <a:fillRect/>
        </a:stretch>
      </xdr:blipFill>
      <xdr:spPr>
        <a:xfrm>
          <a:off x="0" y="15773401"/>
          <a:ext cx="4809994" cy="5486400"/>
        </a:xfrm>
        <a:prstGeom prst="rect">
          <a:avLst/>
        </a:prstGeom>
      </xdr:spPr>
    </xdr:pic>
    <xdr:clientData/>
  </xdr:twoCellAnchor>
  <xdr:twoCellAnchor editAs="oneCell">
    <xdr:from>
      <xdr:col>0</xdr:col>
      <xdr:colOff>0</xdr:colOff>
      <xdr:row>124</xdr:row>
      <xdr:rowOff>0</xdr:rowOff>
    </xdr:from>
    <xdr:to>
      <xdr:col>8</xdr:col>
      <xdr:colOff>218362</xdr:colOff>
      <xdr:row>130</xdr:row>
      <xdr:rowOff>47490</xdr:rowOff>
    </xdr:to>
    <xdr:pic>
      <xdr:nvPicPr>
        <xdr:cNvPr id="14" name="图片 13"/>
        <xdr:cNvPicPr>
          <a:picLocks noChangeAspect="1"/>
        </xdr:cNvPicPr>
      </xdr:nvPicPr>
      <xdr:blipFill>
        <a:blip xmlns:r="http://schemas.openxmlformats.org/officeDocument/2006/relationships" r:embed="rId12"/>
        <a:stretch>
          <a:fillRect/>
        </a:stretch>
      </xdr:blipFill>
      <xdr:spPr>
        <a:xfrm>
          <a:off x="0" y="21259800"/>
          <a:ext cx="5704762" cy="1076190"/>
        </a:xfrm>
        <a:prstGeom prst="rect">
          <a:avLst/>
        </a:prstGeom>
      </xdr:spPr>
    </xdr:pic>
    <xdr:clientData/>
  </xdr:twoCellAnchor>
  <xdr:twoCellAnchor editAs="oneCell">
    <xdr:from>
      <xdr:col>13</xdr:col>
      <xdr:colOff>9525</xdr:colOff>
      <xdr:row>38</xdr:row>
      <xdr:rowOff>9525</xdr:rowOff>
    </xdr:from>
    <xdr:to>
      <xdr:col>14</xdr:col>
      <xdr:colOff>428370</xdr:colOff>
      <xdr:row>45</xdr:row>
      <xdr:rowOff>130848</xdr:rowOff>
    </xdr:to>
    <xdr:pic>
      <xdr:nvPicPr>
        <xdr:cNvPr id="15" name="图片 14"/>
        <xdr:cNvPicPr>
          <a:picLocks noChangeAspect="1"/>
        </xdr:cNvPicPr>
      </xdr:nvPicPr>
      <xdr:blipFill>
        <a:blip xmlns:r="http://schemas.openxmlformats.org/officeDocument/2006/relationships" r:embed="rId13"/>
        <a:stretch>
          <a:fillRect/>
        </a:stretch>
      </xdr:blipFill>
      <xdr:spPr>
        <a:xfrm>
          <a:off x="8924925" y="6524625"/>
          <a:ext cx="1218945" cy="1321473"/>
        </a:xfrm>
        <a:prstGeom prst="rect">
          <a:avLst/>
        </a:prstGeom>
      </xdr:spPr>
    </xdr:pic>
    <xdr:clientData/>
  </xdr:twoCellAnchor>
  <xdr:twoCellAnchor editAs="oneCell">
    <xdr:from>
      <xdr:col>14</xdr:col>
      <xdr:colOff>151572</xdr:colOff>
      <xdr:row>46</xdr:row>
      <xdr:rowOff>20706</xdr:rowOff>
    </xdr:from>
    <xdr:to>
      <xdr:col>25</xdr:col>
      <xdr:colOff>171256</xdr:colOff>
      <xdr:row>77</xdr:row>
      <xdr:rowOff>81881</xdr:rowOff>
    </xdr:to>
    <xdr:pic>
      <xdr:nvPicPr>
        <xdr:cNvPr id="16" name="图片 15"/>
        <xdr:cNvPicPr>
          <a:picLocks noChangeAspect="1"/>
        </xdr:cNvPicPr>
      </xdr:nvPicPr>
      <xdr:blipFill>
        <a:blip xmlns:r="http://schemas.openxmlformats.org/officeDocument/2006/relationships" r:embed="rId14"/>
        <a:stretch>
          <a:fillRect/>
        </a:stretch>
      </xdr:blipFill>
      <xdr:spPr>
        <a:xfrm>
          <a:off x="9891920" y="8021706"/>
          <a:ext cx="7581706" cy="545315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28</xdr:row>
      <xdr:rowOff>0</xdr:rowOff>
    </xdr:from>
    <xdr:to>
      <xdr:col>8</xdr:col>
      <xdr:colOff>355423</xdr:colOff>
      <xdr:row>40</xdr:row>
      <xdr:rowOff>98712</xdr:rowOff>
    </xdr:to>
    <xdr:pic>
      <xdr:nvPicPr>
        <xdr:cNvPr id="3" name="图片 2"/>
        <xdr:cNvPicPr>
          <a:picLocks noChangeAspect="1"/>
        </xdr:cNvPicPr>
      </xdr:nvPicPr>
      <xdr:blipFill>
        <a:blip xmlns:r="http://schemas.openxmlformats.org/officeDocument/2006/relationships" r:embed="rId1"/>
        <a:stretch>
          <a:fillRect/>
        </a:stretch>
      </xdr:blipFill>
      <xdr:spPr>
        <a:xfrm>
          <a:off x="0" y="4800600"/>
          <a:ext cx="5841823" cy="2156112"/>
        </a:xfrm>
        <a:prstGeom prst="rect">
          <a:avLst/>
        </a:prstGeom>
      </xdr:spPr>
    </xdr:pic>
    <xdr:clientData/>
  </xdr:twoCellAnchor>
  <xdr:twoCellAnchor editAs="oneCell">
    <xdr:from>
      <xdr:col>0</xdr:col>
      <xdr:colOff>0</xdr:colOff>
      <xdr:row>40</xdr:row>
      <xdr:rowOff>118027</xdr:rowOff>
    </xdr:from>
    <xdr:to>
      <xdr:col>12</xdr:col>
      <xdr:colOff>277540</xdr:colOff>
      <xdr:row>65</xdr:row>
      <xdr:rowOff>129507</xdr:rowOff>
    </xdr:to>
    <xdr:pic>
      <xdr:nvPicPr>
        <xdr:cNvPr id="4" name="图片 3"/>
        <xdr:cNvPicPr>
          <a:picLocks noChangeAspect="1"/>
        </xdr:cNvPicPr>
      </xdr:nvPicPr>
      <xdr:blipFill>
        <a:blip xmlns:r="http://schemas.openxmlformats.org/officeDocument/2006/relationships" r:embed="rId2"/>
        <a:stretch>
          <a:fillRect/>
        </a:stretch>
      </xdr:blipFill>
      <xdr:spPr>
        <a:xfrm>
          <a:off x="0" y="6976027"/>
          <a:ext cx="9383440" cy="4297730"/>
        </a:xfrm>
        <a:prstGeom prst="rect">
          <a:avLst/>
        </a:prstGeom>
      </xdr:spPr>
    </xdr:pic>
    <xdr:clientData/>
  </xdr:twoCellAnchor>
  <xdr:twoCellAnchor editAs="oneCell">
    <xdr:from>
      <xdr:col>0</xdr:col>
      <xdr:colOff>0</xdr:colOff>
      <xdr:row>68</xdr:row>
      <xdr:rowOff>142875</xdr:rowOff>
    </xdr:from>
    <xdr:to>
      <xdr:col>7</xdr:col>
      <xdr:colOff>20990</xdr:colOff>
      <xdr:row>101</xdr:row>
      <xdr:rowOff>50938</xdr:rowOff>
    </xdr:to>
    <xdr:pic>
      <xdr:nvPicPr>
        <xdr:cNvPr id="5" name="图片 4"/>
        <xdr:cNvPicPr>
          <a:picLocks noChangeAspect="1"/>
        </xdr:cNvPicPr>
      </xdr:nvPicPr>
      <xdr:blipFill>
        <a:blip xmlns:r="http://schemas.openxmlformats.org/officeDocument/2006/relationships" r:embed="rId3"/>
        <a:stretch>
          <a:fillRect/>
        </a:stretch>
      </xdr:blipFill>
      <xdr:spPr>
        <a:xfrm>
          <a:off x="0" y="11801475"/>
          <a:ext cx="4821590" cy="5565913"/>
        </a:xfrm>
        <a:prstGeom prst="rect">
          <a:avLst/>
        </a:prstGeom>
      </xdr:spPr>
    </xdr:pic>
    <xdr:clientData/>
  </xdr:twoCellAnchor>
  <xdr:twoCellAnchor editAs="oneCell">
    <xdr:from>
      <xdr:col>0</xdr:col>
      <xdr:colOff>0</xdr:colOff>
      <xdr:row>101</xdr:row>
      <xdr:rowOff>50937</xdr:rowOff>
    </xdr:from>
    <xdr:to>
      <xdr:col>8</xdr:col>
      <xdr:colOff>231614</xdr:colOff>
      <xdr:row>107</xdr:row>
      <xdr:rowOff>113336</xdr:rowOff>
    </xdr:to>
    <xdr:pic>
      <xdr:nvPicPr>
        <xdr:cNvPr id="6" name="图片 5"/>
        <xdr:cNvPicPr>
          <a:picLocks noChangeAspect="1"/>
        </xdr:cNvPicPr>
      </xdr:nvPicPr>
      <xdr:blipFill>
        <a:blip xmlns:r="http://schemas.openxmlformats.org/officeDocument/2006/relationships" r:embed="rId4"/>
        <a:stretch>
          <a:fillRect/>
        </a:stretch>
      </xdr:blipFill>
      <xdr:spPr>
        <a:xfrm>
          <a:off x="0" y="17367387"/>
          <a:ext cx="5718014" cy="1091099"/>
        </a:xfrm>
        <a:prstGeom prst="rect">
          <a:avLst/>
        </a:prstGeom>
      </xdr:spPr>
    </xdr:pic>
    <xdr:clientData/>
  </xdr:twoCellAnchor>
  <xdr:twoCellAnchor editAs="oneCell">
    <xdr:from>
      <xdr:col>11</xdr:col>
      <xdr:colOff>0</xdr:colOff>
      <xdr:row>4</xdr:row>
      <xdr:rowOff>0</xdr:rowOff>
    </xdr:from>
    <xdr:to>
      <xdr:col>20</xdr:col>
      <xdr:colOff>684918</xdr:colOff>
      <xdr:row>22</xdr:row>
      <xdr:rowOff>47233</xdr:rowOff>
    </xdr:to>
    <xdr:pic>
      <xdr:nvPicPr>
        <xdr:cNvPr id="9" name="图片 8"/>
        <xdr:cNvPicPr>
          <a:picLocks noChangeAspect="1"/>
        </xdr:cNvPicPr>
      </xdr:nvPicPr>
      <xdr:blipFill>
        <a:blip xmlns:r="http://schemas.openxmlformats.org/officeDocument/2006/relationships" r:embed="rId5"/>
        <a:stretch>
          <a:fillRect/>
        </a:stretch>
      </xdr:blipFill>
      <xdr:spPr>
        <a:xfrm>
          <a:off x="7543800" y="685800"/>
          <a:ext cx="7057143" cy="3133333"/>
        </a:xfrm>
        <a:prstGeom prst="rect">
          <a:avLst/>
        </a:prstGeom>
      </xdr:spPr>
    </xdr:pic>
    <xdr:clientData/>
  </xdr:twoCellAnchor>
  <xdr:twoCellAnchor editAs="oneCell">
    <xdr:from>
      <xdr:col>11</xdr:col>
      <xdr:colOff>0</xdr:colOff>
      <xdr:row>23</xdr:row>
      <xdr:rowOff>0</xdr:rowOff>
    </xdr:from>
    <xdr:to>
      <xdr:col>21</xdr:col>
      <xdr:colOff>18165</xdr:colOff>
      <xdr:row>31</xdr:row>
      <xdr:rowOff>28400</xdr:rowOff>
    </xdr:to>
    <xdr:pic>
      <xdr:nvPicPr>
        <xdr:cNvPr id="10" name="图片 9"/>
        <xdr:cNvPicPr>
          <a:picLocks noChangeAspect="1"/>
        </xdr:cNvPicPr>
      </xdr:nvPicPr>
      <xdr:blipFill>
        <a:blip xmlns:r="http://schemas.openxmlformats.org/officeDocument/2006/relationships" r:embed="rId6"/>
        <a:stretch>
          <a:fillRect/>
        </a:stretch>
      </xdr:blipFill>
      <xdr:spPr>
        <a:xfrm>
          <a:off x="7543800" y="3943350"/>
          <a:ext cx="7076190" cy="1400000"/>
        </a:xfrm>
        <a:prstGeom prst="rect">
          <a:avLst/>
        </a:prstGeom>
      </xdr:spPr>
    </xdr:pic>
    <xdr:clientData/>
  </xdr:twoCellAnchor>
  <xdr:twoCellAnchor editAs="oneCell">
    <xdr:from>
      <xdr:col>11</xdr:col>
      <xdr:colOff>0</xdr:colOff>
      <xdr:row>32</xdr:row>
      <xdr:rowOff>0</xdr:rowOff>
    </xdr:from>
    <xdr:to>
      <xdr:col>21</xdr:col>
      <xdr:colOff>18165</xdr:colOff>
      <xdr:row>38</xdr:row>
      <xdr:rowOff>47490</xdr:rowOff>
    </xdr:to>
    <xdr:pic>
      <xdr:nvPicPr>
        <xdr:cNvPr id="11" name="图片 10"/>
        <xdr:cNvPicPr>
          <a:picLocks noChangeAspect="1"/>
        </xdr:cNvPicPr>
      </xdr:nvPicPr>
      <xdr:blipFill>
        <a:blip xmlns:r="http://schemas.openxmlformats.org/officeDocument/2006/relationships" r:embed="rId7"/>
        <a:stretch>
          <a:fillRect/>
        </a:stretch>
      </xdr:blipFill>
      <xdr:spPr>
        <a:xfrm>
          <a:off x="7543800" y="5486400"/>
          <a:ext cx="7076190" cy="1076190"/>
        </a:xfrm>
        <a:prstGeom prst="rect">
          <a:avLst/>
        </a:prstGeom>
      </xdr:spPr>
    </xdr:pic>
    <xdr:clientData/>
  </xdr:twoCellAnchor>
  <xdr:twoCellAnchor editAs="oneCell">
    <xdr:from>
      <xdr:col>7</xdr:col>
      <xdr:colOff>95250</xdr:colOff>
      <xdr:row>69</xdr:row>
      <xdr:rowOff>28575</xdr:rowOff>
    </xdr:from>
    <xdr:to>
      <xdr:col>14</xdr:col>
      <xdr:colOff>256420</xdr:colOff>
      <xdr:row>92</xdr:row>
      <xdr:rowOff>75701</xdr:rowOff>
    </xdr:to>
    <xdr:pic>
      <xdr:nvPicPr>
        <xdr:cNvPr id="12" name="图片 11"/>
        <xdr:cNvPicPr>
          <a:picLocks noChangeAspect="1"/>
        </xdr:cNvPicPr>
      </xdr:nvPicPr>
      <xdr:blipFill>
        <a:blip xmlns:r="http://schemas.openxmlformats.org/officeDocument/2006/relationships" r:embed="rId8"/>
        <a:stretch>
          <a:fillRect/>
        </a:stretch>
      </xdr:blipFill>
      <xdr:spPr>
        <a:xfrm>
          <a:off x="4895850" y="11858625"/>
          <a:ext cx="6038095" cy="3990476"/>
        </a:xfrm>
        <a:prstGeom prst="rect">
          <a:avLst/>
        </a:prstGeom>
      </xdr:spPr>
    </xdr:pic>
    <xdr:clientData/>
  </xdr:twoCellAnchor>
  <xdr:twoCellAnchor editAs="oneCell">
    <xdr:from>
      <xdr:col>0</xdr:col>
      <xdr:colOff>0</xdr:colOff>
      <xdr:row>114</xdr:row>
      <xdr:rowOff>0</xdr:rowOff>
    </xdr:from>
    <xdr:to>
      <xdr:col>8</xdr:col>
      <xdr:colOff>523124</xdr:colOff>
      <xdr:row>145</xdr:row>
      <xdr:rowOff>56479</xdr:rowOff>
    </xdr:to>
    <xdr:pic>
      <xdr:nvPicPr>
        <xdr:cNvPr id="7" name="图片 6"/>
        <xdr:cNvPicPr>
          <a:picLocks noChangeAspect="1"/>
        </xdr:cNvPicPr>
      </xdr:nvPicPr>
      <xdr:blipFill>
        <a:blip xmlns:r="http://schemas.openxmlformats.org/officeDocument/2006/relationships" r:embed="rId9"/>
        <a:stretch>
          <a:fillRect/>
        </a:stretch>
      </xdr:blipFill>
      <xdr:spPr>
        <a:xfrm>
          <a:off x="0" y="19545300"/>
          <a:ext cx="6009524" cy="5371429"/>
        </a:xfrm>
        <a:prstGeom prst="rect">
          <a:avLst/>
        </a:prstGeom>
      </xdr:spPr>
    </xdr:pic>
    <xdr:clientData/>
  </xdr:twoCellAnchor>
  <xdr:twoCellAnchor editAs="oneCell">
    <xdr:from>
      <xdr:col>0</xdr:col>
      <xdr:colOff>0</xdr:colOff>
      <xdr:row>145</xdr:row>
      <xdr:rowOff>0</xdr:rowOff>
    </xdr:from>
    <xdr:to>
      <xdr:col>8</xdr:col>
      <xdr:colOff>285029</xdr:colOff>
      <xdr:row>154</xdr:row>
      <xdr:rowOff>47426</xdr:rowOff>
    </xdr:to>
    <xdr:pic>
      <xdr:nvPicPr>
        <xdr:cNvPr id="8" name="图片 7"/>
        <xdr:cNvPicPr>
          <a:picLocks noChangeAspect="1"/>
        </xdr:cNvPicPr>
      </xdr:nvPicPr>
      <xdr:blipFill>
        <a:blip xmlns:r="http://schemas.openxmlformats.org/officeDocument/2006/relationships" r:embed="rId10"/>
        <a:stretch>
          <a:fillRect/>
        </a:stretch>
      </xdr:blipFill>
      <xdr:spPr>
        <a:xfrm>
          <a:off x="0" y="24860250"/>
          <a:ext cx="5771429" cy="1590476"/>
        </a:xfrm>
        <a:prstGeom prst="rect">
          <a:avLst/>
        </a:prstGeom>
      </xdr:spPr>
    </xdr:pic>
    <xdr:clientData/>
  </xdr:twoCellAnchor>
  <xdr:twoCellAnchor editAs="oneCell">
    <xdr:from>
      <xdr:col>0</xdr:col>
      <xdr:colOff>0</xdr:colOff>
      <xdr:row>155</xdr:row>
      <xdr:rowOff>0</xdr:rowOff>
    </xdr:from>
    <xdr:to>
      <xdr:col>8</xdr:col>
      <xdr:colOff>46933</xdr:colOff>
      <xdr:row>162</xdr:row>
      <xdr:rowOff>76040</xdr:rowOff>
    </xdr:to>
    <xdr:pic>
      <xdr:nvPicPr>
        <xdr:cNvPr id="13" name="图片 12"/>
        <xdr:cNvPicPr>
          <a:picLocks noChangeAspect="1"/>
        </xdr:cNvPicPr>
      </xdr:nvPicPr>
      <xdr:blipFill>
        <a:blip xmlns:r="http://schemas.openxmlformats.org/officeDocument/2006/relationships" r:embed="rId11"/>
        <a:stretch>
          <a:fillRect/>
        </a:stretch>
      </xdr:blipFill>
      <xdr:spPr>
        <a:xfrm>
          <a:off x="0" y="26574750"/>
          <a:ext cx="5533333" cy="1276190"/>
        </a:xfrm>
        <a:prstGeom prst="rect">
          <a:avLst/>
        </a:prstGeom>
      </xdr:spPr>
    </xdr:pic>
    <xdr:clientData/>
  </xdr:twoCellAnchor>
  <xdr:twoCellAnchor editAs="oneCell">
    <xdr:from>
      <xdr:col>8</xdr:col>
      <xdr:colOff>533400</xdr:colOff>
      <xdr:row>116</xdr:row>
      <xdr:rowOff>152400</xdr:rowOff>
    </xdr:from>
    <xdr:to>
      <xdr:col>14</xdr:col>
      <xdr:colOff>589433</xdr:colOff>
      <xdr:row>135</xdr:row>
      <xdr:rowOff>16294</xdr:rowOff>
    </xdr:to>
    <xdr:pic>
      <xdr:nvPicPr>
        <xdr:cNvPr id="14" name="图片 13"/>
        <xdr:cNvPicPr>
          <a:picLocks noChangeAspect="1"/>
        </xdr:cNvPicPr>
      </xdr:nvPicPr>
      <xdr:blipFill>
        <a:blip xmlns:r="http://schemas.openxmlformats.org/officeDocument/2006/relationships" r:embed="rId12"/>
        <a:stretch>
          <a:fillRect/>
        </a:stretch>
      </xdr:blipFill>
      <xdr:spPr>
        <a:xfrm>
          <a:off x="6019800" y="20040600"/>
          <a:ext cx="5247158" cy="3121444"/>
        </a:xfrm>
        <a:prstGeom prst="rect">
          <a:avLst/>
        </a:prstGeom>
      </xdr:spPr>
    </xdr:pic>
    <xdr:clientData/>
  </xdr:twoCellAnchor>
  <xdr:twoCellAnchor editAs="oneCell">
    <xdr:from>
      <xdr:col>0</xdr:col>
      <xdr:colOff>0</xdr:colOff>
      <xdr:row>167</xdr:row>
      <xdr:rowOff>0</xdr:rowOff>
    </xdr:from>
    <xdr:to>
      <xdr:col>10</xdr:col>
      <xdr:colOff>408667</xdr:colOff>
      <xdr:row>174</xdr:row>
      <xdr:rowOff>18898</xdr:rowOff>
    </xdr:to>
    <xdr:pic>
      <xdr:nvPicPr>
        <xdr:cNvPr id="15" name="图片 14"/>
        <xdr:cNvPicPr>
          <a:picLocks noChangeAspect="1"/>
        </xdr:cNvPicPr>
      </xdr:nvPicPr>
      <xdr:blipFill>
        <a:blip xmlns:r="http://schemas.openxmlformats.org/officeDocument/2006/relationships" r:embed="rId13"/>
        <a:stretch>
          <a:fillRect/>
        </a:stretch>
      </xdr:blipFill>
      <xdr:spPr>
        <a:xfrm>
          <a:off x="0" y="28632150"/>
          <a:ext cx="7266667" cy="1219048"/>
        </a:xfrm>
        <a:prstGeom prst="rect">
          <a:avLst/>
        </a:prstGeom>
      </xdr:spPr>
    </xdr:pic>
    <xdr:clientData/>
  </xdr:twoCellAnchor>
  <xdr:twoCellAnchor editAs="oneCell">
    <xdr:from>
      <xdr:col>0</xdr:col>
      <xdr:colOff>0</xdr:colOff>
      <xdr:row>175</xdr:row>
      <xdr:rowOff>0</xdr:rowOff>
    </xdr:from>
    <xdr:to>
      <xdr:col>9</xdr:col>
      <xdr:colOff>399229</xdr:colOff>
      <xdr:row>179</xdr:row>
      <xdr:rowOff>171343</xdr:rowOff>
    </xdr:to>
    <xdr:pic>
      <xdr:nvPicPr>
        <xdr:cNvPr id="16" name="图片 15"/>
        <xdr:cNvPicPr>
          <a:picLocks noChangeAspect="1"/>
        </xdr:cNvPicPr>
      </xdr:nvPicPr>
      <xdr:blipFill>
        <a:blip xmlns:r="http://schemas.openxmlformats.org/officeDocument/2006/relationships" r:embed="rId14"/>
        <a:stretch>
          <a:fillRect/>
        </a:stretch>
      </xdr:blipFill>
      <xdr:spPr>
        <a:xfrm>
          <a:off x="0" y="30003750"/>
          <a:ext cx="6571429" cy="857143"/>
        </a:xfrm>
        <a:prstGeom prst="rect">
          <a:avLst/>
        </a:prstGeom>
      </xdr:spPr>
    </xdr:pic>
    <xdr:clientData/>
  </xdr:twoCellAnchor>
  <xdr:twoCellAnchor editAs="oneCell">
    <xdr:from>
      <xdr:col>0</xdr:col>
      <xdr:colOff>0</xdr:colOff>
      <xdr:row>180</xdr:row>
      <xdr:rowOff>0</xdr:rowOff>
    </xdr:from>
    <xdr:to>
      <xdr:col>10</xdr:col>
      <xdr:colOff>227714</xdr:colOff>
      <xdr:row>190</xdr:row>
      <xdr:rowOff>66452</xdr:rowOff>
    </xdr:to>
    <xdr:pic>
      <xdr:nvPicPr>
        <xdr:cNvPr id="17" name="图片 16"/>
        <xdr:cNvPicPr>
          <a:picLocks noChangeAspect="1"/>
        </xdr:cNvPicPr>
      </xdr:nvPicPr>
      <xdr:blipFill>
        <a:blip xmlns:r="http://schemas.openxmlformats.org/officeDocument/2006/relationships" r:embed="rId15"/>
        <a:stretch>
          <a:fillRect/>
        </a:stretch>
      </xdr:blipFill>
      <xdr:spPr>
        <a:xfrm>
          <a:off x="0" y="30861000"/>
          <a:ext cx="7085714" cy="1780952"/>
        </a:xfrm>
        <a:prstGeom prst="rect">
          <a:avLst/>
        </a:prstGeom>
      </xdr:spPr>
    </xdr:pic>
    <xdr:clientData/>
  </xdr:twoCellAnchor>
  <xdr:twoCellAnchor editAs="oneCell">
    <xdr:from>
      <xdr:col>0</xdr:col>
      <xdr:colOff>0</xdr:colOff>
      <xdr:row>193</xdr:row>
      <xdr:rowOff>0</xdr:rowOff>
    </xdr:from>
    <xdr:to>
      <xdr:col>8</xdr:col>
      <xdr:colOff>123124</xdr:colOff>
      <xdr:row>206</xdr:row>
      <xdr:rowOff>142579</xdr:rowOff>
    </xdr:to>
    <xdr:pic>
      <xdr:nvPicPr>
        <xdr:cNvPr id="18" name="图片 17"/>
        <xdr:cNvPicPr>
          <a:picLocks noChangeAspect="1"/>
        </xdr:cNvPicPr>
      </xdr:nvPicPr>
      <xdr:blipFill>
        <a:blip xmlns:r="http://schemas.openxmlformats.org/officeDocument/2006/relationships" r:embed="rId16"/>
        <a:stretch>
          <a:fillRect/>
        </a:stretch>
      </xdr:blipFill>
      <xdr:spPr>
        <a:xfrm>
          <a:off x="0" y="33089850"/>
          <a:ext cx="5609524" cy="2371429"/>
        </a:xfrm>
        <a:prstGeom prst="rect">
          <a:avLst/>
        </a:prstGeom>
      </xdr:spPr>
    </xdr:pic>
    <xdr:clientData/>
  </xdr:twoCellAnchor>
  <xdr:twoCellAnchor editAs="oneCell">
    <xdr:from>
      <xdr:col>0</xdr:col>
      <xdr:colOff>0</xdr:colOff>
      <xdr:row>207</xdr:row>
      <xdr:rowOff>0</xdr:rowOff>
    </xdr:from>
    <xdr:to>
      <xdr:col>9</xdr:col>
      <xdr:colOff>284943</xdr:colOff>
      <xdr:row>217</xdr:row>
      <xdr:rowOff>75976</xdr:rowOff>
    </xdr:to>
    <xdr:pic>
      <xdr:nvPicPr>
        <xdr:cNvPr id="19" name="图片 18"/>
        <xdr:cNvPicPr>
          <a:picLocks noChangeAspect="1"/>
        </xdr:cNvPicPr>
      </xdr:nvPicPr>
      <xdr:blipFill>
        <a:blip xmlns:r="http://schemas.openxmlformats.org/officeDocument/2006/relationships" r:embed="rId17"/>
        <a:stretch>
          <a:fillRect/>
        </a:stretch>
      </xdr:blipFill>
      <xdr:spPr>
        <a:xfrm>
          <a:off x="0" y="35490150"/>
          <a:ext cx="6457143" cy="1790476"/>
        </a:xfrm>
        <a:prstGeom prst="rect">
          <a:avLst/>
        </a:prstGeom>
      </xdr:spPr>
    </xdr:pic>
    <xdr:clientData/>
  </xdr:twoCellAnchor>
  <xdr:twoCellAnchor editAs="oneCell">
    <xdr:from>
      <xdr:col>0</xdr:col>
      <xdr:colOff>0</xdr:colOff>
      <xdr:row>217</xdr:row>
      <xdr:rowOff>152400</xdr:rowOff>
    </xdr:from>
    <xdr:to>
      <xdr:col>9</xdr:col>
      <xdr:colOff>654385</xdr:colOff>
      <xdr:row>227</xdr:row>
      <xdr:rowOff>56919</xdr:rowOff>
    </xdr:to>
    <xdr:pic>
      <xdr:nvPicPr>
        <xdr:cNvPr id="20" name="图片 19"/>
        <xdr:cNvPicPr>
          <a:picLocks noChangeAspect="1"/>
        </xdr:cNvPicPr>
      </xdr:nvPicPr>
      <xdr:blipFill>
        <a:blip xmlns:r="http://schemas.openxmlformats.org/officeDocument/2006/relationships" r:embed="rId18"/>
        <a:stretch>
          <a:fillRect/>
        </a:stretch>
      </xdr:blipFill>
      <xdr:spPr>
        <a:xfrm>
          <a:off x="0" y="37357050"/>
          <a:ext cx="6826585" cy="1619019"/>
        </a:xfrm>
        <a:prstGeom prst="rect">
          <a:avLst/>
        </a:prstGeom>
      </xdr:spPr>
    </xdr:pic>
    <xdr:clientData/>
  </xdr:twoCellAnchor>
  <xdr:twoCellAnchor editAs="oneCell">
    <xdr:from>
      <xdr:col>0</xdr:col>
      <xdr:colOff>1</xdr:colOff>
      <xdr:row>231</xdr:row>
      <xdr:rowOff>0</xdr:rowOff>
    </xdr:from>
    <xdr:to>
      <xdr:col>10</xdr:col>
      <xdr:colOff>558183</xdr:colOff>
      <xdr:row>260</xdr:row>
      <xdr:rowOff>104119</xdr:rowOff>
    </xdr:to>
    <xdr:pic>
      <xdr:nvPicPr>
        <xdr:cNvPr id="22" name="图片 21"/>
        <xdr:cNvPicPr>
          <a:picLocks noChangeAspect="1"/>
        </xdr:cNvPicPr>
      </xdr:nvPicPr>
      <xdr:blipFill>
        <a:blip xmlns:r="http://schemas.openxmlformats.org/officeDocument/2006/relationships" r:embed="rId19"/>
        <a:stretch>
          <a:fillRect/>
        </a:stretch>
      </xdr:blipFill>
      <xdr:spPr>
        <a:xfrm>
          <a:off x="1" y="39604950"/>
          <a:ext cx="7416182" cy="5076169"/>
        </a:xfrm>
        <a:prstGeom prst="rect">
          <a:avLst/>
        </a:prstGeom>
      </xdr:spPr>
    </xdr:pic>
    <xdr:clientData/>
  </xdr:twoCellAnchor>
  <xdr:twoCellAnchor editAs="oneCell">
    <xdr:from>
      <xdr:col>0</xdr:col>
      <xdr:colOff>1</xdr:colOff>
      <xdr:row>0</xdr:row>
      <xdr:rowOff>1</xdr:rowOff>
    </xdr:from>
    <xdr:to>
      <xdr:col>8</xdr:col>
      <xdr:colOff>627530</xdr:colOff>
      <xdr:row>25</xdr:row>
      <xdr:rowOff>102919</xdr:rowOff>
    </xdr:to>
    <xdr:pic>
      <xdr:nvPicPr>
        <xdr:cNvPr id="21" name="图片 20"/>
        <xdr:cNvPicPr>
          <a:picLocks noChangeAspect="1"/>
        </xdr:cNvPicPr>
      </xdr:nvPicPr>
      <xdr:blipFill>
        <a:blip xmlns:r="http://schemas.openxmlformats.org/officeDocument/2006/relationships" r:embed="rId20"/>
        <a:stretch>
          <a:fillRect/>
        </a:stretch>
      </xdr:blipFill>
      <xdr:spPr>
        <a:xfrm>
          <a:off x="1" y="1"/>
          <a:ext cx="6096000" cy="430512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G:\Users\weiliru\Documents\WeChat%20Files\wxid_qmz5pcs5b3ta21\FileStorage\File\2022-03\&#26093;&#23431;&#12304;2021&#12305;&#8212;&#30005;&#31639;&#34920;%20&#3245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G:\&#36164;&#20135;&#24037;&#20316;\&#39033;&#30446;\&#24050;&#20986;&#39033;&#30446;\2022&#24180;\2022&#39640;&#21644;-&#34701;&#20013;&#24515;\&#36807;&#31243;\&#20462;&#25913;-01-&#26093;&#23431;-A&#24231;&#27979;&#31639;&#35843;&#25972;-&#20108;&#23457;.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G:\&#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面积3号楼"/>
      <sheetName val="面积2号楼"/>
      <sheetName val="大宗交易案例"/>
      <sheetName val="周边商业案例"/>
      <sheetName val="案例位置"/>
      <sheetName val="中指"/>
      <sheetName val="Sheet1"/>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sheetData>
      <sheetData sheetId="9">
        <row r="1">
          <cell r="A1" t="str">
            <v>用途类型</v>
          </cell>
          <cell r="B1" t="str">
            <v>估价方法</v>
          </cell>
          <cell r="C1" t="str">
            <v>土地级别</v>
          </cell>
          <cell r="D1" t="str">
            <v>判定</v>
          </cell>
          <cell r="F1" t="str">
            <v>主用途</v>
          </cell>
          <cell r="G1" t="str">
            <v>法定最高年限</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cell r="I7" t="str">
            <v>10-20（含）</v>
          </cell>
        </row>
        <row r="8">
          <cell r="A8" t="str">
            <v>叠拼</v>
          </cell>
          <cell r="B8" t="str">
            <v>比较法-住宅</v>
          </cell>
          <cell r="C8" t="str">
            <v>七级</v>
          </cell>
          <cell r="F8" t="str">
            <v>车库—办公</v>
          </cell>
          <cell r="I8" t="str">
            <v>0-10（含）</v>
          </cell>
        </row>
        <row r="9">
          <cell r="A9" t="str">
            <v>联排</v>
          </cell>
          <cell r="B9" t="str">
            <v>比较法-商业</v>
          </cell>
          <cell r="C9" t="str">
            <v>八级</v>
          </cell>
          <cell r="F9" t="str">
            <v>仓储</v>
          </cell>
        </row>
        <row r="10">
          <cell r="A10" t="str">
            <v>双拼</v>
          </cell>
          <cell r="B10" t="str">
            <v>比较法-办公</v>
          </cell>
          <cell r="C10" t="str">
            <v>九级</v>
          </cell>
          <cell r="F10" t="str">
            <v>——</v>
          </cell>
        </row>
        <row r="11">
          <cell r="A11" t="str">
            <v>独栋</v>
          </cell>
          <cell r="B11" t="str">
            <v>比较法-工业</v>
          </cell>
          <cell r="C11" t="str">
            <v>十级</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典型户型修正</v>
          </cell>
        </row>
        <row r="18">
          <cell r="A18" t="str">
            <v>办公楼</v>
          </cell>
          <cell r="B18" t="str">
            <v>*</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附属用房</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sheetData sheetId="11"/>
      <sheetData sheetId="12"/>
      <sheetData sheetId="13">
        <row r="17">
          <cell r="C17" t="str">
            <v>项目类型</v>
          </cell>
        </row>
        <row r="19">
          <cell r="C19" t="str">
            <v>独立商业</v>
          </cell>
        </row>
        <row r="20">
          <cell r="C20" t="str">
            <v>车库</v>
          </cell>
        </row>
      </sheetData>
      <sheetData sheetId="14">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sheetData sheetId="16"/>
      <sheetData sheetId="17"/>
      <sheetData sheetId="18"/>
      <sheetData sheetId="19"/>
      <sheetData sheetId="20"/>
      <sheetData sheetId="21"/>
      <sheetData sheetId="22"/>
      <sheetData sheetId="23"/>
      <sheetData sheetId="24"/>
      <sheetData sheetId="25">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26">
        <row r="61">
          <cell r="A61" t="str">
            <v>交易情况</v>
          </cell>
          <cell r="C61" t="str">
            <v>正常</v>
          </cell>
        </row>
        <row r="63">
          <cell r="B63" t="str">
            <v>用途</v>
          </cell>
          <cell r="C63" t="str">
            <v>商业、办公、地下车库</v>
          </cell>
          <cell r="D63" t="str">
            <v>商业、办公</v>
          </cell>
          <cell r="E63" t="str">
            <v>商业</v>
          </cell>
        </row>
        <row r="86">
          <cell r="B86" t="str">
            <v>临街状况</v>
          </cell>
        </row>
        <row r="90">
          <cell r="B90" t="str">
            <v>人流量</v>
          </cell>
        </row>
        <row r="92">
          <cell r="B92" t="str">
            <v>楼层</v>
          </cell>
        </row>
        <row r="100">
          <cell r="B100" t="str">
            <v>商业类型</v>
          </cell>
          <cell r="C100" t="str">
            <v>综合体</v>
          </cell>
        </row>
        <row r="105">
          <cell r="B105" t="str">
            <v>建筑结构</v>
          </cell>
          <cell r="C105" t="str">
            <v>塔楼</v>
          </cell>
        </row>
        <row r="107">
          <cell r="B107" t="str">
            <v>公共部分装修</v>
          </cell>
          <cell r="C107" t="str">
            <v>精装修</v>
          </cell>
        </row>
        <row r="112">
          <cell r="B112" t="str">
            <v>市政基础设施</v>
          </cell>
          <cell r="C112" t="str">
            <v>七通</v>
          </cell>
        </row>
        <row r="114">
          <cell r="B114" t="str">
            <v>业态</v>
          </cell>
        </row>
        <row r="116">
          <cell r="B116" t="str">
            <v>层高</v>
          </cell>
          <cell r="C116" t="str">
            <v>标准层高</v>
          </cell>
        </row>
        <row r="120">
          <cell r="B120" t="str">
            <v>进深比</v>
          </cell>
        </row>
        <row r="122">
          <cell r="B122" t="str">
            <v>内部装修</v>
          </cell>
          <cell r="C122" t="str">
            <v>毛坯</v>
          </cell>
          <cell r="D122" t="str">
            <v>普通装修</v>
          </cell>
          <cell r="E122" t="str">
            <v>精装修</v>
          </cell>
        </row>
      </sheetData>
      <sheetData sheetId="27">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28">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29">
        <row r="51">
          <cell r="A51" t="str">
            <v>交易情况</v>
          </cell>
          <cell r="C51" t="str">
            <v>正常</v>
          </cell>
        </row>
        <row r="53">
          <cell r="B53" t="str">
            <v>用途</v>
          </cell>
          <cell r="C53">
            <v>0</v>
          </cell>
        </row>
        <row r="71">
          <cell r="B71" t="str">
            <v>楼层</v>
          </cell>
        </row>
        <row r="79">
          <cell r="B79" t="str">
            <v>配套类型（地上主用途）</v>
          </cell>
          <cell r="C79" t="str">
            <v>商业</v>
          </cell>
        </row>
        <row r="83">
          <cell r="B83" t="str">
            <v>公共部分装修</v>
          </cell>
        </row>
        <row r="88">
          <cell r="B88" t="str">
            <v>物业等级</v>
          </cell>
        </row>
        <row r="93">
          <cell r="B93" t="str">
            <v>车位类型</v>
          </cell>
        </row>
        <row r="95">
          <cell r="B95" t="str">
            <v>是否直接入户</v>
          </cell>
        </row>
      </sheetData>
      <sheetData sheetId="30">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1">
        <row r="73">
          <cell r="A73" t="str">
            <v>交易情况</v>
          </cell>
          <cell r="C73" t="str">
            <v>正常</v>
          </cell>
        </row>
        <row r="75">
          <cell r="B75" t="str">
            <v>用途</v>
          </cell>
        </row>
        <row r="106">
          <cell r="B106" t="str">
            <v>毗邻道路的类型与等级</v>
          </cell>
        </row>
        <row r="108">
          <cell r="B108" t="str">
            <v>土地级别</v>
          </cell>
        </row>
        <row r="119">
          <cell r="B119" t="str">
            <v>宗地形状</v>
          </cell>
        </row>
        <row r="121">
          <cell r="B121" t="str">
            <v>临街宽度及深度</v>
          </cell>
        </row>
        <row r="123">
          <cell r="B123" t="str">
            <v>宗地开发程度</v>
          </cell>
        </row>
        <row r="125">
          <cell r="B125" t="str">
            <v>工程地质条件</v>
          </cell>
        </row>
      </sheetData>
      <sheetData sheetId="32">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3"/>
      <sheetData sheetId="34">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row r="119">
          <cell r="C119" t="str">
            <v>不临58条商业街</v>
          </cell>
        </row>
      </sheetData>
      <sheetData sheetId="35"/>
      <sheetData sheetId="36"/>
      <sheetData sheetId="37"/>
      <sheetData sheetId="38">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39"/>
      <sheetData sheetId="40"/>
      <sheetData sheetId="41"/>
      <sheetData sheetId="42"/>
      <sheetData sheetId="43"/>
      <sheetData sheetId="44"/>
      <sheetData sheetId="45"/>
      <sheetData sheetId="46"/>
      <sheetData sheetId="47"/>
      <sheetData sheetId="48"/>
      <sheetData sheetId="49"/>
      <sheetData sheetId="50"/>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面积明细"/>
      <sheetName val="租金"/>
      <sheetName val="定义"/>
      <sheetName val="项目基本情况"/>
      <sheetName val="数据-基础表"/>
      <sheetName val="抵押物清单（分楼）"/>
      <sheetName val="数据-汇总表"/>
      <sheetName val="数据-取费表"/>
      <sheetName val="估价对象房地状况"/>
      <sheetName val="系统读取表"/>
      <sheetName val="结果表 "/>
      <sheetName val="成本法"/>
      <sheetName val="成本法 (元)"/>
      <sheetName val="假设开发法"/>
      <sheetName val="基准地价修正"/>
      <sheetName val="结果汇总表"/>
      <sheetName val="比较法-办公"/>
      <sheetName val="收益法（整体出租部分）"/>
      <sheetName val="收益法（车库）"/>
      <sheetName val="办公出售案例"/>
      <sheetName val="结果表 （1层商业）"/>
      <sheetName val="比较法-商业"/>
      <sheetName val="收益法（1层商业）"/>
      <sheetName val="商业出售案例"/>
      <sheetName val="结果表 （-1层商业）"/>
      <sheetName val="比较法-商业 (-1层商业)"/>
      <sheetName val="收益法（-1层商业）"/>
      <sheetName val="收益法 (元)"/>
      <sheetName val="结果表（车库）"/>
      <sheetName val="比较法-车位（B2)"/>
      <sheetName val="比较法-车位（B1) "/>
      <sheetName val="车库出售案例"/>
      <sheetName val="收益法-酒店模型"/>
      <sheetName val="收益法（汇总）"/>
      <sheetName val="比较法-住宅"/>
      <sheetName val="比较法-工业"/>
      <sheetName val="售价"/>
      <sheetName val="比较法-仓储"/>
      <sheetName val="土地比较法-住宅、综合"/>
      <sheetName val="土地比较法-工业"/>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row r="1">
          <cell r="D1" t="str">
            <v>判定</v>
          </cell>
        </row>
        <row r="2">
          <cell r="D2" t="str">
            <v>是</v>
          </cell>
        </row>
        <row r="3">
          <cell r="D3" t="str">
            <v>否</v>
          </cell>
        </row>
        <row r="4">
          <cell r="D4" t="str">
            <v>——</v>
          </cell>
        </row>
      </sheetData>
      <sheetData sheetId="12"/>
      <sheetData sheetId="13">
        <row r="3">
          <cell r="B3">
            <v>48955.32</v>
          </cell>
        </row>
      </sheetData>
      <sheetData sheetId="14"/>
      <sheetData sheetId="15"/>
      <sheetData sheetId="16"/>
      <sheetData sheetId="17"/>
      <sheetData sheetId="18"/>
      <sheetData sheetId="19">
        <row r="19">
          <cell r="G19">
            <v>176865</v>
          </cell>
        </row>
      </sheetData>
      <sheetData sheetId="20"/>
      <sheetData sheetId="21"/>
      <sheetData sheetId="22"/>
      <sheetData sheetId="23"/>
      <sheetData sheetId="24"/>
      <sheetData sheetId="25"/>
      <sheetData sheetId="26"/>
      <sheetData sheetId="27"/>
      <sheetData sheetId="28"/>
      <sheetData sheetId="29">
        <row r="19">
          <cell r="G19" t="e">
            <v>#N/A</v>
          </cell>
        </row>
      </sheetData>
      <sheetData sheetId="30"/>
      <sheetData sheetId="31"/>
      <sheetData sheetId="32"/>
      <sheetData sheetId="33">
        <row r="19">
          <cell r="G19" t="e">
            <v>#N/A</v>
          </cell>
        </row>
      </sheetData>
      <sheetData sheetId="34"/>
      <sheetData sheetId="35"/>
      <sheetData sheetId="36"/>
      <sheetData sheetId="37">
        <row r="19">
          <cell r="G19" t="e">
            <v>#REF!</v>
          </cell>
        </row>
      </sheetData>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3.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paimai.jd.com/290973235" TargetMode="External"/></Relationships>
</file>

<file path=xl/worksheets/_rels/sheet34.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s://paimai.jd.com/290973235" TargetMode="External"/></Relationships>
</file>

<file path=xl/worksheets/_rels/sheet37.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41.xml.rels><?xml version="1.0" encoding="UTF-8" standalone="yes"?>
<Relationships xmlns="http://schemas.openxmlformats.org/package/2006/relationships"><Relationship Id="rId2" Type="http://schemas.openxmlformats.org/officeDocument/2006/relationships/comments" Target="../comments22.xml"/><Relationship Id="rId1" Type="http://schemas.openxmlformats.org/officeDocument/2006/relationships/vmlDrawing" Target="../drawings/vmlDrawing27.vml"/></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北京市房地产市场价值预评估</v>
      </c>
    </row>
    <row r="3" spans="1:2" s="1203" customFormat="1">
      <c r="A3" s="1201" t="s">
        <v>523</v>
      </c>
      <c r="B3" s="1202">
        <f>'预评函-封皮'!B40</f>
        <v>0</v>
      </c>
    </row>
    <row r="4" spans="1:2" s="1203" customFormat="1">
      <c r="A4" s="1201" t="s">
        <v>524</v>
      </c>
      <c r="B4" s="1202" t="str">
        <f>'预评函-封皮'!B46</f>
        <v>（注册号：0)、（注册号：0)</v>
      </c>
    </row>
    <row r="5" spans="1:2" s="1197" customFormat="1" ht="15" thickBot="1">
      <c r="A5" s="1204" t="s">
        <v>525</v>
      </c>
      <c r="B5" s="1205" t="str">
        <f>'预评函-封皮'!B49</f>
        <v>康正预评字旭宇号</v>
      </c>
    </row>
    <row r="6" spans="1:2" s="1200" customFormat="1" ht="15" thickTop="1">
      <c r="A6" s="1198" t="s">
        <v>526</v>
      </c>
      <c r="B6" s="1199" t="str">
        <f>'预评函-1'!A4</f>
        <v>受贵公司委托，我公司对北京市房地产市场价值进行了预评估。</v>
      </c>
    </row>
    <row r="7" spans="1:2" s="1203" customFormat="1">
      <c r="A7" s="1201" t="s">
        <v>566</v>
      </c>
      <c r="B7" s="1202" t="str">
        <f>'预评函-1'!A7</f>
        <v>估价对象为北京市房地产，为所有。根据《国有土地使用证》[]，估价对象（分摊）出让国有建设用地使用权面积为11881.76平方米，建筑面积为51034.46平方米。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房地产,属开发建设的综合项目（商业、办公），该项目尚在开发建设中。根据《国有土地使用证》[]，估价对象（分摊）出让国有建设用地使用权面积为11881.76平方米，规划建筑面积为51034.46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为估价委托人了解估价对象房地产市场价值提供参考依据。</v>
      </c>
    </row>
    <row r="12" spans="1:2" s="1203" customFormat="1">
      <c r="A12" s="1201" t="s">
        <v>528</v>
      </c>
      <c r="B12" s="1202" t="str">
        <f>'预评函-1'!A15</f>
        <v>2022年12月31日</v>
      </c>
    </row>
    <row r="13" spans="1:2" s="1203" customFormat="1">
      <c r="A13" s="1201" t="s">
        <v>529</v>
      </c>
      <c r="B13" s="1202" t="str">
        <f>'预评函-1'!A18</f>
        <v>本次估价的“房地产价值”是指在正常市场情况下，在价值时点2022年12月31日，估价对象规划用途为0，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0，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v>
      </c>
    </row>
    <row r="16" spans="1:2" s="1203" customFormat="1">
      <c r="A16" s="1201" t="s">
        <v>532</v>
      </c>
      <c r="B16" s="1202" t="str">
        <f>'预评函-1'!A21</f>
        <v>——</v>
      </c>
    </row>
    <row r="17" spans="1:2" s="1203" customFormat="1">
      <c r="A17" s="1201" t="s">
        <v>533</v>
      </c>
      <c r="B17" s="1202" t="str">
        <f>'预评函-1'!A22</f>
        <v>——</v>
      </c>
    </row>
    <row r="18" spans="1:2" s="1197" customFormat="1" ht="15" thickBot="1">
      <c r="A18" s="1204" t="s">
        <v>534</v>
      </c>
      <c r="B18" s="1205" t="str">
        <f>'预评函-1'!A24</f>
        <v>本次评估采用的主估价方法为比较法和收益法。</v>
      </c>
    </row>
    <row r="19" spans="1:2" s="1200" customFormat="1" ht="15" thickTop="1">
      <c r="A19" s="1198" t="s">
        <v>535</v>
      </c>
      <c r="B19" s="1199"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203" customFormat="1">
      <c r="A20" s="1201" t="s">
        <v>536</v>
      </c>
      <c r="B20" s="1202" t="e">
        <f ca="1">'预评函-2'!D5</f>
        <v>#REF!</v>
      </c>
    </row>
    <row r="21" spans="1:2" s="1203" customFormat="1">
      <c r="A21" s="1201" t="s">
        <v>537</v>
      </c>
      <c r="B21" s="1202" t="e">
        <f ca="1">'预评函-2'!D7</f>
        <v>#REF!</v>
      </c>
    </row>
    <row r="22" spans="1:2" s="1203" customFormat="1">
      <c r="A22" s="1201" t="s">
        <v>538</v>
      </c>
      <c r="B22" s="1202" t="e">
        <f ca="1">'预评函-2'!D6</f>
        <v>#REF!</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t="e">
        <f ca="1">'预评函-2'!D13</f>
        <v>#REF!</v>
      </c>
    </row>
    <row r="31" spans="1:2" s="1203" customFormat="1">
      <c r="A31" s="1201" t="s">
        <v>576</v>
      </c>
      <c r="B31" s="1202" t="e">
        <f ca="1">'预评函-2'!D15</f>
        <v>#REF!</v>
      </c>
    </row>
    <row r="32" spans="1:2" s="1203" customFormat="1">
      <c r="A32" s="1201" t="s">
        <v>543</v>
      </c>
      <c r="B32" s="1202" t="e">
        <f ca="1">'预评函-2'!D14</f>
        <v>#REF!</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北京市房地产</v>
      </c>
    </row>
    <row r="42" spans="1:2" s="1203" customFormat="1">
      <c r="A42" s="1201" t="s">
        <v>590</v>
      </c>
      <c r="B42" s="1202" t="str">
        <f>'预评函-3'!B2</f>
        <v>建筑面积</v>
      </c>
    </row>
    <row r="43" spans="1:2" s="1203" customFormat="1">
      <c r="A43" s="1201" t="s">
        <v>591</v>
      </c>
      <c r="B43" s="1202">
        <f>'预评函-3'!B4</f>
        <v>51034.460000000006</v>
      </c>
    </row>
    <row r="44" spans="1:2" s="1203" customFormat="1">
      <c r="A44" s="1201" t="s">
        <v>575</v>
      </c>
      <c r="B44" s="1202" t="str">
        <f>'预评函-3'!C2</f>
        <v>(分摊)土地面积</v>
      </c>
    </row>
    <row r="45" spans="1:2" s="1203" customFormat="1">
      <c r="A45" s="1201" t="s">
        <v>547</v>
      </c>
      <c r="B45" s="1202">
        <f>'预评函-3'!C4</f>
        <v>11881.76</v>
      </c>
    </row>
    <row r="46" spans="1:2" s="1203" customFormat="1">
      <c r="A46" s="1201" t="s">
        <v>573</v>
      </c>
      <c r="B46" s="1202" t="str">
        <f>'预评函-3'!D2</f>
        <v>出让国有建设用地使用权价值</v>
      </c>
    </row>
    <row r="47" spans="1:2" s="1203" customFormat="1">
      <c r="A47" s="1201" t="s">
        <v>548</v>
      </c>
      <c r="B47" s="1202" t="e">
        <f ca="1">'预评函-3'!D4</f>
        <v>#REF!</v>
      </c>
    </row>
    <row r="48" spans="1:2" s="1203" customFormat="1">
      <c r="A48" s="1201" t="s">
        <v>549</v>
      </c>
      <c r="B48" s="1202" t="e">
        <f ca="1">'预评函-3'!E4</f>
        <v>#REF!</v>
      </c>
    </row>
    <row r="49" spans="1:2" s="1203" customFormat="1">
      <c r="A49" s="1201" t="s">
        <v>550</v>
      </c>
      <c r="B49" s="1202" t="e">
        <f ca="1">'预评函-3'!D5</f>
        <v>#REF!</v>
      </c>
    </row>
    <row r="50" spans="1:2" s="1203" customFormat="1">
      <c r="A50" s="1201" t="s">
        <v>574</v>
      </c>
      <c r="B50" s="1202" t="str">
        <f>'预评函-3'!F2</f>
        <v>在建建筑物价值</v>
      </c>
    </row>
    <row r="51" spans="1:2" s="1203" customFormat="1">
      <c r="A51" s="1201" t="s">
        <v>551</v>
      </c>
      <c r="B51" s="1202" t="e">
        <f ca="1">'预评函-3'!F4</f>
        <v>#REF!</v>
      </c>
    </row>
    <row r="52" spans="1:2" s="1203" customFormat="1">
      <c r="A52" s="1201" t="s">
        <v>552</v>
      </c>
      <c r="B52" s="1202" t="e">
        <f ca="1">'预评函-3'!G4</f>
        <v>#REF!</v>
      </c>
    </row>
    <row r="53" spans="1:2" s="1203" customFormat="1">
      <c r="A53" s="1201" t="s">
        <v>580</v>
      </c>
      <c r="B53" s="1202" t="e">
        <f ca="1">'预评函-3'!F5</f>
        <v>#REF!</v>
      </c>
    </row>
    <row r="54" spans="1:2" s="1203" customFormat="1">
      <c r="A54" s="1201" t="s">
        <v>598</v>
      </c>
      <c r="B54" s="1202" t="str">
        <f>'预评函-3'!A8</f>
        <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
      </c>
    </row>
    <row r="58" spans="1:2" s="1200" customFormat="1" ht="15" thickTop="1">
      <c r="A58" s="1198" t="s">
        <v>553</v>
      </c>
      <c r="B58" s="1199" t="str">
        <f>'预评函-4'!A12</f>
        <v>2.本次评估设定估价对象房地产权属无争议，未被查封或者以其他形式限制其房地产权利，未设定抵押权等他项权利，不涉及第三方权利义务。</v>
      </c>
    </row>
    <row r="59" spans="1:2" s="1203" customFormat="1">
      <c r="A59" s="1201" t="s">
        <v>554</v>
      </c>
      <c r="B59" s="1202" t="str">
        <f>'预评函-4'!A13</f>
        <v>——</v>
      </c>
    </row>
    <row r="60" spans="1:2" s="1203" customFormat="1">
      <c r="A60" s="1201" t="s">
        <v>555</v>
      </c>
      <c r="B60" s="1202" t="str">
        <f>'预评函-4'!A14</f>
        <v>——</v>
      </c>
    </row>
    <row r="61" spans="1:2" s="1203" customFormat="1">
      <c r="A61" s="1201" t="s">
        <v>556</v>
      </c>
      <c r="B61" s="1202" t="str">
        <f>'预评函-4'!A15</f>
        <v>——</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v>
      </c>
    </row>
    <row r="65" spans="1:2" s="1203" customFormat="1">
      <c r="A65" s="1201" t="s">
        <v>559</v>
      </c>
      <c r="B65" s="1202"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3" customFormat="1">
      <c r="A67" s="1201" t="s">
        <v>571</v>
      </c>
      <c r="B67" s="1202" t="str">
        <f>'预评函-4'!A21</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f>'预评函-4'!A4</f>
        <v>0</v>
      </c>
    </row>
    <row r="71" spans="1:2">
      <c r="A71" s="1201" t="s">
        <v>563</v>
      </c>
      <c r="B71" s="1202">
        <f>'预评函-4'!B4</f>
        <v>0</v>
      </c>
    </row>
    <row r="72" spans="1:2">
      <c r="A72" s="1201" t="s">
        <v>564</v>
      </c>
      <c r="B72" s="1210">
        <f>'预评函-4'!A5</f>
        <v>0</v>
      </c>
    </row>
    <row r="73" spans="1:2" s="1197" customFormat="1" ht="15" thickBot="1">
      <c r="A73" s="1204" t="s">
        <v>565</v>
      </c>
      <c r="B73" s="1205">
        <f>'预评函-4'!B5</f>
        <v>0</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560" t="str">
        <f>项目基本情况!B1</f>
        <v>北京市房地产市场价值预评估</v>
      </c>
      <c r="C37" s="3560"/>
      <c r="D37" s="3560"/>
      <c r="E37" s="3560"/>
      <c r="F37" s="3560"/>
      <c r="G37" s="3560"/>
      <c r="H37" s="3560"/>
      <c r="I37" s="3560"/>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项目基本情况!K4</f>
        <v>（注册号：0)、（注册号：0)</v>
      </c>
    </row>
    <row r="47" spans="1:9">
      <c r="A47" s="842"/>
      <c r="B47" s="842" t="str">
        <f>项目基本情况!K5</f>
        <v>（注册号：0)、（注册号：0)</v>
      </c>
    </row>
    <row r="48" spans="1:9">
      <c r="A48" s="842" t="s">
        <v>371</v>
      </c>
      <c r="B48" s="842" t="s">
        <v>377</v>
      </c>
    </row>
    <row r="49" spans="2:2">
      <c r="B49" s="1474" t="str">
        <f>"康正预评字"&amp;项目基本情况!B2&amp;"号"</f>
        <v>康正预评字旭宇号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v>
      </c>
    </row>
    <row r="4" spans="1:1" ht="18">
      <c r="A4" s="1480" t="str">
        <f>"受贵公司委托，我公司对"&amp;项目基本情况!S1&amp;"进行了预评估。"</f>
        <v>受贵公司委托，我公司对北京市房地产市场价值进行了预评估。</v>
      </c>
    </row>
    <row r="5" spans="1:1" ht="18.75">
      <c r="A5" s="1481" t="s">
        <v>899</v>
      </c>
    </row>
    <row r="6" spans="1:1" ht="18.75">
      <c r="A6" s="1482" t="s">
        <v>900</v>
      </c>
    </row>
    <row r="7" spans="1:1" ht="54">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估价对象为北京市房地产，为所有。根据《国有土地使用证》[]，估价对象（分摊）出让国有建设用地使用权面积为11881.76平方米，建筑面积为51034.46平方米。</v>
      </c>
    </row>
    <row r="8" spans="1:1" ht="57.75">
      <c r="A8" s="1483" t="s">
        <v>901</v>
      </c>
    </row>
    <row r="9" spans="1:1" ht="18.75">
      <c r="A9" s="1482" t="s">
        <v>902</v>
      </c>
    </row>
    <row r="10" spans="1:1" ht="54">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综合项目（商业、办公），该项目尚在开发建设中。根据《国有土地使用证》[]，估价对象（分摊）出让国有建设用地使用权面积为11881.76平方米，规划建筑面积为51034.46平方米。</v>
      </c>
    </row>
    <row r="11" spans="1:1" ht="76.5">
      <c r="A11" s="1483" t="s">
        <v>903</v>
      </c>
    </row>
    <row r="12" spans="1:1" ht="18.75">
      <c r="A12" s="1481" t="s">
        <v>904</v>
      </c>
    </row>
    <row r="13" spans="1:1" ht="38.25" customHeight="1">
      <c r="A13" s="1484" t="str">
        <f>IF(项目基本情况!B8="抵押",IF(项目基本情况!B5=项目基本情况!B6,定义!C51,定义!B51),定义!D51)</f>
        <v>为估价委托人了解估价对象房地产市场价值提供参考依据。</v>
      </c>
    </row>
    <row r="14" spans="1:1" ht="18.75">
      <c r="A14" s="1485" t="s">
        <v>905</v>
      </c>
    </row>
    <row r="15" spans="1:1" ht="18">
      <c r="A15" s="1486" t="str">
        <f>TEXT(项目基本情况!D3,"yyyy年m月d日;;")&amp;IF(项目基本情况!D3=项目基本情况!B3,"（评估专业人员实地查勘之日）","")</f>
        <v>2022年12月31日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2022年12月31日，估价对象规划用途为0，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0，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18">
      <c r="A20" s="1480" t="str">
        <f>IF(项目基本情况!B9="房地产市场价值","——",IF(项目基本情况!E8="房地产抵押价值",定义!C54,IF(项目基本情况!E8="已注销",定义!C55,定义!C56)))</f>
        <v>——</v>
      </c>
    </row>
    <row r="21" spans="1:1" ht="18">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8">
      <c r="A22" s="1480" t="str">
        <f>IF(项目基本情况!B9="房地产市场价值","——",IF(项目基本情况!E9="——","",定义!C57))</f>
        <v>——</v>
      </c>
    </row>
    <row r="23" spans="1:1" ht="18.75">
      <c r="A23" s="1485" t="s">
        <v>896</v>
      </c>
    </row>
    <row r="24" spans="1:1" ht="18">
      <c r="A24" s="1487" t="str">
        <f>"本次评估采用的主估价方法为"&amp;结果表!K4&amp;"和"&amp;结果表!L4&amp;"。"</f>
        <v>本次评估采用的主估价方法为比较法和收益法。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565"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565"/>
      <c r="C2" s="3565"/>
      <c r="D2" s="3565"/>
      <c r="E2" s="3565"/>
    </row>
    <row r="3" spans="1:5" ht="18">
      <c r="A3" s="3566" t="str">
        <f>IF(项目基本情况!B9="房地产市场价值","估价结果一览表（市场价值不需“结果表-1”）","估价结果一览表")</f>
        <v>估价结果一览表（市场价值不需“结果表-1”）</v>
      </c>
      <c r="B3" s="3566"/>
      <c r="C3" s="3566"/>
      <c r="D3" s="3566"/>
      <c r="E3" s="3566"/>
    </row>
    <row r="4" spans="1:5" ht="19.5" thickBot="1">
      <c r="A4" s="1493"/>
      <c r="B4" s="3564" t="s">
        <v>917</v>
      </c>
      <c r="C4" s="3564"/>
      <c r="D4" s="3564"/>
      <c r="E4" s="1493"/>
    </row>
    <row r="5" spans="1:5" ht="16.5" thickTop="1">
      <c r="A5" s="1491"/>
      <c r="B5" s="3562" t="s">
        <v>909</v>
      </c>
      <c r="C5" s="1494" t="s">
        <v>910</v>
      </c>
      <c r="D5" s="850" t="e">
        <f ca="1">结果表!H101</f>
        <v>#REF!</v>
      </c>
      <c r="E5" s="1491"/>
    </row>
    <row r="6" spans="1:5" ht="15.75">
      <c r="A6" s="1491"/>
      <c r="B6" s="3562"/>
      <c r="C6" s="1494" t="s">
        <v>911</v>
      </c>
      <c r="D6" s="850" t="e">
        <f ca="1">NUMBERSTRING(INT(D5*10000),2)&amp;"元整"</f>
        <v>#REF!</v>
      </c>
      <c r="E6" s="1491"/>
    </row>
    <row r="7" spans="1:5" ht="15.75">
      <c r="A7" s="1491"/>
      <c r="B7" s="3567"/>
      <c r="C7" s="1495" t="s">
        <v>912</v>
      </c>
      <c r="D7" s="851" t="e">
        <f ca="1">结果表!H102</f>
        <v>#REF!</v>
      </c>
      <c r="E7" s="1491"/>
    </row>
    <row r="8" spans="1:5" ht="15.75">
      <c r="A8" s="1491"/>
      <c r="B8" s="3568" t="str">
        <f>结果表!E103</f>
        <v>2.估价师知悉的法定优先受偿款</v>
      </c>
      <c r="C8" s="1496" t="s">
        <v>913</v>
      </c>
      <c r="D8" s="851">
        <f>结果表!H103</f>
        <v>0</v>
      </c>
      <c r="E8" s="1491"/>
    </row>
    <row r="9" spans="1:5" ht="15.75">
      <c r="A9" s="1491"/>
      <c r="B9" s="3570"/>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561" t="str">
        <f>结果表!E107</f>
        <v>3.房地产抵押价值</v>
      </c>
      <c r="C13" s="1499" t="s">
        <v>910</v>
      </c>
      <c r="D13" s="853" t="e">
        <f ca="1">结果表!H107</f>
        <v>#REF!</v>
      </c>
      <c r="E13" s="1491"/>
    </row>
    <row r="14" spans="1:5" ht="15.75">
      <c r="A14" s="1491"/>
      <c r="B14" s="3562"/>
      <c r="C14" s="1494" t="s">
        <v>911</v>
      </c>
      <c r="D14" s="850" t="e">
        <f ca="1">NUMBERSTRING(INT(D13*10000),2)&amp;"元整"</f>
        <v>#REF!</v>
      </c>
      <c r="E14" s="1491"/>
    </row>
    <row r="15" spans="1:5" ht="15">
      <c r="A15" s="1491"/>
      <c r="B15" s="3567"/>
      <c r="C15" s="1495" t="s">
        <v>921</v>
      </c>
      <c r="D15" s="859" t="e">
        <f ca="1">结果表!H108</f>
        <v>#REF!</v>
      </c>
      <c r="E15" s="1491"/>
    </row>
    <row r="16" spans="1:5" ht="15">
      <c r="A16" s="1491"/>
      <c r="B16" s="3568" t="str">
        <f>结果表!E109</f>
        <v>——</v>
      </c>
      <c r="C16" s="1499" t="s">
        <v>922</v>
      </c>
      <c r="D16" s="1500" t="str">
        <f>结果表!H109</f>
        <v>——</v>
      </c>
      <c r="E16" s="1491"/>
    </row>
    <row r="17" spans="1:5" ht="15.75">
      <c r="A17" s="1491"/>
      <c r="B17" s="3569"/>
      <c r="C17" s="1494" t="s">
        <v>923</v>
      </c>
      <c r="D17" s="850" t="e">
        <f>NUMBERSTRING(INT(D16*10000),2)&amp;"元整"</f>
        <v>#VALUE!</v>
      </c>
      <c r="E17" s="1491"/>
    </row>
    <row r="18" spans="1:5" ht="15">
      <c r="A18" s="1491"/>
      <c r="B18" s="3570"/>
      <c r="C18" s="1495" t="s">
        <v>912</v>
      </c>
      <c r="D18" s="859" t="str">
        <f>结果表!H110</f>
        <v>——</v>
      </c>
      <c r="E18" s="1491"/>
    </row>
    <row r="19" spans="1:5" ht="15.75">
      <c r="A19" s="1491"/>
      <c r="B19" s="3561" t="str">
        <f>结果表!E111</f>
        <v>——</v>
      </c>
      <c r="C19" s="1499" t="s">
        <v>910</v>
      </c>
      <c r="D19" s="851" t="str">
        <f>结果表!H111</f>
        <v>——</v>
      </c>
      <c r="E19" s="1491"/>
    </row>
    <row r="20" spans="1:5" ht="15.75">
      <c r="A20" s="1491"/>
      <c r="B20" s="3562"/>
      <c r="C20" s="1494" t="s">
        <v>923</v>
      </c>
      <c r="D20" s="850" t="e">
        <f>NUMBERSTRING(INT(D19*10000),2)&amp;"元整"</f>
        <v>#VALUE!</v>
      </c>
      <c r="E20" s="1491"/>
    </row>
    <row r="21" spans="1:5" ht="15.75" thickBot="1">
      <c r="A21" s="1491"/>
      <c r="B21" s="3563"/>
      <c r="C21" s="1501" t="s">
        <v>921</v>
      </c>
      <c r="D21" s="860" t="str">
        <f>结果表!H112</f>
        <v>——</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571" t="str">
        <f>IF(项目基本情况!B9="房地产市场价值","估价结果一览表","结果表-2")</f>
        <v>估价结果一览表</v>
      </c>
      <c r="B1" s="3571"/>
      <c r="C1" s="3571"/>
      <c r="D1" s="3571"/>
      <c r="E1" s="3571"/>
      <c r="F1" s="3571"/>
      <c r="G1" s="3571"/>
      <c r="H1" s="3571"/>
      <c r="I1" s="3571"/>
    </row>
    <row r="2" spans="1:9" ht="30" customHeight="1" thickTop="1">
      <c r="A2" s="3572" t="s">
        <v>928</v>
      </c>
      <c r="B2" s="3572" t="s">
        <v>929</v>
      </c>
      <c r="C2" s="3572" t="s">
        <v>930</v>
      </c>
      <c r="D2" s="3572" t="str">
        <f>结果表!D116</f>
        <v>出让国有建设用地使用权价值</v>
      </c>
      <c r="E2" s="3572"/>
      <c r="F2" s="3572" t="str">
        <f>结果表!F116</f>
        <v>在建建筑物价值</v>
      </c>
      <c r="G2" s="3572"/>
      <c r="H2" s="3572" t="str">
        <f>IF(项目基本情况!B9="房地产市场价值","房地产市场价值","房地产价值")</f>
        <v>房地产市场价值</v>
      </c>
      <c r="I2" s="3572"/>
    </row>
    <row r="3" spans="1:9" ht="15">
      <c r="A3" s="3573"/>
      <c r="B3" s="3573"/>
      <c r="C3" s="3573"/>
      <c r="D3" s="854" t="s">
        <v>925</v>
      </c>
      <c r="E3" s="854" t="s">
        <v>931</v>
      </c>
      <c r="F3" s="854" t="s">
        <v>925</v>
      </c>
      <c r="G3" s="854" t="s">
        <v>926</v>
      </c>
      <c r="H3" s="854" t="s">
        <v>925</v>
      </c>
      <c r="I3" s="854" t="s">
        <v>926</v>
      </c>
    </row>
    <row r="4" spans="1:9" ht="15">
      <c r="A4" s="1505" t="str">
        <f>项目基本情况!S2</f>
        <v>北京市房地产</v>
      </c>
      <c r="B4" s="854">
        <f>项目基本情况!C17</f>
        <v>51034.460000000006</v>
      </c>
      <c r="C4" s="854">
        <f>项目基本情况!C18</f>
        <v>11881.76</v>
      </c>
      <c r="D4" s="854" t="e">
        <f ca="1">结果表!D118</f>
        <v>#REF!</v>
      </c>
      <c r="E4" s="854" t="e">
        <f ca="1">结果表!E118</f>
        <v>#REF!</v>
      </c>
      <c r="F4" s="854" t="e">
        <f ca="1">结果表!F118</f>
        <v>#REF!</v>
      </c>
      <c r="G4" s="854" t="e">
        <f ca="1">结果表!G118</f>
        <v>#REF!</v>
      </c>
      <c r="H4" s="854" t="e">
        <f ca="1">结果表!H118</f>
        <v>#REF!</v>
      </c>
      <c r="I4" s="854" t="e">
        <f ca="1">结果表!I118</f>
        <v>#REF!</v>
      </c>
    </row>
    <row r="5" spans="1:9" ht="30" customHeight="1">
      <c r="A5" s="3573" t="s">
        <v>927</v>
      </c>
      <c r="B5" s="3573"/>
      <c r="C5" s="3573"/>
      <c r="D5" s="3573" t="e">
        <f ca="1">结果表!D119</f>
        <v>#REF!</v>
      </c>
      <c r="E5" s="3573"/>
      <c r="F5" s="3573" t="e">
        <f ca="1">结果表!F119</f>
        <v>#REF!</v>
      </c>
      <c r="G5" s="3573"/>
      <c r="H5" s="3573" t="e">
        <f ca="1">结果表!H119</f>
        <v>#REF!</v>
      </c>
      <c r="I5" s="3573"/>
    </row>
    <row r="6" spans="1:9" ht="15.75">
      <c r="A6" s="3574" t="str">
        <f>结果表!A120</f>
        <v/>
      </c>
      <c r="B6" s="3574"/>
      <c r="C6" s="3574"/>
      <c r="D6" s="3574">
        <f>结果表!D120</f>
        <v>0</v>
      </c>
      <c r="E6" s="3574"/>
      <c r="F6" s="3574"/>
      <c r="G6" s="3574"/>
      <c r="H6" s="3574"/>
      <c r="I6" s="3574"/>
    </row>
    <row r="7" spans="1:9" ht="15">
      <c r="A7" s="3573" t="s">
        <v>927</v>
      </c>
      <c r="B7" s="3573"/>
      <c r="C7" s="3573"/>
      <c r="D7" s="3575" t="str">
        <f>结果表!D121</f>
        <v>零元整</v>
      </c>
      <c r="E7" s="3576"/>
      <c r="F7" s="3576"/>
      <c r="G7" s="3576"/>
      <c r="H7" s="3576"/>
      <c r="I7" s="3577"/>
    </row>
    <row r="8" spans="1:9" ht="15.75">
      <c r="A8" s="3574" t="str">
        <f>结果表!A122</f>
        <v/>
      </c>
      <c r="B8" s="3574"/>
      <c r="C8" s="3574"/>
      <c r="D8" s="3574" t="e">
        <f ca="1">结果表!D122</f>
        <v>#REF!</v>
      </c>
      <c r="E8" s="3574"/>
      <c r="F8" s="3574"/>
      <c r="G8" s="3574"/>
      <c r="H8" s="3574"/>
      <c r="I8" s="3574"/>
    </row>
    <row r="9" spans="1:9" ht="15">
      <c r="A9" s="3573" t="s">
        <v>927</v>
      </c>
      <c r="B9" s="3573"/>
      <c r="C9" s="3573"/>
      <c r="D9" s="3573" t="e">
        <f ca="1">结果表!D123</f>
        <v>#REF!</v>
      </c>
      <c r="E9" s="3573"/>
      <c r="F9" s="3573"/>
      <c r="G9" s="3573"/>
      <c r="H9" s="3573"/>
      <c r="I9" s="3573"/>
    </row>
    <row r="10" spans="1:9" ht="15.75">
      <c r="A10" s="3574" t="str">
        <f>结果表!A124</f>
        <v/>
      </c>
      <c r="B10" s="3574"/>
      <c r="C10" s="3574"/>
      <c r="D10" s="3574" t="str">
        <f>结果表!D124</f>
        <v>——</v>
      </c>
      <c r="E10" s="3574"/>
      <c r="F10" s="3574"/>
      <c r="G10" s="3574"/>
      <c r="H10" s="3574"/>
      <c r="I10" s="3574"/>
    </row>
    <row r="11" spans="1:9" ht="15">
      <c r="A11" s="3573" t="s">
        <v>927</v>
      </c>
      <c r="B11" s="3573"/>
      <c r="C11" s="3573"/>
      <c r="D11" s="3573" t="e">
        <f>结果表!D125</f>
        <v>#VALUE!</v>
      </c>
      <c r="E11" s="3573"/>
      <c r="F11" s="3573"/>
      <c r="G11" s="3573"/>
      <c r="H11" s="3573"/>
      <c r="I11" s="3573"/>
    </row>
    <row r="12" spans="1:9" ht="15.75">
      <c r="A12" s="3574" t="str">
        <f>结果表!A126</f>
        <v/>
      </c>
      <c r="B12" s="3574"/>
      <c r="C12" s="3574"/>
      <c r="D12" s="3574" t="str">
        <f>结果表!D126</f>
        <v>——</v>
      </c>
      <c r="E12" s="3574"/>
      <c r="F12" s="3574"/>
      <c r="G12" s="3574"/>
      <c r="H12" s="3574"/>
      <c r="I12" s="3574"/>
    </row>
    <row r="13" spans="1:9" ht="15.75" thickBot="1">
      <c r="A13" s="3578" t="s">
        <v>927</v>
      </c>
      <c r="B13" s="3578"/>
      <c r="C13" s="3578"/>
      <c r="D13" s="3578" t="e">
        <f>结果表!D127</f>
        <v>#VALUE!</v>
      </c>
      <c r="E13" s="3578"/>
      <c r="F13" s="3578"/>
      <c r="G13" s="3578"/>
      <c r="H13" s="3578"/>
      <c r="I13" s="3578"/>
    </row>
    <row r="14" spans="1:9" ht="15" thickTop="1">
      <c r="A14" s="3579" t="s">
        <v>932</v>
      </c>
      <c r="B14" s="3579"/>
      <c r="C14" s="3579"/>
      <c r="D14" s="3579"/>
      <c r="E14" s="3579"/>
      <c r="F14" s="3579"/>
      <c r="G14" s="3579"/>
      <c r="H14" s="3579"/>
      <c r="I14" s="3579"/>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580" t="s">
        <v>949</v>
      </c>
      <c r="B1" s="3580"/>
      <c r="C1" s="3580"/>
      <c r="D1" s="3580"/>
    </row>
    <row r="2" spans="1:4" ht="18">
      <c r="A2" s="3581" t="s">
        <v>933</v>
      </c>
      <c r="B2" s="3581"/>
      <c r="C2" s="3581"/>
      <c r="D2" s="3581"/>
    </row>
    <row r="3" spans="1:4" ht="18.75">
      <c r="A3" s="1509" t="s">
        <v>934</v>
      </c>
      <c r="B3" s="1509" t="s">
        <v>935</v>
      </c>
      <c r="C3" s="1509" t="s">
        <v>936</v>
      </c>
      <c r="D3" s="1509" t="s">
        <v>937</v>
      </c>
    </row>
    <row r="4" spans="1:4" ht="56.25" customHeight="1">
      <c r="A4" s="1510">
        <f>项目基本情况!B4</f>
        <v>0</v>
      </c>
      <c r="B4" s="1511">
        <f>项目基本情况!C4</f>
        <v>0</v>
      </c>
      <c r="C4" s="1512"/>
      <c r="D4" s="1513" t="s">
        <v>938</v>
      </c>
    </row>
    <row r="5" spans="1:4" ht="56.25" customHeight="1">
      <c r="A5" s="1510">
        <f>项目基本情况!D4</f>
        <v>0</v>
      </c>
      <c r="B5" s="1511">
        <f>项目基本情况!E4</f>
        <v>0</v>
      </c>
      <c r="C5" s="1514"/>
      <c r="D5" s="1513" t="s">
        <v>938</v>
      </c>
    </row>
    <row r="6" spans="1:4" ht="18">
      <c r="A6" s="3581" t="s">
        <v>939</v>
      </c>
      <c r="B6" s="3581"/>
      <c r="C6" s="3581"/>
      <c r="D6" s="3581"/>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582" t="s">
        <v>942</v>
      </c>
      <c r="B11" s="3583"/>
      <c r="C11" s="3583"/>
      <c r="D11" s="3583"/>
    </row>
    <row r="12" spans="1:4" ht="15.75">
      <c r="A12" s="358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584"/>
      <c r="C12" s="3584"/>
      <c r="D12" s="3584"/>
    </row>
    <row r="13" spans="1:4" ht="30" customHeight="1">
      <c r="A13" s="3583" t="str">
        <f>IF(项目基本情况!B8="抵押","3.抵押双方在办理抵押登记手续时，应使用本公司出具的正式《房地产评估报告》，特提醒报告使用者注意。","——")</f>
        <v>——</v>
      </c>
      <c r="B13" s="3584"/>
      <c r="C13" s="3584"/>
      <c r="D13" s="3584"/>
    </row>
    <row r="14" spans="1:4" ht="15.75" customHeight="1">
      <c r="A14" s="3583" t="str">
        <f>IF(项目基本情况!B8="抵押","4.本次评估估价师所知悉的法定优先受偿款情况说明如下：","——")</f>
        <v>——</v>
      </c>
      <c r="B14" s="3584"/>
      <c r="C14" s="3584"/>
      <c r="D14" s="3584"/>
    </row>
    <row r="15" spans="1:4" ht="42" customHeight="1">
      <c r="A15" s="3583" t="str">
        <f>IF(项目基本情况!B8="抵押","（1）"&amp;CONCATENATE(项目基本情况!L20,项目基本情况!L21,项目基本情况!L22),"——")</f>
        <v>——</v>
      </c>
      <c r="B15" s="3583"/>
      <c r="C15" s="3583"/>
      <c r="D15" s="3583"/>
    </row>
    <row r="16" spans="1:4" ht="30" customHeight="1">
      <c r="A16" s="3586" t="s">
        <v>943</v>
      </c>
      <c r="B16" s="3586"/>
      <c r="C16" s="3586"/>
      <c r="D16" s="3586"/>
    </row>
    <row r="17" spans="1:4" ht="144" customHeight="1">
      <c r="A17" s="3586" t="s">
        <v>944</v>
      </c>
      <c r="B17" s="3586"/>
      <c r="C17" s="3586"/>
      <c r="D17" s="3586"/>
    </row>
    <row r="18" spans="1:4" ht="15.75" customHeight="1">
      <c r="A18" s="3583" t="str">
        <f>IF(项目基本情况!B8="抵押",结果表!K120,"——")</f>
        <v>——</v>
      </c>
      <c r="B18" s="3583"/>
      <c r="C18" s="3583"/>
      <c r="D18" s="3583"/>
    </row>
    <row r="19" spans="1:4" ht="46.5" customHeight="1">
      <c r="A19" s="358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583"/>
      <c r="C19" s="3583"/>
      <c r="D19" s="3583"/>
    </row>
    <row r="20" spans="1:4" ht="57.75" customHeight="1">
      <c r="A20" s="3583"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83"/>
      <c r="C20" s="3583"/>
      <c r="D20" s="3583"/>
    </row>
    <row r="21" spans="1:4" ht="57.75" customHeight="1">
      <c r="A21" s="3587"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87"/>
      <c r="C21" s="3587"/>
      <c r="D21" s="3587"/>
    </row>
    <row r="22" spans="1:4" ht="18.75" customHeight="1">
      <c r="A22" s="3588" t="s">
        <v>945</v>
      </c>
      <c r="B22" s="3588"/>
      <c r="C22" s="3588"/>
      <c r="D22" s="3588"/>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585">
        <v>42551</v>
      </c>
      <c r="D31" s="3585"/>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594" t="s">
        <v>956</v>
      </c>
      <c r="B15" s="3589" t="s">
        <v>109</v>
      </c>
      <c r="C15" s="3590"/>
    </row>
    <row r="16" spans="1:7" ht="13.5">
      <c r="A16" s="3595"/>
      <c r="B16" s="3589" t="s">
        <v>42</v>
      </c>
      <c r="C16" s="3590"/>
    </row>
    <row r="17" spans="1:3" ht="13.5">
      <c r="A17" s="3595"/>
      <c r="B17" s="3592" t="s">
        <v>957</v>
      </c>
      <c r="C17" s="1532" t="s">
        <v>956</v>
      </c>
    </row>
    <row r="18" spans="1:3" ht="13.5">
      <c r="A18" s="3595"/>
      <c r="B18" s="3592"/>
      <c r="C18" s="1532" t="s">
        <v>958</v>
      </c>
    </row>
    <row r="19" spans="1:3" ht="13.5">
      <c r="A19" s="3595"/>
      <c r="B19" s="3592"/>
      <c r="C19" s="1532" t="s">
        <v>959</v>
      </c>
    </row>
    <row r="20" spans="1:3" ht="13.5">
      <c r="A20" s="3596"/>
      <c r="B20" s="3591" t="s">
        <v>960</v>
      </c>
      <c r="C20" s="3590"/>
    </row>
    <row r="21" spans="1:3" ht="13.5">
      <c r="A21" s="1533" t="s">
        <v>961</v>
      </c>
      <c r="B21" s="1534"/>
      <c r="C21" s="1535"/>
    </row>
    <row r="22" spans="1:3" ht="13.5">
      <c r="A22" s="3593" t="s">
        <v>962</v>
      </c>
      <c r="B22" s="3591" t="s">
        <v>963</v>
      </c>
      <c r="C22" s="3590"/>
    </row>
    <row r="23" spans="1:3" ht="13.5">
      <c r="A23" s="3593"/>
      <c r="B23" s="3591" t="s">
        <v>964</v>
      </c>
      <c r="C23" s="3590"/>
    </row>
    <row r="24" spans="1:3" ht="13.5">
      <c r="A24" s="3593"/>
      <c r="B24" s="3591" t="s">
        <v>965</v>
      </c>
      <c r="C24" s="3590"/>
    </row>
    <row r="25" spans="1:3" ht="13.5">
      <c r="A25" s="3593"/>
      <c r="B25" s="3592" t="s">
        <v>966</v>
      </c>
      <c r="C25" s="1532" t="s">
        <v>967</v>
      </c>
    </row>
    <row r="26" spans="1:3" ht="13.5">
      <c r="A26" s="3593"/>
      <c r="B26" s="3592"/>
      <c r="C26" s="1532" t="s">
        <v>968</v>
      </c>
    </row>
    <row r="27" spans="1:3" ht="13.5">
      <c r="A27" s="3593"/>
      <c r="B27" s="3592"/>
      <c r="C27" s="1532" t="s">
        <v>969</v>
      </c>
    </row>
    <row r="28" spans="1:3" ht="13.5">
      <c r="A28" s="3593"/>
      <c r="B28" s="3592"/>
      <c r="C28" s="1532" t="s">
        <v>970</v>
      </c>
    </row>
    <row r="29" spans="1:3" ht="13.5">
      <c r="A29" s="3593"/>
      <c r="B29" s="3592"/>
      <c r="C29" s="1532" t="s">
        <v>971</v>
      </c>
    </row>
    <row r="30" spans="1:3" ht="13.5">
      <c r="A30" s="3593"/>
      <c r="B30" s="3592"/>
      <c r="C30" s="1532" t="s">
        <v>972</v>
      </c>
    </row>
    <row r="31" spans="1:3" ht="13.5">
      <c r="A31" s="3593"/>
      <c r="B31" s="3592"/>
      <c r="C31" s="1532" t="s">
        <v>973</v>
      </c>
    </row>
    <row r="32" spans="1:3" ht="13.5">
      <c r="A32" s="3593"/>
      <c r="B32" s="3592"/>
      <c r="C32" s="1532" t="s">
        <v>974</v>
      </c>
    </row>
    <row r="33" spans="1:3" ht="13.5">
      <c r="A33" s="3593"/>
      <c r="B33" s="3592"/>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2139</v>
      </c>
      <c r="B2" s="2339">
        <f ca="1">TODAY()</f>
        <v>44995</v>
      </c>
      <c r="C2" s="2340" t="s">
        <v>2140</v>
      </c>
      <c r="D2" s="2340"/>
      <c r="E2" s="2340"/>
      <c r="F2" s="2336"/>
      <c r="G2" s="2336"/>
      <c r="H2" s="2336"/>
    </row>
    <row r="3" spans="1:8" ht="24" customHeight="1">
      <c r="A3" s="2341" t="s">
        <v>2141</v>
      </c>
      <c r="B3" s="2342" t="s">
        <v>2142</v>
      </c>
      <c r="C3" s="2342" t="s">
        <v>2143</v>
      </c>
      <c r="D3" s="2343" t="s">
        <v>2144</v>
      </c>
      <c r="E3" s="2344" t="s">
        <v>2145</v>
      </c>
      <c r="F3" s="1304" t="s">
        <v>2146</v>
      </c>
      <c r="G3" s="2342" t="s">
        <v>2143</v>
      </c>
      <c r="H3" s="2343" t="s">
        <v>2147</v>
      </c>
    </row>
    <row r="4" spans="1:8" ht="24" customHeight="1">
      <c r="A4" s="1304" t="s">
        <v>2148</v>
      </c>
      <c r="B4" s="1304">
        <f ca="1">IF(C4&lt;B2,"已过期",1119970066)</f>
        <v>1119970066</v>
      </c>
      <c r="C4" s="2345">
        <v>45937</v>
      </c>
      <c r="D4" s="2346" t="str">
        <f ca="1">A4&amp;"（注册号："&amp;B4&amp;"）"</f>
        <v>梁津（注册号：1119970066）</v>
      </c>
      <c r="E4" s="2347" t="s">
        <v>2148</v>
      </c>
      <c r="F4" s="1304">
        <f ca="1">IF(G4&lt;B2,"已过期",96010014)</f>
        <v>96010014</v>
      </c>
      <c r="G4" s="2348">
        <v>47118</v>
      </c>
      <c r="H4" s="2349" t="str">
        <f ca="1">E4&amp;"（注册号："&amp;F4&amp;"）"</f>
        <v>梁津（注册号：96010014）</v>
      </c>
    </row>
    <row r="5" spans="1:8" ht="24" customHeight="1">
      <c r="A5" s="1304" t="s">
        <v>2149</v>
      </c>
      <c r="B5" s="1304">
        <f ca="1">IF(C5&lt;B2,"已过期",1119970111)</f>
        <v>1119970111</v>
      </c>
      <c r="C5" s="2345">
        <v>45937</v>
      </c>
      <c r="D5" s="2346" t="str">
        <f t="shared" ref="D5:D15" ca="1" si="0">A5&amp;"（注册号："&amp;B5&amp;"）"</f>
        <v>叶凌（注册号：1119970111）</v>
      </c>
      <c r="E5" s="2347" t="s">
        <v>2149</v>
      </c>
      <c r="F5" s="1304">
        <f ca="1">IF(G5&lt;B2,"已过期",94010078)</f>
        <v>94010078</v>
      </c>
      <c r="G5" s="2348">
        <v>46387</v>
      </c>
      <c r="H5" s="2349" t="str">
        <f t="shared" ref="H5:H16" ca="1" si="1">E5&amp;"（注册号："&amp;F5&amp;"）"</f>
        <v>叶凌（注册号：94010078）</v>
      </c>
    </row>
    <row r="6" spans="1:8" ht="24" customHeight="1">
      <c r="A6" s="1304" t="s">
        <v>2150</v>
      </c>
      <c r="B6" s="1304">
        <f ca="1">IF(C6&lt;B2,"已过期",1120050019)</f>
        <v>1120050019</v>
      </c>
      <c r="C6" s="2345">
        <v>45410</v>
      </c>
      <c r="D6" s="2346" t="str">
        <f t="shared" ca="1" si="0"/>
        <v>王鹏（注册号：1120050019）</v>
      </c>
      <c r="E6" s="2347" t="s">
        <v>2150</v>
      </c>
      <c r="F6" s="1304">
        <f ca="1">IF(G6&lt;B2,"已过期",2002110030)</f>
        <v>2002110030</v>
      </c>
      <c r="G6" s="2348">
        <v>46387</v>
      </c>
      <c r="H6" s="2349" t="str">
        <f t="shared" ca="1" si="1"/>
        <v>王鹏（注册号：2002110030）</v>
      </c>
    </row>
    <row r="7" spans="1:8" ht="24" customHeight="1">
      <c r="A7" s="1304" t="s">
        <v>2151</v>
      </c>
      <c r="B7" s="1304">
        <f ca="1">IF(C7&lt;B2,"已过期",1120000080)</f>
        <v>1120000080</v>
      </c>
      <c r="C7" s="2345">
        <v>45937</v>
      </c>
      <c r="D7" s="2346" t="str">
        <f t="shared" ca="1" si="0"/>
        <v>欧红伟（注册号：1120000080）</v>
      </c>
      <c r="E7" s="2347" t="s">
        <v>2151</v>
      </c>
      <c r="F7" s="1304">
        <f ca="1">IF(G7&lt;B2,"已过期",2000110082)</f>
        <v>2000110082</v>
      </c>
      <c r="G7" s="2348">
        <v>46387</v>
      </c>
      <c r="H7" s="2349" t="str">
        <f t="shared" ca="1" si="1"/>
        <v>欧红伟（注册号：2000110082）</v>
      </c>
    </row>
    <row r="8" spans="1:8" ht="24" customHeight="1">
      <c r="A8" s="1304" t="s">
        <v>2152</v>
      </c>
      <c r="B8" s="1304">
        <f ca="1">IF(C8&lt;B2,"已过期",1419970001)</f>
        <v>1419970001</v>
      </c>
      <c r="C8" s="2345">
        <v>45937</v>
      </c>
      <c r="D8" s="2346" t="str">
        <f t="shared" ca="1" si="0"/>
        <v>吴薇（注册号：1419970001）</v>
      </c>
      <c r="E8" s="2347" t="s">
        <v>2152</v>
      </c>
      <c r="F8" s="1304">
        <f ca="1">IF(G8&lt;B2,"已过期",2002110125)</f>
        <v>2002110125</v>
      </c>
      <c r="G8" s="2348">
        <v>47118</v>
      </c>
      <c r="H8" s="2349" t="str">
        <f t="shared" ca="1" si="1"/>
        <v>吴薇（注册号：2002110125）</v>
      </c>
    </row>
    <row r="9" spans="1:8" ht="24" customHeight="1">
      <c r="A9" s="1304" t="s">
        <v>2153</v>
      </c>
      <c r="B9" s="1304">
        <f ca="1">IF(C9&lt;B2,"已过期",1120060040)</f>
        <v>1120060040</v>
      </c>
      <c r="C9" s="2350">
        <v>45592</v>
      </c>
      <c r="D9" s="2346" t="str">
        <f t="shared" ca="1" si="0"/>
        <v>陈颖（注册号：1120060040）</v>
      </c>
      <c r="E9" s="2347" t="s">
        <v>2153</v>
      </c>
      <c r="F9" s="1304">
        <f ca="1">IF(G9&lt;B2,"已过期",2004110096)</f>
        <v>2004110096</v>
      </c>
      <c r="G9" s="2348">
        <v>47118</v>
      </c>
      <c r="H9" s="2349" t="str">
        <f t="shared" ca="1" si="1"/>
        <v>陈颖（注册号：2004110096）</v>
      </c>
    </row>
    <row r="10" spans="1:8" ht="24" customHeight="1">
      <c r="A10" s="1304" t="s">
        <v>2154</v>
      </c>
      <c r="B10" s="1304">
        <f ca="1">IF(C10&lt;B2,"已过期",1120100036)</f>
        <v>1120100036</v>
      </c>
      <c r="C10" s="2350">
        <v>45752</v>
      </c>
      <c r="D10" s="2346" t="str">
        <f t="shared" ca="1" si="0"/>
        <v>崔锴（注册号：1120100036）</v>
      </c>
      <c r="E10" s="2347" t="s">
        <v>2154</v>
      </c>
      <c r="F10" s="1304">
        <f ca="1">IF(G10&lt;B2,"已过期",2010110070)</f>
        <v>2010110070</v>
      </c>
      <c r="G10" s="2348">
        <v>47907</v>
      </c>
      <c r="H10" s="2349" t="str">
        <f t="shared" ca="1" si="1"/>
        <v>崔锴（注册号：2010110070）</v>
      </c>
    </row>
    <row r="11" spans="1:8" ht="24" customHeight="1">
      <c r="A11" s="1304" t="s">
        <v>2155</v>
      </c>
      <c r="B11" s="1304">
        <f ca="1">IF(C11&lt;B2,"已过期",1120070131)</f>
        <v>1120070131</v>
      </c>
      <c r="C11" s="2345">
        <v>45937</v>
      </c>
      <c r="D11" s="2346" t="str">
        <f t="shared" ca="1" si="0"/>
        <v>郑燚（注册号：1120070131）</v>
      </c>
      <c r="E11" s="2347" t="s">
        <v>2155</v>
      </c>
      <c r="F11" s="1304">
        <f ca="1">IF(G11&lt;B2,"已过期",2014110011)</f>
        <v>2014110011</v>
      </c>
      <c r="G11" s="2348">
        <v>49302</v>
      </c>
      <c r="H11" s="2349" t="str">
        <f t="shared" ca="1" si="1"/>
        <v>郑燚（注册号：2014110011）</v>
      </c>
    </row>
    <row r="12" spans="1:8" ht="24" customHeight="1">
      <c r="A12" s="1304" t="s">
        <v>2156</v>
      </c>
      <c r="B12" s="1304">
        <f ca="1">IF(C12&lt;B2,"已过期",1120040230)</f>
        <v>1120040230</v>
      </c>
      <c r="C12" s="2350">
        <v>45937</v>
      </c>
      <c r="D12" s="2346" t="str">
        <f t="shared" ca="1" si="0"/>
        <v>苏海（注册号：1120040230）</v>
      </c>
      <c r="E12" s="2347" t="s">
        <v>2156</v>
      </c>
      <c r="F12" s="1304">
        <f ca="1">IF(G12&lt;B2,"已过期",98030020)</f>
        <v>98030020</v>
      </c>
      <c r="G12" s="2348">
        <v>47118</v>
      </c>
      <c r="H12" s="2349" t="str">
        <f t="shared" ca="1" si="1"/>
        <v>苏海（注册号：98030020）</v>
      </c>
    </row>
    <row r="13" spans="1:8" ht="24" customHeight="1">
      <c r="A13" s="1304" t="s">
        <v>2157</v>
      </c>
      <c r="B13" s="1304">
        <f ca="1">IF(C13&lt;B2,"已过期",1120020033)</f>
        <v>1120020033</v>
      </c>
      <c r="C13" s="2345">
        <v>45375</v>
      </c>
      <c r="D13" s="2346" t="str">
        <f t="shared" ca="1" si="0"/>
        <v>刘敬东（注册号：1120020033）</v>
      </c>
      <c r="E13" s="2347" t="s">
        <v>2157</v>
      </c>
      <c r="F13" s="1304">
        <f ca="1">IF(G13&lt;B2,"已过期",2000110137)</f>
        <v>2000110137</v>
      </c>
      <c r="G13" s="2348">
        <v>46387</v>
      </c>
      <c r="H13" s="2349" t="str">
        <f t="shared" ca="1" si="1"/>
        <v>刘敬东（注册号：2000110137）</v>
      </c>
    </row>
    <row r="14" spans="1:8" ht="24" customHeight="1">
      <c r="A14" s="1304" t="s">
        <v>2158</v>
      </c>
      <c r="B14" s="1304" t="str">
        <f ca="1">IF(C14&lt;B2,"已过期",1119980106)</f>
        <v>已过期</v>
      </c>
      <c r="C14" s="2350">
        <v>44969</v>
      </c>
      <c r="D14" s="2346" t="str">
        <f t="shared" ca="1" si="0"/>
        <v>刘俊财（注册号：已过期）</v>
      </c>
      <c r="E14" s="2347" t="s">
        <v>2158</v>
      </c>
      <c r="F14" s="1304">
        <f ca="1">IF(G14&lt;B2,"已过期",96010063)</f>
        <v>96010063</v>
      </c>
      <c r="G14" s="2348">
        <v>47483</v>
      </c>
      <c r="H14" s="2349" t="str">
        <f t="shared" ca="1" si="1"/>
        <v>刘俊财（注册号：96010063）</v>
      </c>
    </row>
    <row r="15" spans="1:8" ht="24" customHeight="1">
      <c r="A15" s="1304" t="s">
        <v>2440</v>
      </c>
      <c r="B15" s="1304">
        <v>1120210056</v>
      </c>
      <c r="C15" s="2350">
        <v>45410</v>
      </c>
      <c r="D15" s="2346" t="str">
        <f t="shared" si="0"/>
        <v>宁小鳗（注册号：1120210056）</v>
      </c>
      <c r="E15" s="2347" t="s">
        <v>2159</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597" t="s">
        <v>2160</v>
      </c>
      <c r="B17" s="3597"/>
      <c r="C17" s="3597"/>
      <c r="D17" s="3597"/>
      <c r="E17" s="3597"/>
      <c r="F17" s="3597"/>
      <c r="G17" s="3597"/>
      <c r="H17" s="3597"/>
    </row>
    <row r="18" spans="1:8" ht="24" customHeight="1">
      <c r="A18" s="3598" t="s">
        <v>2161</v>
      </c>
      <c r="B18" s="3598"/>
      <c r="C18" s="3598"/>
      <c r="D18" s="2343"/>
      <c r="E18" s="3599" t="s">
        <v>2162</v>
      </c>
      <c r="F18" s="3598"/>
      <c r="G18" s="3598"/>
    </row>
    <row r="19" spans="1:8" s="2354" customFormat="1" ht="24" customHeight="1">
      <c r="A19" s="2353" t="s">
        <v>2163</v>
      </c>
      <c r="B19" s="2342" t="s">
        <v>2164</v>
      </c>
      <c r="C19" s="2342" t="s">
        <v>2143</v>
      </c>
      <c r="D19" s="2343"/>
      <c r="E19" s="2347" t="s">
        <v>2163</v>
      </c>
      <c r="F19" s="2342" t="s">
        <v>2164</v>
      </c>
      <c r="G19" s="2342" t="s">
        <v>2143</v>
      </c>
    </row>
    <row r="20" spans="1:8" s="2354" customFormat="1" ht="24" customHeight="1">
      <c r="A20" s="2355" t="s">
        <v>2165</v>
      </c>
      <c r="B20" s="2355" t="s">
        <v>2166</v>
      </c>
      <c r="C20" s="2348">
        <v>45898</v>
      </c>
      <c r="D20" s="2356"/>
      <c r="E20" s="2357" t="s">
        <v>2167</v>
      </c>
      <c r="F20" s="2360" t="s">
        <v>2441</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36" priority="53">
      <formula>AND($C4-TODAY()&lt;30,TODAY()&lt;$C4)</formula>
    </cfRule>
  </conditionalFormatting>
  <conditionalFormatting sqref="C20:D20">
    <cfRule type="expression" dxfId="235" priority="52">
      <formula>AND($C20-TODAY()&lt;30,TODAY()&lt;$C20)</formula>
    </cfRule>
  </conditionalFormatting>
  <conditionalFormatting sqref="C20:D20 G4 C4:D5 C13:D13">
    <cfRule type="cellIs" dxfId="234" priority="54" stopIfTrue="1" operator="lessThan">
      <formula>$B$2</formula>
    </cfRule>
  </conditionalFormatting>
  <conditionalFormatting sqref="G5 G7 G9">
    <cfRule type="cellIs" dxfId="233" priority="51" stopIfTrue="1" operator="lessThan">
      <formula>$B$2</formula>
    </cfRule>
  </conditionalFormatting>
  <conditionalFormatting sqref="C6:D6 D14 D16">
    <cfRule type="expression" dxfId="232" priority="49">
      <formula>AND($C6-TODAY()&lt;30,TODAY()&lt;$C6)</formula>
    </cfRule>
  </conditionalFormatting>
  <conditionalFormatting sqref="G6 G8 G10 C6:D6 D7:D12 D14 D16">
    <cfRule type="cellIs" dxfId="231" priority="50" stopIfTrue="1" operator="lessThan">
      <formula>$B$2</formula>
    </cfRule>
  </conditionalFormatting>
  <conditionalFormatting sqref="D12">
    <cfRule type="expression" dxfId="230" priority="47">
      <formula>AND($C12-TODAY()&lt;30,TODAY()&lt;$C12)</formula>
    </cfRule>
  </conditionalFormatting>
  <conditionalFormatting sqref="D12">
    <cfRule type="cellIs" dxfId="229" priority="48" stopIfTrue="1" operator="lessThan">
      <formula>$B$2</formula>
    </cfRule>
  </conditionalFormatting>
  <conditionalFormatting sqref="C13:D13">
    <cfRule type="expression" dxfId="228" priority="45">
      <formula>AND($C13-TODAY()&lt;30,TODAY()&lt;$C13)</formula>
    </cfRule>
  </conditionalFormatting>
  <conditionalFormatting sqref="C13:D13">
    <cfRule type="cellIs" dxfId="227" priority="46" stopIfTrue="1" operator="lessThan">
      <formula>$B$2</formula>
    </cfRule>
  </conditionalFormatting>
  <conditionalFormatting sqref="D14">
    <cfRule type="expression" dxfId="226" priority="43">
      <formula>AND($C14-TODAY()&lt;30,TODAY()&lt;$C14)</formula>
    </cfRule>
  </conditionalFormatting>
  <conditionalFormatting sqref="D14">
    <cfRule type="cellIs" dxfId="225" priority="44" stopIfTrue="1" operator="lessThan">
      <formula>$B$2</formula>
    </cfRule>
  </conditionalFormatting>
  <conditionalFormatting sqref="G13">
    <cfRule type="cellIs" dxfId="224" priority="42" stopIfTrue="1" operator="lessThan">
      <formula>$B$2</formula>
    </cfRule>
  </conditionalFormatting>
  <conditionalFormatting sqref="B4:B11 F4:F11 B13 F13:F14">
    <cfRule type="cellIs" dxfId="223" priority="41" stopIfTrue="1" operator="equal">
      <formula>"已过期"</formula>
    </cfRule>
  </conditionalFormatting>
  <conditionalFormatting sqref="C7">
    <cfRule type="cellIs" dxfId="222" priority="38" stopIfTrue="1" operator="lessThan">
      <formula>$B$2</formula>
    </cfRule>
  </conditionalFormatting>
  <conditionalFormatting sqref="C7">
    <cfRule type="expression" dxfId="221" priority="37">
      <formula>AND($C7-TODAY()&lt;30,TODAY()&lt;$C7)</formula>
    </cfRule>
  </conditionalFormatting>
  <conditionalFormatting sqref="C8">
    <cfRule type="expression" dxfId="220" priority="35">
      <formula>AND($C8-TODAY()&lt;30,TODAY()&lt;$C8)</formula>
    </cfRule>
  </conditionalFormatting>
  <conditionalFormatting sqref="C8">
    <cfRule type="cellIs" dxfId="219" priority="36" stopIfTrue="1" operator="lessThan">
      <formula>$B$2</formula>
    </cfRule>
  </conditionalFormatting>
  <conditionalFormatting sqref="C11">
    <cfRule type="expression" dxfId="218" priority="33">
      <formula>AND($C11-TODAY()&lt;30,TODAY()&lt;$C11)</formula>
    </cfRule>
  </conditionalFormatting>
  <conditionalFormatting sqref="C11">
    <cfRule type="cellIs" dxfId="217" priority="34" stopIfTrue="1" operator="lessThan">
      <formula>$B$2</formula>
    </cfRule>
  </conditionalFormatting>
  <conditionalFormatting sqref="A16:C16">
    <cfRule type="cellIs" dxfId="216" priority="32" stopIfTrue="1" operator="equal">
      <formula>"已过期"</formula>
    </cfRule>
  </conditionalFormatting>
  <conditionalFormatting sqref="E16:G16">
    <cfRule type="cellIs" dxfId="215" priority="31" stopIfTrue="1" operator="equal">
      <formula>"已过期"</formula>
    </cfRule>
  </conditionalFormatting>
  <conditionalFormatting sqref="G11">
    <cfRule type="cellIs" dxfId="214" priority="30" stopIfTrue="1" operator="lessThan">
      <formula>$B$2</formula>
    </cfRule>
  </conditionalFormatting>
  <conditionalFormatting sqref="F12">
    <cfRule type="cellIs" dxfId="213" priority="29" stopIfTrue="1" operator="equal">
      <formula>"已过期"</formula>
    </cfRule>
  </conditionalFormatting>
  <conditionalFormatting sqref="G12">
    <cfRule type="cellIs" dxfId="212" priority="28" stopIfTrue="1" operator="lessThan">
      <formula>$B$2</formula>
    </cfRule>
  </conditionalFormatting>
  <conditionalFormatting sqref="C12">
    <cfRule type="cellIs" dxfId="211" priority="27" stopIfTrue="1" operator="lessThan">
      <formula>$B$2</formula>
    </cfRule>
  </conditionalFormatting>
  <conditionalFormatting sqref="C12">
    <cfRule type="expression" dxfId="210" priority="25">
      <formula>AND($C12-TODAY()&lt;30,TODAY()&lt;$C12)</formula>
    </cfRule>
  </conditionalFormatting>
  <conditionalFormatting sqref="C12">
    <cfRule type="cellIs" dxfId="209" priority="26" stopIfTrue="1" operator="lessThan">
      <formula>$B$2</formula>
    </cfRule>
  </conditionalFormatting>
  <conditionalFormatting sqref="B12">
    <cfRule type="cellIs" dxfId="208" priority="24" stopIfTrue="1" operator="equal">
      <formula>"已过期"</formula>
    </cfRule>
  </conditionalFormatting>
  <conditionalFormatting sqref="C9:C10">
    <cfRule type="expression" dxfId="207" priority="22">
      <formula>AND($C9-TODAY()&lt;30,TODAY()&lt;$C9)</formula>
    </cfRule>
  </conditionalFormatting>
  <conditionalFormatting sqref="C9:C10">
    <cfRule type="cellIs" dxfId="206" priority="23" stopIfTrue="1" operator="lessThan">
      <formula>$B$2</formula>
    </cfRule>
  </conditionalFormatting>
  <conditionalFormatting sqref="G21">
    <cfRule type="expression" dxfId="205" priority="20" stopIfTrue="1">
      <formula>AND(#REF!-TODAY()&lt;30,TODAY()&lt;#REF!)</formula>
    </cfRule>
  </conditionalFormatting>
  <conditionalFormatting sqref="G21">
    <cfRule type="cellIs" dxfId="204" priority="21" stopIfTrue="1" operator="lessThan">
      <formula>$B$2</formula>
    </cfRule>
  </conditionalFormatting>
  <conditionalFormatting sqref="C14">
    <cfRule type="expression" dxfId="203" priority="18">
      <formula>AND($C14-TODAY()&lt;30,TODAY()&lt;$C14)</formula>
    </cfRule>
  </conditionalFormatting>
  <conditionalFormatting sqref="C14">
    <cfRule type="cellIs" dxfId="202" priority="19" stopIfTrue="1" operator="lessThan">
      <formula>$B$2</formula>
    </cfRule>
  </conditionalFormatting>
  <conditionalFormatting sqref="C14">
    <cfRule type="expression" dxfId="201" priority="16">
      <formula>AND($C14-TODAY()&lt;30,TODAY()&lt;$C14)</formula>
    </cfRule>
  </conditionalFormatting>
  <conditionalFormatting sqref="C14">
    <cfRule type="cellIs" dxfId="200" priority="17" stopIfTrue="1" operator="lessThan">
      <formula>$B$2</formula>
    </cfRule>
  </conditionalFormatting>
  <conditionalFormatting sqref="B14">
    <cfRule type="cellIs" dxfId="199" priority="15" stopIfTrue="1" operator="equal">
      <formula>"已过期"</formula>
    </cfRule>
  </conditionalFormatting>
  <conditionalFormatting sqref="G14">
    <cfRule type="cellIs" dxfId="198" priority="14" stopIfTrue="1" operator="lessThan">
      <formula>$B$2</formula>
    </cfRule>
  </conditionalFormatting>
  <conditionalFormatting sqref="D15">
    <cfRule type="expression" dxfId="197" priority="12">
      <formula>AND($C15-TODAY()&lt;30,TODAY()&lt;$C15)</formula>
    </cfRule>
  </conditionalFormatting>
  <conditionalFormatting sqref="D15">
    <cfRule type="cellIs" dxfId="196" priority="13" stopIfTrue="1" operator="lessThan">
      <formula>$B$2</formula>
    </cfRule>
  </conditionalFormatting>
  <conditionalFormatting sqref="D15">
    <cfRule type="expression" dxfId="195" priority="10">
      <formula>AND($C15-TODAY()&lt;30,TODAY()&lt;$C15)</formula>
    </cfRule>
  </conditionalFormatting>
  <conditionalFormatting sqref="D15">
    <cfRule type="cellIs" dxfId="194" priority="11" stopIfTrue="1" operator="lessThan">
      <formula>$B$2</formula>
    </cfRule>
  </conditionalFormatting>
  <conditionalFormatting sqref="F15">
    <cfRule type="cellIs" dxfId="193" priority="9" stopIfTrue="1" operator="equal">
      <formula>"已过期"</formula>
    </cfRule>
  </conditionalFormatting>
  <conditionalFormatting sqref="C15">
    <cfRule type="expression" dxfId="192" priority="7">
      <formula>AND($C15-TODAY()&lt;30,TODAY()&lt;$C15)</formula>
    </cfRule>
  </conditionalFormatting>
  <conditionalFormatting sqref="C15">
    <cfRule type="cellIs" dxfId="191" priority="8" stopIfTrue="1" operator="lessThan">
      <formula>$B$2</formula>
    </cfRule>
  </conditionalFormatting>
  <conditionalFormatting sqref="C15">
    <cfRule type="expression" dxfId="190" priority="5">
      <formula>AND($C15-TODAY()&lt;30,TODAY()&lt;$C15)</formula>
    </cfRule>
  </conditionalFormatting>
  <conditionalFormatting sqref="C15">
    <cfRule type="cellIs" dxfId="189" priority="6" stopIfTrue="1" operator="lessThan">
      <formula>$B$2</formula>
    </cfRule>
  </conditionalFormatting>
  <conditionalFormatting sqref="B15">
    <cfRule type="cellIs" dxfId="188" priority="4" stopIfTrue="1" operator="equal">
      <formula>"已过期"</formula>
    </cfRule>
  </conditionalFormatting>
  <conditionalFormatting sqref="G15">
    <cfRule type="cellIs" dxfId="187" priority="3" stopIfTrue="1" operator="lessThan">
      <formula>$B$2</formula>
    </cfRule>
  </conditionalFormatting>
  <conditionalFormatting sqref="G20">
    <cfRule type="expression" dxfId="186" priority="1" stopIfTrue="1">
      <formula>AND(#REF!-TODAY()&lt;30,TODAY()&lt;#REF!)</formula>
    </cfRule>
  </conditionalFormatting>
  <conditionalFormatting sqref="G20">
    <cfRule type="cellIs" dxfId="185"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A11" workbookViewId="0">
      <selection activeCell="D25" sqref="D25"/>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977</v>
      </c>
      <c r="C1" s="1541" t="s">
        <v>314</v>
      </c>
      <c r="D1" s="1543" t="s">
        <v>3357</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3343</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3344</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3345</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3346</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3347</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3348</v>
      </c>
    </row>
    <row r="8" spans="1:23">
      <c r="A8" s="1546" t="s">
        <v>1026</v>
      </c>
      <c r="B8" s="1546" t="s">
        <v>1027</v>
      </c>
      <c r="C8" s="1547" t="s">
        <v>319</v>
      </c>
      <c r="F8" s="1548" t="s">
        <v>1028</v>
      </c>
      <c r="H8" s="1548" t="s">
        <v>2580</v>
      </c>
      <c r="I8" s="1548" t="s">
        <v>3349</v>
      </c>
    </row>
    <row r="9" spans="1:23">
      <c r="A9" s="1546" t="s">
        <v>1029</v>
      </c>
      <c r="B9" s="1546" t="s">
        <v>1030</v>
      </c>
      <c r="C9" s="1547" t="s">
        <v>320</v>
      </c>
      <c r="F9" s="1548" t="s">
        <v>1031</v>
      </c>
      <c r="H9" s="1548"/>
      <c r="I9" s="1551" t="s">
        <v>3350</v>
      </c>
    </row>
    <row r="10" spans="1:23">
      <c r="A10" s="1546" t="s">
        <v>1032</v>
      </c>
      <c r="B10" s="1546" t="s">
        <v>1033</v>
      </c>
      <c r="C10" s="1547" t="s">
        <v>321</v>
      </c>
      <c r="F10" s="1548" t="s">
        <v>2581</v>
      </c>
      <c r="I10" s="1551" t="s">
        <v>3351</v>
      </c>
    </row>
    <row r="11" spans="1:23">
      <c r="A11" s="1546" t="s">
        <v>1034</v>
      </c>
      <c r="B11" s="1546" t="s">
        <v>1035</v>
      </c>
      <c r="C11" s="1547" t="s">
        <v>322</v>
      </c>
      <c r="F11" s="1548" t="s">
        <v>13</v>
      </c>
      <c r="I11" s="1551" t="s">
        <v>3352</v>
      </c>
    </row>
    <row r="12" spans="1:23">
      <c r="A12" s="1546" t="s">
        <v>1036</v>
      </c>
      <c r="B12" s="1546" t="s">
        <v>1037</v>
      </c>
      <c r="C12" s="1547" t="s">
        <v>323</v>
      </c>
      <c r="I12" s="1551" t="s">
        <v>3353</v>
      </c>
    </row>
    <row r="13" spans="1:23">
      <c r="A13" s="1546" t="s">
        <v>1038</v>
      </c>
      <c r="B13" s="1546" t="s">
        <v>1039</v>
      </c>
      <c r="C13" s="1547" t="s">
        <v>324</v>
      </c>
      <c r="I13" s="1551" t="s">
        <v>3354</v>
      </c>
    </row>
    <row r="14" spans="1:23">
      <c r="A14" s="1546" t="s">
        <v>1040</v>
      </c>
      <c r="B14" s="1546" t="s">
        <v>1041</v>
      </c>
      <c r="C14" s="1548" t="s">
        <v>13</v>
      </c>
      <c r="I14" s="1551" t="s">
        <v>3355</v>
      </c>
    </row>
    <row r="15" spans="1:23">
      <c r="A15" s="1546" t="s">
        <v>1042</v>
      </c>
      <c r="B15" s="1546" t="s">
        <v>1043</v>
      </c>
      <c r="C15" s="1547"/>
      <c r="I15" s="1551" t="s">
        <v>3356</v>
      </c>
    </row>
    <row r="16" spans="1:23">
      <c r="A16" s="1546" t="s">
        <v>1044</v>
      </c>
      <c r="B16" s="1546" t="s">
        <v>312</v>
      </c>
      <c r="C16" s="1547"/>
    </row>
    <row r="17" spans="1:3">
      <c r="A17" s="1546" t="s">
        <v>1045</v>
      </c>
      <c r="B17" s="1546" t="s">
        <v>2293</v>
      </c>
      <c r="C17" s="1547"/>
    </row>
    <row r="18" spans="1:3">
      <c r="A18" s="1546" t="s">
        <v>1046</v>
      </c>
      <c r="B18" s="1546" t="s">
        <v>2436</v>
      </c>
      <c r="C18" s="1547"/>
    </row>
    <row r="19" spans="1:3">
      <c r="A19" s="1546" t="s">
        <v>1047</v>
      </c>
      <c r="B19" s="1546" t="s">
        <v>3433</v>
      </c>
      <c r="C19" s="1547"/>
    </row>
    <row r="20" spans="1:3">
      <c r="A20" s="1546" t="s">
        <v>1048</v>
      </c>
      <c r="B20" s="1546" t="s">
        <v>313</v>
      </c>
      <c r="C20" s="1547"/>
    </row>
    <row r="21" spans="1:3">
      <c r="A21" s="1546" t="s">
        <v>1049</v>
      </c>
      <c r="B21" s="1546" t="s">
        <v>313</v>
      </c>
      <c r="C21" s="1547"/>
    </row>
    <row r="22" spans="1:3">
      <c r="A22" s="1546" t="s">
        <v>1050</v>
      </c>
      <c r="B22" s="1546" t="s">
        <v>313</v>
      </c>
      <c r="C22" s="1547"/>
    </row>
    <row r="23" spans="1:3">
      <c r="A23" s="1546" t="s">
        <v>1051</v>
      </c>
      <c r="B23" s="1546" t="s">
        <v>313</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3403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600"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2022年12月31日，估价对象规划用途为0土地取得方式为出让，出让国有建设用地使用权剩余土地使用年限为XX年(多用途剩余年限尾数不同时，可只体现小数点后一位)，假定未设立法定优先受偿款下的房地产市场价值。</v>
      </c>
    </row>
    <row r="54" spans="1:4">
      <c r="A54" s="3600"/>
      <c r="B54" s="1554" t="s">
        <v>385</v>
      </c>
      <c r="C54" s="1551" t="s">
        <v>583</v>
      </c>
    </row>
    <row r="55" spans="1:4">
      <c r="A55" s="3600"/>
      <c r="B55" s="1554" t="s">
        <v>386</v>
      </c>
      <c r="C55" s="1551" t="s">
        <v>584</v>
      </c>
    </row>
    <row r="56" spans="1:4">
      <c r="A56" s="3600"/>
      <c r="B56" s="1554" t="s">
        <v>387</v>
      </c>
      <c r="C56" s="1551" t="s">
        <v>588</v>
      </c>
    </row>
    <row r="57" spans="1:4">
      <c r="A57" s="3600"/>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B1:AB140"/>
  <sheetViews>
    <sheetView topLeftCell="R6" zoomScale="130" zoomScaleNormal="130" workbookViewId="0">
      <selection activeCell="Z28" sqref="Z28"/>
    </sheetView>
  </sheetViews>
  <sheetFormatPr defaultColWidth="9" defaultRowHeight="11.25"/>
  <cols>
    <col min="1" max="1" width="2" style="3453" customWidth="1"/>
    <col min="2" max="3" width="4.375" style="3453" customWidth="1"/>
    <col min="4" max="4" width="9" style="3453"/>
    <col min="5" max="5" width="8.875" style="3453" customWidth="1"/>
    <col min="6" max="6" width="7.875" style="3453" bestFit="1" customWidth="1"/>
    <col min="7" max="7" width="7.875" style="3453" customWidth="1"/>
    <col min="8" max="8" width="7.5" style="3453" bestFit="1" customWidth="1"/>
    <col min="9" max="10" width="9" style="3453"/>
    <col min="11" max="11" width="11.75" style="3453" customWidth="1"/>
    <col min="12" max="12" width="12.875" style="3453" customWidth="1"/>
    <col min="13" max="13" width="12.25" style="3453" customWidth="1"/>
    <col min="14" max="14" width="10.625" style="3453" customWidth="1"/>
    <col min="15" max="17" width="9" style="3453"/>
    <col min="18" max="18" width="12.25" style="3453" bestFit="1" customWidth="1"/>
    <col min="19" max="19" width="7" style="3453" customWidth="1"/>
    <col min="20" max="20" width="13.375" style="3453" customWidth="1"/>
    <col min="21" max="21" width="12.875" style="3453" customWidth="1"/>
    <col min="22" max="22" width="18.375" style="3453" customWidth="1"/>
    <col min="23" max="23" width="14.75" style="3453" bestFit="1" customWidth="1"/>
    <col min="24" max="25" width="9" style="3453"/>
    <col min="26" max="26" width="9" style="3467"/>
    <col min="27" max="27" width="14.75" style="3453" bestFit="1" customWidth="1"/>
    <col min="28" max="16384" width="9" style="3453"/>
  </cols>
  <sheetData>
    <row r="1" spans="2:28" s="3463" customFormat="1" ht="32.25" customHeight="1">
      <c r="E1" s="3463" t="e">
        <v>#REF!</v>
      </c>
      <c r="R1" s="3464" t="s">
        <v>4032</v>
      </c>
      <c r="S1" s="3464" t="s">
        <v>4033</v>
      </c>
      <c r="T1" s="3464" t="s">
        <v>4034</v>
      </c>
      <c r="U1" s="3464" t="s">
        <v>4035</v>
      </c>
      <c r="V1" s="3464" t="s">
        <v>4036</v>
      </c>
      <c r="W1" s="3464" t="s">
        <v>4037</v>
      </c>
      <c r="Z1" s="3466"/>
    </row>
    <row r="2" spans="2:28">
      <c r="B2" s="3454" t="s">
        <v>3385</v>
      </c>
      <c r="C2" s="3454" t="s">
        <v>3386</v>
      </c>
      <c r="D2" s="3454" t="s">
        <v>3387</v>
      </c>
      <c r="E2" s="3454" t="s">
        <v>3388</v>
      </c>
      <c r="F2" s="3454" t="s">
        <v>3389</v>
      </c>
      <c r="G2" s="3454" t="s">
        <v>4038</v>
      </c>
      <c r="H2" s="3454" t="s">
        <v>3390</v>
      </c>
      <c r="I2" s="3460"/>
      <c r="R2" s="3601" t="s">
        <v>4039</v>
      </c>
      <c r="S2" s="3601"/>
      <c r="T2" s="3601"/>
      <c r="U2" s="3601"/>
      <c r="V2" s="3601"/>
      <c r="W2" s="3601"/>
    </row>
    <row r="3" spans="2:28">
      <c r="B3" s="3454" t="s">
        <v>4040</v>
      </c>
      <c r="C3" s="3454">
        <v>-3</v>
      </c>
      <c r="D3" s="3455">
        <v>4523.2299999999996</v>
      </c>
      <c r="E3" s="3455"/>
      <c r="F3" s="3454" t="s">
        <v>3391</v>
      </c>
      <c r="G3" s="3454" t="s">
        <v>4041</v>
      </c>
      <c r="H3" s="3454" t="s">
        <v>3392</v>
      </c>
      <c r="I3" s="3534"/>
      <c r="J3" s="3458" t="s">
        <v>3385</v>
      </c>
      <c r="K3" s="3458" t="s">
        <v>3395</v>
      </c>
      <c r="L3" s="3458" t="s">
        <v>3396</v>
      </c>
      <c r="M3" s="3458" t="s">
        <v>3397</v>
      </c>
      <c r="N3" s="3458" t="s">
        <v>3398</v>
      </c>
      <c r="O3" s="3458" t="s">
        <v>3399</v>
      </c>
      <c r="R3" s="3465" t="s">
        <v>4042</v>
      </c>
      <c r="S3" s="3465">
        <v>25692.82</v>
      </c>
      <c r="T3" s="3535">
        <v>374</v>
      </c>
      <c r="U3" s="3535">
        <v>343.12</v>
      </c>
      <c r="V3" s="3535">
        <f>ROUND(T3*S3*12,2)</f>
        <v>115309376.16</v>
      </c>
      <c r="W3" s="3535">
        <f>ROUND(X3*S3*12,2)</f>
        <v>105788418.5</v>
      </c>
      <c r="X3" s="3536">
        <f>T3/1.09</f>
        <v>343.11926605504584</v>
      </c>
      <c r="Y3" s="3452">
        <f>T3/30</f>
        <v>12.466666666666667</v>
      </c>
      <c r="AA3" s="3452">
        <f>SUM(V3:V6)</f>
        <v>476612088.12</v>
      </c>
      <c r="AB3" s="3452">
        <f>AA3/S3/12/30/4</f>
        <v>12.882222222005993</v>
      </c>
    </row>
    <row r="4" spans="2:28" s="3551" customFormat="1">
      <c r="B4" s="3547" t="s">
        <v>4040</v>
      </c>
      <c r="C4" s="3547">
        <v>-3</v>
      </c>
      <c r="D4" s="3548">
        <v>4169.6000000000004</v>
      </c>
      <c r="E4" s="3548">
        <v>4169.6000000000004</v>
      </c>
      <c r="F4" s="3547" t="s">
        <v>3340</v>
      </c>
      <c r="G4" s="3547" t="s">
        <v>4043</v>
      </c>
      <c r="H4" s="3547" t="s">
        <v>3392</v>
      </c>
      <c r="I4" s="3549"/>
      <c r="J4" s="3547" t="s">
        <v>4040</v>
      </c>
      <c r="K4" s="3548">
        <v>55557.690000000017</v>
      </c>
      <c r="L4" s="3548">
        <v>4523.2299999999996</v>
      </c>
      <c r="M4" s="3548">
        <v>51034.46</v>
      </c>
      <c r="N4" s="3548">
        <v>31541.83</v>
      </c>
      <c r="O4" s="3548">
        <v>19492.63</v>
      </c>
      <c r="P4" s="3550"/>
      <c r="R4" s="3552" t="s">
        <v>4044</v>
      </c>
      <c r="S4" s="3552">
        <v>25692.82</v>
      </c>
      <c r="T4" s="3553">
        <v>374</v>
      </c>
      <c r="U4" s="3553">
        <v>343.12</v>
      </c>
      <c r="V4" s="3553">
        <f t="shared" ref="V4:V11" si="0">ROUND(T4*S4*12,2)</f>
        <v>115309376.16</v>
      </c>
      <c r="W4" s="3553">
        <f t="shared" ref="W4:W6" si="1">ROUND(X4*S4*12,2)</f>
        <v>105788418.5</v>
      </c>
      <c r="X4" s="3554">
        <f t="shared" ref="X4:X15" si="2">T4/1.09</f>
        <v>343.11926605504584</v>
      </c>
      <c r="Y4" s="3450">
        <f t="shared" ref="Y4:Y22" si="3">T4/30</f>
        <v>12.466666666666667</v>
      </c>
      <c r="Z4" s="3555"/>
      <c r="AA4" s="3450"/>
    </row>
    <row r="5" spans="2:28" s="3551" customFormat="1">
      <c r="B5" s="3547" t="s">
        <v>4040</v>
      </c>
      <c r="C5" s="3547">
        <v>-3</v>
      </c>
      <c r="D5" s="3548">
        <v>273.13</v>
      </c>
      <c r="E5" s="3548">
        <v>273.13</v>
      </c>
      <c r="F5" s="3547" t="s">
        <v>3340</v>
      </c>
      <c r="G5" s="3547" t="s">
        <v>4045</v>
      </c>
      <c r="H5" s="3547" t="s">
        <v>3392</v>
      </c>
      <c r="I5" s="3549" t="s">
        <v>4046</v>
      </c>
      <c r="J5" s="3551" t="s">
        <v>4047</v>
      </c>
      <c r="K5" s="3556" t="s">
        <v>4048</v>
      </c>
      <c r="L5" s="3557"/>
      <c r="M5" s="3559">
        <f>M4-'数据-基础表'!B3</f>
        <v>0</v>
      </c>
      <c r="N5" s="3557"/>
      <c r="O5" s="3557"/>
      <c r="P5" s="3557"/>
      <c r="R5" s="3552" t="s">
        <v>4049</v>
      </c>
      <c r="S5" s="3552">
        <v>25692.82</v>
      </c>
      <c r="T5" s="3553">
        <v>398.93</v>
      </c>
      <c r="U5" s="3553">
        <v>365.99</v>
      </c>
      <c r="V5" s="3553">
        <f>AA5</f>
        <v>122996667.90000001</v>
      </c>
      <c r="W5" s="3553">
        <f t="shared" si="1"/>
        <v>112840036.87</v>
      </c>
      <c r="X5" s="3554">
        <f t="shared" si="2"/>
        <v>365.99082568807336</v>
      </c>
      <c r="Y5" s="3450">
        <f>T5/30</f>
        <v>13.297666666666666</v>
      </c>
      <c r="Z5" s="3555">
        <f>(Y5-Y3)/Y3</f>
        <v>6.6657754010695153E-2</v>
      </c>
      <c r="AA5" s="3450">
        <v>122996667.90000001</v>
      </c>
    </row>
    <row r="6" spans="2:28" s="3551" customFormat="1">
      <c r="B6" s="3547" t="s">
        <v>4040</v>
      </c>
      <c r="C6" s="3547">
        <v>-2</v>
      </c>
      <c r="D6" s="3548">
        <v>6711.03</v>
      </c>
      <c r="E6" s="3548">
        <v>6711.03</v>
      </c>
      <c r="F6" s="3547" t="s">
        <v>3340</v>
      </c>
      <c r="G6" s="3547" t="s">
        <v>4043</v>
      </c>
      <c r="H6" s="3547" t="s">
        <v>3392</v>
      </c>
      <c r="I6" s="3558">
        <f>D6+D5+D4</f>
        <v>11153.76</v>
      </c>
      <c r="J6" s="3551">
        <f>121+93</f>
        <v>214</v>
      </c>
      <c r="K6" s="3554">
        <f>I6/J6</f>
        <v>52.120373831775701</v>
      </c>
      <c r="N6" s="3554"/>
      <c r="R6" s="3552" t="s">
        <v>4050</v>
      </c>
      <c r="S6" s="3552">
        <v>25692.82</v>
      </c>
      <c r="T6" s="3553">
        <v>398.93</v>
      </c>
      <c r="U6" s="3553">
        <v>365.99</v>
      </c>
      <c r="V6" s="3553">
        <f>AA5</f>
        <v>122996667.90000001</v>
      </c>
      <c r="W6" s="3553">
        <f t="shared" si="1"/>
        <v>112840036.87</v>
      </c>
      <c r="X6" s="3554">
        <f>T6/1.09</f>
        <v>365.99082568807336</v>
      </c>
      <c r="Y6" s="3450">
        <f t="shared" si="3"/>
        <v>13.297666666666666</v>
      </c>
      <c r="Z6" s="3555"/>
    </row>
    <row r="7" spans="2:28">
      <c r="B7" s="3454" t="s">
        <v>4040</v>
      </c>
      <c r="C7" s="3454">
        <v>-1</v>
      </c>
      <c r="D7" s="3455">
        <v>8338.8700000000008</v>
      </c>
      <c r="E7" s="3455">
        <v>8338.8700000000008</v>
      </c>
      <c r="F7" s="3454" t="s">
        <v>3340</v>
      </c>
      <c r="G7" s="3454" t="s">
        <v>4051</v>
      </c>
      <c r="H7" s="3454" t="s">
        <v>3392</v>
      </c>
      <c r="I7" s="3538">
        <f>D7/35</f>
        <v>238.2534285714286</v>
      </c>
      <c r="R7" s="3601" t="s">
        <v>4052</v>
      </c>
      <c r="S7" s="3601"/>
      <c r="T7" s="3601"/>
      <c r="U7" s="3601"/>
      <c r="V7" s="3601"/>
      <c r="W7" s="3601"/>
      <c r="X7" s="3536">
        <f t="shared" si="2"/>
        <v>0</v>
      </c>
      <c r="Y7" s="3450">
        <f>AVERAGE(Y3:Y6)</f>
        <v>12.882166666666667</v>
      </c>
    </row>
    <row r="8" spans="2:28" ht="12.75">
      <c r="B8" s="3456" t="s">
        <v>4040</v>
      </c>
      <c r="C8" s="3456">
        <v>1</v>
      </c>
      <c r="D8" s="3457">
        <v>5849.01</v>
      </c>
      <c r="E8" s="3457">
        <v>5849.01</v>
      </c>
      <c r="F8" s="3456" t="s">
        <v>673</v>
      </c>
      <c r="G8" s="3456" t="s">
        <v>4053</v>
      </c>
      <c r="H8" s="3456" t="s">
        <v>3393</v>
      </c>
      <c r="I8" s="3534"/>
      <c r="K8" s="3459" t="s">
        <v>4054</v>
      </c>
      <c r="L8" s="3539">
        <v>54771.69</v>
      </c>
      <c r="M8" s="3540">
        <f>L8</f>
        <v>54771.69</v>
      </c>
      <c r="N8" s="3471" t="s">
        <v>4055</v>
      </c>
      <c r="O8" s="3453" t="s">
        <v>4056</v>
      </c>
      <c r="R8" s="3465" t="s">
        <v>4057</v>
      </c>
      <c r="S8" s="3465">
        <v>5849.01</v>
      </c>
      <c r="T8" s="3535">
        <v>412</v>
      </c>
      <c r="U8" s="3535">
        <v>377.98</v>
      </c>
      <c r="V8" s="3535">
        <f t="shared" si="0"/>
        <v>28917505.440000001</v>
      </c>
      <c r="W8" s="3535">
        <f t="shared" ref="W8:W11" si="4">ROUND(X8*S8*12,2)</f>
        <v>26529821.5</v>
      </c>
      <c r="X8" s="3536">
        <f t="shared" si="2"/>
        <v>377.98165137614677</v>
      </c>
      <c r="Y8" s="3452">
        <f t="shared" si="3"/>
        <v>13.733333333333333</v>
      </c>
      <c r="AA8" s="3452">
        <f>SUM(V8:V11)</f>
        <v>119526157.08000001</v>
      </c>
      <c r="AB8" s="3452">
        <f>AA8/S8/12/30/4</f>
        <v>14.191166667521513</v>
      </c>
    </row>
    <row r="9" spans="2:28" ht="12.75">
      <c r="B9" s="3456" t="s">
        <v>4040</v>
      </c>
      <c r="C9" s="3456">
        <v>2</v>
      </c>
      <c r="D9" s="3457">
        <v>5518.99</v>
      </c>
      <c r="E9" s="3457">
        <v>5518.99</v>
      </c>
      <c r="F9" s="3456" t="s">
        <v>673</v>
      </c>
      <c r="G9" s="3456" t="s">
        <v>4058</v>
      </c>
      <c r="H9" s="3456" t="s">
        <v>3393</v>
      </c>
      <c r="I9" s="3534"/>
      <c r="K9" s="3459" t="s">
        <v>4059</v>
      </c>
      <c r="L9" s="3539">
        <v>173812.99</v>
      </c>
      <c r="M9" s="3470">
        <f>173812.99+54743+4689+2010</f>
        <v>235254.99</v>
      </c>
      <c r="N9" s="3470" t="s">
        <v>4060</v>
      </c>
      <c r="O9" s="3453" t="s">
        <v>4061</v>
      </c>
      <c r="R9" s="3465" t="s">
        <v>4062</v>
      </c>
      <c r="S9" s="3465">
        <v>5849.01</v>
      </c>
      <c r="T9" s="3535">
        <v>412</v>
      </c>
      <c r="U9" s="3535">
        <v>377.98</v>
      </c>
      <c r="V9" s="3535">
        <f t="shared" si="0"/>
        <v>28917505.440000001</v>
      </c>
      <c r="W9" s="3535">
        <f t="shared" si="4"/>
        <v>26529821.5</v>
      </c>
      <c r="X9" s="3536">
        <f t="shared" si="2"/>
        <v>377.98165137614677</v>
      </c>
      <c r="Y9" s="3452">
        <f t="shared" si="3"/>
        <v>13.733333333333333</v>
      </c>
    </row>
    <row r="10" spans="2:28" ht="12.75">
      <c r="B10" s="3456" t="s">
        <v>4040</v>
      </c>
      <c r="C10" s="3456">
        <v>3</v>
      </c>
      <c r="D10" s="3457">
        <v>5900.72</v>
      </c>
      <c r="E10" s="3457">
        <v>5900.72</v>
      </c>
      <c r="F10" s="3456" t="s">
        <v>673</v>
      </c>
      <c r="G10" s="3456" t="s">
        <v>4063</v>
      </c>
      <c r="H10" s="3456" t="s">
        <v>3393</v>
      </c>
      <c r="I10" s="3534"/>
      <c r="K10" s="3459" t="s">
        <v>4064</v>
      </c>
      <c r="L10" s="3539">
        <f>L9/L8</f>
        <v>3.1734092922821988</v>
      </c>
      <c r="M10" s="3541">
        <f>M9/M8</f>
        <v>4.2951931919573774</v>
      </c>
      <c r="N10" s="3470" t="s">
        <v>4065</v>
      </c>
      <c r="R10" s="3465" t="s">
        <v>4066</v>
      </c>
      <c r="S10" s="3465">
        <v>5849.01</v>
      </c>
      <c r="T10" s="3535">
        <v>439.47</v>
      </c>
      <c r="U10" s="3535">
        <v>403.18</v>
      </c>
      <c r="V10" s="3535">
        <f t="shared" si="0"/>
        <v>30845573.100000001</v>
      </c>
      <c r="W10" s="3535">
        <f t="shared" si="4"/>
        <v>28298690.91</v>
      </c>
      <c r="X10" s="3536">
        <f t="shared" si="2"/>
        <v>403.18348623853211</v>
      </c>
      <c r="Y10" s="3452">
        <f t="shared" si="3"/>
        <v>14.649000000000001</v>
      </c>
      <c r="Z10" s="3467">
        <f>(Y10-Y8)/Y8</f>
        <v>6.6674757281553532E-2</v>
      </c>
    </row>
    <row r="11" spans="2:28">
      <c r="B11" s="3456" t="s">
        <v>4040</v>
      </c>
      <c r="C11" s="3456">
        <v>3</v>
      </c>
      <c r="D11" s="3457">
        <v>1589.65</v>
      </c>
      <c r="E11" s="3457">
        <v>1589.65</v>
      </c>
      <c r="F11" s="3456" t="s">
        <v>673</v>
      </c>
      <c r="G11" s="3456" t="s">
        <v>4067</v>
      </c>
      <c r="H11" s="3456" t="s">
        <v>3393</v>
      </c>
      <c r="I11" s="3534"/>
      <c r="K11" s="3453" t="s">
        <v>4068</v>
      </c>
      <c r="L11" s="3536">
        <f>ROUND(N4/L10,2)</f>
        <v>9939.41</v>
      </c>
      <c r="M11" s="3470">
        <f>M4/M10</f>
        <v>11881.761243140476</v>
      </c>
      <c r="N11" s="3470" t="s">
        <v>4069</v>
      </c>
      <c r="O11" s="3453">
        <f>M4/M9*M8</f>
        <v>11881.761243140476</v>
      </c>
      <c r="R11" s="3465" t="s">
        <v>4070</v>
      </c>
      <c r="S11" s="3465">
        <v>5849.01</v>
      </c>
      <c r="T11" s="3535">
        <v>439.47</v>
      </c>
      <c r="U11" s="3535">
        <v>403.18</v>
      </c>
      <c r="V11" s="3535">
        <f t="shared" si="0"/>
        <v>30845573.100000001</v>
      </c>
      <c r="W11" s="3535">
        <f t="shared" si="4"/>
        <v>28298690.91</v>
      </c>
      <c r="X11" s="3536">
        <f t="shared" si="2"/>
        <v>403.18348623853211</v>
      </c>
      <c r="Y11" s="3452">
        <f t="shared" si="3"/>
        <v>14.649000000000001</v>
      </c>
    </row>
    <row r="12" spans="2:28">
      <c r="B12" s="3456" t="s">
        <v>4040</v>
      </c>
      <c r="C12" s="3456">
        <v>4</v>
      </c>
      <c r="D12" s="3457">
        <v>5896.01</v>
      </c>
      <c r="E12" s="3457">
        <v>5896.01</v>
      </c>
      <c r="F12" s="3456" t="s">
        <v>673</v>
      </c>
      <c r="G12" s="3456" t="s">
        <v>4071</v>
      </c>
      <c r="H12" s="3456" t="s">
        <v>3393</v>
      </c>
      <c r="I12" s="3534"/>
      <c r="R12" s="3601" t="s">
        <v>4072</v>
      </c>
      <c r="S12" s="3601"/>
      <c r="T12" s="3601"/>
      <c r="U12" s="3601"/>
      <c r="V12" s="3601"/>
      <c r="W12" s="3601"/>
      <c r="X12" s="3536">
        <f t="shared" si="2"/>
        <v>0</v>
      </c>
      <c r="Y12" s="3450">
        <f>AVERAGE(Y8:Y11)</f>
        <v>14.191166666666668</v>
      </c>
    </row>
    <row r="13" spans="2:28">
      <c r="B13" s="3456" t="s">
        <v>4040</v>
      </c>
      <c r="C13" s="3456">
        <v>5</v>
      </c>
      <c r="D13" s="3457">
        <v>5896.01</v>
      </c>
      <c r="E13" s="3457">
        <v>5896.01</v>
      </c>
      <c r="F13" s="3456" t="s">
        <v>673</v>
      </c>
      <c r="G13" s="3456" t="s">
        <v>4071</v>
      </c>
      <c r="H13" s="3456" t="s">
        <v>3393</v>
      </c>
      <c r="I13" s="3537">
        <f>面积明细!S3</f>
        <v>25692.82</v>
      </c>
      <c r="R13" s="3465" t="s">
        <v>4073</v>
      </c>
      <c r="S13" s="3465">
        <v>8338.8700000000008</v>
      </c>
      <c r="T13" s="3535">
        <v>65.180000000000007</v>
      </c>
      <c r="U13" s="3535">
        <v>59.8</v>
      </c>
      <c r="V13" s="3542">
        <f>ROUND(T13*S13*12,2)</f>
        <v>6522330.5599999996</v>
      </c>
      <c r="W13" s="3542">
        <f>ROUND(X13*S13*12,2)</f>
        <v>5983789.5</v>
      </c>
      <c r="X13" s="3536">
        <f t="shared" si="2"/>
        <v>59.798165137614681</v>
      </c>
      <c r="Y13" s="3452">
        <f t="shared" si="3"/>
        <v>2.1726666666666667</v>
      </c>
    </row>
    <row r="14" spans="2:28">
      <c r="B14" s="3456" t="s">
        <v>4040</v>
      </c>
      <c r="C14" s="3456">
        <v>5</v>
      </c>
      <c r="D14" s="3457">
        <v>109.51</v>
      </c>
      <c r="E14" s="3457">
        <v>109.51</v>
      </c>
      <c r="F14" s="3456" t="s">
        <v>4074</v>
      </c>
      <c r="G14" s="3456" t="s">
        <v>4063</v>
      </c>
      <c r="H14" s="3456" t="s">
        <v>3393</v>
      </c>
      <c r="I14" s="3534"/>
      <c r="M14" s="3453" t="s">
        <v>4075</v>
      </c>
      <c r="N14" s="3453">
        <v>54743</v>
      </c>
      <c r="O14" s="3453">
        <v>280</v>
      </c>
      <c r="P14" s="3453">
        <f>N14*O14/10000</f>
        <v>1532.8040000000001</v>
      </c>
      <c r="R14" s="3465" t="s">
        <v>4062</v>
      </c>
      <c r="S14" s="3465">
        <v>8338.8700000000008</v>
      </c>
      <c r="T14" s="3535">
        <v>65.180000000000007</v>
      </c>
      <c r="U14" s="3535">
        <v>59.8</v>
      </c>
      <c r="V14" s="3542">
        <f t="shared" ref="V14:V16" si="5">ROUND(T14*S14*12,2)</f>
        <v>6522330.5599999996</v>
      </c>
      <c r="W14" s="3542">
        <f t="shared" ref="W14:W16" si="6">ROUND(X14*S14*12,2)</f>
        <v>5983789.5</v>
      </c>
      <c r="X14" s="3536">
        <f t="shared" si="2"/>
        <v>59.798165137614681</v>
      </c>
      <c r="Y14" s="3452">
        <f t="shared" si="3"/>
        <v>2.1726666666666667</v>
      </c>
    </row>
    <row r="15" spans="2:28">
      <c r="B15" s="3456" t="s">
        <v>4040</v>
      </c>
      <c r="C15" s="3456">
        <v>5</v>
      </c>
      <c r="D15" s="3457">
        <v>80.48</v>
      </c>
      <c r="E15" s="3457">
        <v>80.48</v>
      </c>
      <c r="F15" s="3456" t="s">
        <v>4074</v>
      </c>
      <c r="G15" s="3456" t="s">
        <v>4063</v>
      </c>
      <c r="H15" s="3456" t="s">
        <v>3393</v>
      </c>
      <c r="I15" s="3460"/>
      <c r="M15" s="3453" t="s">
        <v>4076</v>
      </c>
      <c r="N15" s="3453">
        <v>4689</v>
      </c>
      <c r="O15" s="3453">
        <v>280</v>
      </c>
      <c r="P15" s="3453">
        <f t="shared" ref="P15:P17" si="7">N15*O15/10000</f>
        <v>131.292</v>
      </c>
      <c r="R15" s="3465" t="s">
        <v>4077</v>
      </c>
      <c r="S15" s="3465">
        <v>8338.8700000000008</v>
      </c>
      <c r="T15" s="3535">
        <v>69.52</v>
      </c>
      <c r="U15" s="3535">
        <v>63.78</v>
      </c>
      <c r="V15" s="3542">
        <f t="shared" si="5"/>
        <v>6956618.9100000001</v>
      </c>
      <c r="W15" s="3542">
        <f t="shared" si="6"/>
        <v>6382219.1799999997</v>
      </c>
      <c r="X15" s="3536">
        <f t="shared" si="2"/>
        <v>63.77981651376146</v>
      </c>
      <c r="Y15" s="3452">
        <f t="shared" si="3"/>
        <v>2.317333333333333</v>
      </c>
      <c r="Z15" s="3467">
        <f>(Y15-Y13)/Y13</f>
        <v>6.6584841976066095E-2</v>
      </c>
    </row>
    <row r="16" spans="2:28">
      <c r="B16" s="3456" t="s">
        <v>4040</v>
      </c>
      <c r="C16" s="3456">
        <v>5</v>
      </c>
      <c r="D16" s="3457">
        <v>146.46</v>
      </c>
      <c r="E16" s="3457">
        <v>146.46</v>
      </c>
      <c r="F16" s="3456" t="s">
        <v>4074</v>
      </c>
      <c r="G16" s="3456" t="s">
        <v>4063</v>
      </c>
      <c r="H16" s="3456" t="s">
        <v>3393</v>
      </c>
      <c r="I16" s="3460"/>
      <c r="M16" s="3453" t="s">
        <v>4078</v>
      </c>
      <c r="N16" s="3453">
        <v>2010</v>
      </c>
      <c r="O16" s="3453">
        <v>280</v>
      </c>
      <c r="P16" s="3453">
        <f t="shared" si="7"/>
        <v>56.28</v>
      </c>
      <c r="R16" s="3465" t="s">
        <v>4079</v>
      </c>
      <c r="S16" s="3465">
        <v>8338.8700000000008</v>
      </c>
      <c r="T16" s="3535">
        <v>69.52</v>
      </c>
      <c r="U16" s="3535">
        <v>63.78</v>
      </c>
      <c r="V16" s="3542">
        <f t="shared" si="5"/>
        <v>6956618.9100000001</v>
      </c>
      <c r="W16" s="3542">
        <f t="shared" si="6"/>
        <v>6382219.1799999997</v>
      </c>
      <c r="X16" s="3536">
        <f>T16/1.09</f>
        <v>63.77981651376146</v>
      </c>
      <c r="Y16" s="3452">
        <f t="shared" si="3"/>
        <v>2.317333333333333</v>
      </c>
    </row>
    <row r="17" spans="2:28">
      <c r="B17" s="3456" t="s">
        <v>4040</v>
      </c>
      <c r="C17" s="3456">
        <v>5</v>
      </c>
      <c r="D17" s="3457">
        <v>95.1</v>
      </c>
      <c r="E17" s="3457">
        <v>95.1</v>
      </c>
      <c r="F17" s="3456" t="s">
        <v>4074</v>
      </c>
      <c r="G17" s="3456" t="s">
        <v>4063</v>
      </c>
      <c r="H17" s="3456" t="s">
        <v>3393</v>
      </c>
      <c r="I17" s="3460"/>
      <c r="M17" s="3453" t="s">
        <v>4080</v>
      </c>
      <c r="N17" s="3453">
        <v>173812.99</v>
      </c>
      <c r="O17" s="3453">
        <v>830</v>
      </c>
      <c r="P17" s="3453">
        <f t="shared" si="7"/>
        <v>14426.478169999998</v>
      </c>
      <c r="R17" s="3460" t="s">
        <v>4081</v>
      </c>
      <c r="S17" s="3460"/>
      <c r="T17" s="3543"/>
      <c r="U17" s="3543"/>
      <c r="V17" s="3544"/>
      <c r="W17" s="3544"/>
      <c r="X17" s="3536"/>
      <c r="Y17" s="3450">
        <f>AVERAGE(Y13:Y16)</f>
        <v>2.2450000000000001</v>
      </c>
    </row>
    <row r="18" spans="2:28" ht="22.5">
      <c r="B18" s="3456" t="s">
        <v>4040</v>
      </c>
      <c r="C18" s="3456">
        <v>5</v>
      </c>
      <c r="D18" s="3457">
        <v>115.98</v>
      </c>
      <c r="E18" s="3457">
        <v>115.98</v>
      </c>
      <c r="F18" s="3456" t="s">
        <v>4074</v>
      </c>
      <c r="G18" s="3456" t="s">
        <v>4063</v>
      </c>
      <c r="H18" s="3456" t="s">
        <v>3393</v>
      </c>
      <c r="I18" s="3460"/>
      <c r="P18" s="3453">
        <f>SUM(P14:P17)</f>
        <v>16146.854169999999</v>
      </c>
      <c r="R18" s="3464" t="s">
        <v>4082</v>
      </c>
      <c r="S18" s="3464" t="s">
        <v>4083</v>
      </c>
      <c r="T18" s="3464" t="s">
        <v>4084</v>
      </c>
      <c r="U18" s="3464" t="s">
        <v>4085</v>
      </c>
      <c r="V18" s="3464" t="s">
        <v>4086</v>
      </c>
      <c r="W18" s="3464" t="s">
        <v>4087</v>
      </c>
      <c r="X18" s="3536"/>
      <c r="Y18" s="3452"/>
    </row>
    <row r="19" spans="2:28">
      <c r="B19" s="3456" t="s">
        <v>4040</v>
      </c>
      <c r="C19" s="3456">
        <v>5</v>
      </c>
      <c r="D19" s="3457">
        <v>86.93</v>
      </c>
      <c r="E19" s="3457">
        <v>86.93</v>
      </c>
      <c r="F19" s="3456" t="s">
        <v>4074</v>
      </c>
      <c r="G19" s="3456" t="s">
        <v>4063</v>
      </c>
      <c r="H19" s="3456" t="s">
        <v>3393</v>
      </c>
      <c r="I19" s="3460"/>
      <c r="R19" s="3465" t="s">
        <v>4073</v>
      </c>
      <c r="S19" s="3460">
        <f>S3+S8+S13</f>
        <v>39880.700000000004</v>
      </c>
      <c r="T19" s="3543">
        <f>(T3*S3+T8*S8+T13*S13)/S19</f>
        <v>315.0003472005256</v>
      </c>
      <c r="U19" s="3543">
        <f>(U3*S3+U8*S8+U13*S13)/S19</f>
        <v>288.99175852480016</v>
      </c>
      <c r="V19" s="3544">
        <f>V3+V8+V13</f>
        <v>150749212.16</v>
      </c>
      <c r="W19" s="3544">
        <f>W3+W8+W13</f>
        <v>138302029.5</v>
      </c>
      <c r="X19" s="3536">
        <f>ROUND(V19/12/S19,2)</f>
        <v>315</v>
      </c>
      <c r="Y19" s="3452">
        <f>T19/30</f>
        <v>10.500011573350854</v>
      </c>
      <c r="AA19" s="3545">
        <f>V19/4</f>
        <v>37687303.039999999</v>
      </c>
      <c r="AB19" s="3453" t="s">
        <v>4098</v>
      </c>
    </row>
    <row r="20" spans="2:28">
      <c r="B20" s="3456" t="s">
        <v>4040</v>
      </c>
      <c r="C20" s="3456">
        <v>5</v>
      </c>
      <c r="D20" s="3457">
        <v>134.62</v>
      </c>
      <c r="E20" s="3457">
        <v>134.62</v>
      </c>
      <c r="F20" s="3456" t="s">
        <v>4074</v>
      </c>
      <c r="G20" s="3456" t="s">
        <v>4088</v>
      </c>
      <c r="H20" s="3456" t="s">
        <v>3393</v>
      </c>
      <c r="I20" s="3460"/>
      <c r="R20" s="3465" t="s">
        <v>4089</v>
      </c>
      <c r="S20" s="3460">
        <f t="shared" ref="S20:S21" si="8">S4+S9+S14</f>
        <v>39880.700000000004</v>
      </c>
      <c r="T20" s="3543">
        <f t="shared" ref="T20:T22" si="9">(T4*S4+T9*S9+T14*S14)/S20</f>
        <v>315.0003472005256</v>
      </c>
      <c r="U20" s="3543">
        <f t="shared" ref="U20:U22" si="10">(U4*S4+U9*S9+U14*S14)/S20</f>
        <v>288.99175852480016</v>
      </c>
      <c r="V20" s="3544">
        <f t="shared" ref="V20:W22" si="11">V4+V9+V14</f>
        <v>150749212.16</v>
      </c>
      <c r="W20" s="3544">
        <f t="shared" si="11"/>
        <v>138302029.5</v>
      </c>
      <c r="X20" s="3536">
        <f t="shared" ref="X20:X22" si="12">ROUND(V20/12/S20,2)</f>
        <v>315</v>
      </c>
      <c r="Y20" s="3452">
        <f t="shared" si="3"/>
        <v>10.500011573350854</v>
      </c>
    </row>
    <row r="21" spans="2:28">
      <c r="B21" s="3456" t="s">
        <v>4040</v>
      </c>
      <c r="C21" s="3456">
        <v>5</v>
      </c>
      <c r="D21" s="3457">
        <v>122.36</v>
      </c>
      <c r="E21" s="3457">
        <v>122.36</v>
      </c>
      <c r="F21" s="3456" t="s">
        <v>4074</v>
      </c>
      <c r="G21" s="3456" t="s">
        <v>4088</v>
      </c>
      <c r="H21" s="3456" t="s">
        <v>3393</v>
      </c>
      <c r="I21" s="3460"/>
      <c r="R21" s="3465" t="s">
        <v>4090</v>
      </c>
      <c r="S21" s="3460">
        <f t="shared" si="8"/>
        <v>39880.700000000004</v>
      </c>
      <c r="T21" s="3543">
        <f t="shared" si="9"/>
        <v>335.9975965742828</v>
      </c>
      <c r="U21" s="3543">
        <f t="shared" si="10"/>
        <v>308.25367087839476</v>
      </c>
      <c r="V21" s="3544">
        <f t="shared" si="11"/>
        <v>160798859.91</v>
      </c>
      <c r="W21" s="3544">
        <f t="shared" si="11"/>
        <v>147520946.96000001</v>
      </c>
      <c r="X21" s="3536">
        <f t="shared" si="12"/>
        <v>336</v>
      </c>
      <c r="Y21" s="3452">
        <f t="shared" si="3"/>
        <v>11.199919885809427</v>
      </c>
      <c r="Z21" s="3467">
        <f>(Y21-Y19)/Y19</f>
        <v>6.6657861047977177E-2</v>
      </c>
    </row>
    <row r="22" spans="2:28">
      <c r="B22" s="3454" t="s">
        <v>3394</v>
      </c>
      <c r="C22" s="3454"/>
      <c r="D22" s="3455">
        <f>SUM(D3:D21)</f>
        <v>55557.690000000017</v>
      </c>
      <c r="E22" s="3455">
        <f>SUM(E3:E21)</f>
        <v>51034.460000000014</v>
      </c>
      <c r="F22" s="3454"/>
      <c r="G22" s="3454"/>
      <c r="H22" s="3454"/>
      <c r="I22" s="3460"/>
      <c r="R22" s="3465" t="s">
        <v>4091</v>
      </c>
      <c r="S22" s="3460">
        <f>S6+S11+S16</f>
        <v>39880.700000000004</v>
      </c>
      <c r="T22" s="3543">
        <f t="shared" si="9"/>
        <v>335.9975965742828</v>
      </c>
      <c r="U22" s="3543">
        <f t="shared" si="10"/>
        <v>308.25367087839476</v>
      </c>
      <c r="V22" s="3544">
        <f t="shared" si="11"/>
        <v>160798859.91</v>
      </c>
      <c r="W22" s="3544">
        <f t="shared" si="11"/>
        <v>147520946.96000001</v>
      </c>
      <c r="X22" s="3536">
        <f t="shared" si="12"/>
        <v>336</v>
      </c>
      <c r="Y22" s="3452">
        <f t="shared" si="3"/>
        <v>11.199919885809427</v>
      </c>
      <c r="AA22" s="3903">
        <f>20415.87*3</f>
        <v>61247.61</v>
      </c>
      <c r="AB22" s="3453" t="s">
        <v>4097</v>
      </c>
    </row>
    <row r="23" spans="2:28">
      <c r="B23" s="3460"/>
      <c r="C23" s="3460"/>
      <c r="D23" s="3461">
        <f>SUM(D4:D21)</f>
        <v>51034.460000000014</v>
      </c>
      <c r="E23" s="3461"/>
      <c r="F23" s="3460"/>
      <c r="G23" s="3460"/>
      <c r="H23" s="3460"/>
      <c r="I23" s="3460"/>
      <c r="R23" s="3460"/>
      <c r="S23" s="3468" t="s">
        <v>4092</v>
      </c>
      <c r="T23" s="3546">
        <f>V23/54/S22</f>
        <v>289.33337388947717</v>
      </c>
      <c r="U23" s="3543"/>
      <c r="V23" s="3544">
        <f>SUM(V19:V22)</f>
        <v>623096144.13999999</v>
      </c>
      <c r="W23" s="3544"/>
      <c r="X23" s="3536"/>
      <c r="Y23" s="3450">
        <f>AVERAGE(Y19:Y22)</f>
        <v>10.849965729580141</v>
      </c>
    </row>
    <row r="24" spans="2:28">
      <c r="B24" s="3460"/>
      <c r="C24" s="3460"/>
      <c r="D24" s="3461"/>
      <c r="E24" s="3461"/>
      <c r="F24" s="3460"/>
      <c r="G24" s="3460"/>
      <c r="H24" s="3460"/>
      <c r="I24" s="3460"/>
      <c r="S24" s="3469" t="s">
        <v>4093</v>
      </c>
      <c r="T24" s="3451">
        <f>T23/30</f>
        <v>9.6444457963159049</v>
      </c>
      <c r="AA24" s="3452">
        <f>AA19+AA22</f>
        <v>37748550.649999999</v>
      </c>
      <c r="AB24" s="3453" t="s">
        <v>4099</v>
      </c>
    </row>
    <row r="25" spans="2:28">
      <c r="B25" s="3460"/>
      <c r="C25" s="3460"/>
      <c r="D25" s="3461"/>
      <c r="E25" s="3461"/>
      <c r="F25" s="3460"/>
      <c r="G25" s="3460"/>
      <c r="H25" s="3460"/>
      <c r="I25" s="3460"/>
      <c r="M25" s="3462">
        <f>121+93</f>
        <v>214</v>
      </c>
      <c r="V25" s="3452">
        <f>ROUND((V19/2+V20+V21+V22)/3.5/12/S19,2)</f>
        <v>327</v>
      </c>
    </row>
    <row r="26" spans="2:28">
      <c r="B26" s="3460"/>
      <c r="C26" s="3460"/>
      <c r="D26" s="3461"/>
      <c r="E26" s="3461"/>
      <c r="F26" s="3460"/>
      <c r="G26" s="3460"/>
      <c r="H26" s="3460"/>
      <c r="I26" s="3460"/>
    </row>
    <row r="27" spans="2:28">
      <c r="B27" s="3460"/>
      <c r="C27" s="3460"/>
      <c r="D27" s="3461"/>
      <c r="E27" s="3461"/>
      <c r="F27" s="3460"/>
      <c r="G27" s="3460"/>
      <c r="H27" s="3460"/>
      <c r="I27" s="3460"/>
    </row>
    <row r="28" spans="2:28">
      <c r="B28" s="3460"/>
      <c r="C28" s="3460"/>
      <c r="D28" s="3461"/>
      <c r="E28" s="3461"/>
      <c r="F28" s="3460"/>
      <c r="G28" s="3460"/>
      <c r="H28" s="3460"/>
      <c r="I28" s="3460"/>
      <c r="T28" s="3452">
        <f>T21-T20</f>
        <v>20.997249373757199</v>
      </c>
    </row>
    <row r="29" spans="2:28">
      <c r="B29" s="3460"/>
      <c r="C29" s="3460"/>
      <c r="D29" s="3461"/>
      <c r="E29" s="3461"/>
      <c r="F29" s="3460"/>
      <c r="G29" s="3460"/>
      <c r="H29" s="3460"/>
      <c r="I29" s="3460"/>
      <c r="T29" s="3453">
        <f>T28/T20*100/2</f>
        <v>3.3328930523988589</v>
      </c>
    </row>
    <row r="30" spans="2:28">
      <c r="B30" s="3460"/>
      <c r="C30" s="3460"/>
      <c r="D30" s="3461"/>
      <c r="E30" s="3461"/>
      <c r="F30" s="3460"/>
      <c r="G30" s="3460"/>
      <c r="H30" s="3460"/>
      <c r="I30" s="3460"/>
    </row>
    <row r="31" spans="2:28">
      <c r="B31" s="3460"/>
      <c r="C31" s="3460"/>
      <c r="D31" s="3461"/>
      <c r="E31" s="3461"/>
      <c r="F31" s="3460"/>
      <c r="G31" s="3460"/>
      <c r="H31" s="3460"/>
      <c r="I31" s="3460"/>
    </row>
    <row r="32" spans="2:28">
      <c r="B32" s="3460"/>
      <c r="C32" s="3460"/>
      <c r="D32" s="3461"/>
      <c r="E32" s="3461"/>
      <c r="F32" s="3460"/>
      <c r="G32" s="3460"/>
      <c r="H32" s="3460"/>
      <c r="I32" s="3460"/>
    </row>
    <row r="33" spans="2:9">
      <c r="B33" s="3460"/>
      <c r="C33" s="3460"/>
      <c r="D33" s="3461"/>
      <c r="E33" s="3461"/>
      <c r="F33" s="3460"/>
      <c r="G33" s="3460"/>
      <c r="H33" s="3460"/>
      <c r="I33" s="3460"/>
    </row>
    <row r="34" spans="2:9">
      <c r="B34" s="3460"/>
      <c r="C34" s="3460"/>
      <c r="D34" s="3461"/>
      <c r="E34" s="3461"/>
      <c r="F34" s="3460"/>
      <c r="G34" s="3460"/>
      <c r="H34" s="3460"/>
      <c r="I34" s="3460"/>
    </row>
    <row r="35" spans="2:9">
      <c r="B35" s="3460"/>
      <c r="C35" s="3460"/>
      <c r="D35" s="3461"/>
      <c r="E35" s="3461"/>
      <c r="F35" s="3460"/>
      <c r="G35" s="3460"/>
      <c r="H35" s="3460"/>
      <c r="I35" s="3460"/>
    </row>
    <row r="36" spans="2:9">
      <c r="B36" s="3460"/>
      <c r="C36" s="3460"/>
      <c r="D36" s="3461"/>
      <c r="E36" s="3461"/>
      <c r="F36" s="3460"/>
      <c r="G36" s="3460"/>
      <c r="H36" s="3460"/>
      <c r="I36" s="3460"/>
    </row>
    <row r="37" spans="2:9">
      <c r="B37" s="3460"/>
      <c r="C37" s="3460"/>
      <c r="D37" s="3461"/>
      <c r="E37" s="3461"/>
      <c r="F37" s="3460"/>
      <c r="G37" s="3460"/>
      <c r="H37" s="3460"/>
      <c r="I37" s="3460"/>
    </row>
    <row r="38" spans="2:9">
      <c r="B38" s="3460"/>
      <c r="C38" s="3460"/>
      <c r="D38" s="3461"/>
      <c r="E38" s="3461"/>
      <c r="F38" s="3460"/>
      <c r="G38" s="3460"/>
      <c r="H38" s="3460"/>
      <c r="I38" s="3460"/>
    </row>
    <row r="39" spans="2:9">
      <c r="B39" s="3460"/>
      <c r="C39" s="3460"/>
      <c r="D39" s="3461"/>
      <c r="E39" s="3461"/>
      <c r="F39" s="3460"/>
      <c r="G39" s="3460"/>
      <c r="H39" s="3460"/>
      <c r="I39" s="3460"/>
    </row>
    <row r="40" spans="2:9">
      <c r="B40" s="3460"/>
      <c r="C40" s="3460"/>
      <c r="D40" s="3461"/>
      <c r="E40" s="3461"/>
      <c r="F40" s="3460"/>
      <c r="G40" s="3460"/>
      <c r="H40" s="3460"/>
      <c r="I40" s="3460"/>
    </row>
    <row r="41" spans="2:9">
      <c r="B41" s="3460"/>
      <c r="C41" s="3460"/>
      <c r="D41" s="3461"/>
      <c r="E41" s="3461"/>
      <c r="F41" s="3460"/>
      <c r="G41" s="3460"/>
      <c r="H41" s="3460"/>
      <c r="I41" s="3460"/>
    </row>
    <row r="42" spans="2:9">
      <c r="B42" s="3460"/>
      <c r="C42" s="3460"/>
      <c r="D42" s="3461"/>
      <c r="E42" s="3461"/>
      <c r="F42" s="3460"/>
      <c r="G42" s="3460"/>
      <c r="H42" s="3460"/>
      <c r="I42" s="3460"/>
    </row>
    <row r="43" spans="2:9">
      <c r="B43" s="3460"/>
      <c r="C43" s="3460"/>
      <c r="D43" s="3461"/>
      <c r="E43" s="3461"/>
      <c r="F43" s="3460"/>
      <c r="G43" s="3460"/>
      <c r="H43" s="3460"/>
      <c r="I43" s="3460"/>
    </row>
    <row r="44" spans="2:9">
      <c r="B44" s="3460"/>
      <c r="C44" s="3460"/>
      <c r="D44" s="3461"/>
      <c r="E44" s="3461"/>
      <c r="F44" s="3460"/>
      <c r="G44" s="3460"/>
      <c r="H44" s="3460"/>
      <c r="I44" s="3460"/>
    </row>
    <row r="45" spans="2:9">
      <c r="B45" s="3460"/>
      <c r="C45" s="3460"/>
      <c r="D45" s="3461"/>
      <c r="E45" s="3461"/>
      <c r="F45" s="3460"/>
      <c r="G45" s="3460"/>
      <c r="H45" s="3460"/>
      <c r="I45" s="3460"/>
    </row>
    <row r="46" spans="2:9">
      <c r="B46" s="3460"/>
      <c r="C46" s="3460"/>
      <c r="D46" s="3461"/>
      <c r="E46" s="3461"/>
      <c r="F46" s="3460"/>
      <c r="G46" s="3460"/>
      <c r="H46" s="3460"/>
      <c r="I46" s="3460"/>
    </row>
    <row r="47" spans="2:9">
      <c r="B47" s="3460"/>
      <c r="C47" s="3460"/>
      <c r="D47" s="3461"/>
      <c r="E47" s="3461"/>
      <c r="F47" s="3460"/>
      <c r="G47" s="3460"/>
      <c r="H47" s="3460"/>
      <c r="I47" s="3460"/>
    </row>
    <row r="48" spans="2:9">
      <c r="B48" s="3460"/>
      <c r="C48" s="3460"/>
      <c r="D48" s="3461"/>
      <c r="E48" s="3461"/>
      <c r="F48" s="3460"/>
      <c r="G48" s="3460"/>
      <c r="H48" s="3460"/>
      <c r="I48" s="3460"/>
    </row>
    <row r="49" spans="2:13">
      <c r="B49" s="3460"/>
      <c r="C49" s="3460"/>
      <c r="D49" s="3461"/>
      <c r="E49" s="3461"/>
      <c r="F49" s="3460"/>
      <c r="G49" s="3460"/>
      <c r="H49" s="3460"/>
      <c r="I49" s="3460"/>
    </row>
    <row r="50" spans="2:13">
      <c r="B50" s="3460"/>
      <c r="C50" s="3460"/>
      <c r="D50" s="3461"/>
      <c r="E50" s="3461"/>
      <c r="F50" s="3460"/>
      <c r="G50" s="3460"/>
      <c r="H50" s="3460"/>
      <c r="I50" s="3460"/>
    </row>
    <row r="51" spans="2:13">
      <c r="B51" s="3460"/>
      <c r="C51" s="3460"/>
      <c r="D51" s="3461"/>
      <c r="E51" s="3461"/>
      <c r="F51" s="3460"/>
      <c r="G51" s="3460"/>
      <c r="H51" s="3460"/>
      <c r="I51" s="3460"/>
    </row>
    <row r="52" spans="2:13">
      <c r="B52" s="3460"/>
      <c r="C52" s="3460"/>
      <c r="D52" s="3461"/>
      <c r="E52" s="3461"/>
      <c r="F52" s="3460"/>
      <c r="G52" s="3460"/>
      <c r="H52" s="3460"/>
      <c r="I52" s="3460"/>
    </row>
    <row r="53" spans="2:13">
      <c r="B53" s="3460"/>
      <c r="C53" s="3460"/>
      <c r="D53" s="3461"/>
      <c r="E53" s="3461"/>
      <c r="F53" s="3460"/>
      <c r="G53" s="3460"/>
      <c r="H53" s="3460"/>
      <c r="I53" s="3460"/>
    </row>
    <row r="54" spans="2:13">
      <c r="B54" s="3460"/>
      <c r="C54" s="3460"/>
      <c r="D54" s="3461"/>
      <c r="E54" s="3461"/>
      <c r="F54" s="3543"/>
      <c r="G54" s="3543"/>
      <c r="H54" s="3460"/>
      <c r="I54" s="3460"/>
    </row>
    <row r="55" spans="2:13">
      <c r="B55" s="3460"/>
      <c r="C55" s="3460"/>
      <c r="D55" s="3461"/>
      <c r="E55" s="3461"/>
      <c r="F55" s="3543"/>
      <c r="G55" s="3543"/>
      <c r="H55" s="3460"/>
      <c r="I55" s="3460"/>
    </row>
    <row r="56" spans="2:13">
      <c r="B56" s="3460"/>
      <c r="C56" s="3460"/>
      <c r="D56" s="3461"/>
      <c r="E56" s="3461"/>
      <c r="F56" s="3543"/>
      <c r="G56" s="3543"/>
      <c r="H56" s="3460"/>
      <c r="I56" s="3460"/>
    </row>
    <row r="57" spans="2:13">
      <c r="B57" s="3460"/>
      <c r="C57" s="3460"/>
      <c r="D57" s="3461"/>
      <c r="E57" s="3461"/>
      <c r="F57" s="3543"/>
      <c r="G57" s="3543"/>
      <c r="H57" s="3460"/>
      <c r="I57" s="3460"/>
    </row>
    <row r="58" spans="2:13">
      <c r="B58" s="3460"/>
      <c r="C58" s="3460"/>
      <c r="D58" s="3461"/>
      <c r="E58" s="3461"/>
      <c r="F58" s="3543"/>
      <c r="G58" s="3543"/>
      <c r="H58" s="3460"/>
      <c r="I58" s="3460"/>
    </row>
    <row r="59" spans="2:13">
      <c r="B59" s="3460"/>
      <c r="C59" s="3460"/>
      <c r="D59" s="3461"/>
      <c r="E59" s="3461"/>
      <c r="F59" s="3460"/>
      <c r="G59" s="3460"/>
      <c r="H59" s="3460"/>
      <c r="I59" s="3460"/>
    </row>
    <row r="60" spans="2:13">
      <c r="B60" s="3460"/>
      <c r="C60" s="3460"/>
      <c r="D60" s="3461">
        <f>3+3+3+6+4+12</f>
        <v>31</v>
      </c>
      <c r="E60" s="3461">
        <f>D7/D60</f>
        <v>268.99580645161291</v>
      </c>
      <c r="F60" s="3460"/>
      <c r="G60" s="3460"/>
      <c r="H60" s="3460"/>
      <c r="I60" s="3460"/>
    </row>
    <row r="61" spans="2:13">
      <c r="B61" s="3460"/>
      <c r="C61" s="3460"/>
      <c r="D61" s="3461"/>
      <c r="E61" s="3461"/>
      <c r="F61" s="3543"/>
      <c r="G61" s="3543"/>
      <c r="H61" s="3460"/>
      <c r="I61" s="3460"/>
      <c r="M61" s="3462"/>
    </row>
    <row r="62" spans="2:13">
      <c r="B62" s="3460"/>
      <c r="C62" s="3460"/>
      <c r="D62" s="3461"/>
      <c r="E62" s="3461"/>
      <c r="F62" s="3460"/>
      <c r="G62" s="3460"/>
      <c r="H62" s="3460"/>
      <c r="I62" s="3460"/>
    </row>
    <row r="63" spans="2:13">
      <c r="B63" s="3460"/>
      <c r="C63" s="3460"/>
      <c r="D63" s="3461"/>
      <c r="E63" s="3461"/>
      <c r="F63" s="3460"/>
      <c r="G63" s="3460"/>
      <c r="H63" s="3460"/>
      <c r="I63" s="3460"/>
    </row>
    <row r="64" spans="2:13">
      <c r="B64" s="3460"/>
      <c r="C64" s="3460"/>
      <c r="D64" s="3461"/>
      <c r="E64" s="3461"/>
      <c r="F64" s="3460"/>
      <c r="G64" s="3460"/>
      <c r="H64" s="3460"/>
      <c r="I64" s="3460"/>
    </row>
    <row r="65" spans="2:15">
      <c r="B65" s="3460"/>
      <c r="C65" s="3460"/>
      <c r="D65" s="3461"/>
      <c r="E65" s="3461"/>
      <c r="F65" s="3460"/>
      <c r="G65" s="3460"/>
      <c r="H65" s="3460"/>
      <c r="I65" s="3460"/>
    </row>
    <row r="66" spans="2:15">
      <c r="B66" s="3460"/>
      <c r="C66" s="3460"/>
      <c r="D66" s="3461"/>
      <c r="E66" s="3461"/>
      <c r="F66" s="3460"/>
      <c r="G66" s="3460"/>
      <c r="H66" s="3460"/>
      <c r="I66" s="3460"/>
    </row>
    <row r="67" spans="2:15">
      <c r="B67" s="3460"/>
      <c r="C67" s="3460"/>
      <c r="D67" s="3461"/>
      <c r="E67" s="3461"/>
      <c r="F67" s="3460"/>
      <c r="G67" s="3460"/>
      <c r="H67" s="3460"/>
      <c r="I67" s="3460"/>
    </row>
    <row r="68" spans="2:15">
      <c r="B68" s="3460"/>
      <c r="C68" s="3460"/>
      <c r="D68" s="3461"/>
      <c r="E68" s="3461"/>
      <c r="F68" s="3460"/>
      <c r="G68" s="3460"/>
      <c r="H68" s="3460"/>
      <c r="I68" s="3460"/>
    </row>
    <row r="69" spans="2:15">
      <c r="B69" s="3460"/>
      <c r="C69" s="3460"/>
      <c r="D69" s="3461"/>
      <c r="E69" s="3461"/>
      <c r="F69" s="3460"/>
      <c r="G69" s="3460"/>
      <c r="H69" s="3460"/>
      <c r="I69" s="3460"/>
    </row>
    <row r="70" spans="2:15">
      <c r="B70" s="3460"/>
      <c r="C70" s="3460"/>
      <c r="D70" s="3461"/>
      <c r="E70" s="3461"/>
      <c r="F70" s="3460"/>
      <c r="G70" s="3460"/>
      <c r="H70" s="3460"/>
      <c r="I70" s="3460"/>
    </row>
    <row r="71" spans="2:15">
      <c r="B71" s="3460"/>
      <c r="C71" s="3460"/>
      <c r="D71" s="3461"/>
      <c r="E71" s="3461"/>
      <c r="F71" s="3460"/>
      <c r="G71" s="3460"/>
      <c r="H71" s="3460"/>
      <c r="I71" s="3460"/>
      <c r="N71" s="3453">
        <f>7+3+5+8</f>
        <v>23</v>
      </c>
      <c r="O71" s="3536">
        <f>D8/N71</f>
        <v>254.30478260869566</v>
      </c>
    </row>
    <row r="72" spans="2:15">
      <c r="B72" s="3460"/>
      <c r="C72" s="3460"/>
      <c r="D72" s="3461"/>
      <c r="E72" s="3461"/>
      <c r="F72" s="3460"/>
      <c r="G72" s="3460"/>
      <c r="H72" s="3460"/>
      <c r="I72" s="3460"/>
    </row>
    <row r="73" spans="2:15">
      <c r="B73" s="3460"/>
      <c r="C73" s="3460"/>
      <c r="D73" s="3461"/>
      <c r="E73" s="3461"/>
      <c r="F73" s="3460"/>
      <c r="G73" s="3460"/>
      <c r="H73" s="3460"/>
      <c r="I73" s="3460"/>
    </row>
    <row r="74" spans="2:15">
      <c r="B74" s="3460"/>
      <c r="C74" s="3460"/>
      <c r="D74" s="3461"/>
      <c r="E74" s="3461"/>
      <c r="F74" s="3460"/>
      <c r="G74" s="3460"/>
      <c r="H74" s="3460"/>
      <c r="I74" s="3460"/>
    </row>
    <row r="75" spans="2:15">
      <c r="B75" s="3460"/>
      <c r="C75" s="3460"/>
      <c r="D75" s="3461"/>
      <c r="E75" s="3461"/>
      <c r="F75" s="3460"/>
      <c r="G75" s="3460"/>
      <c r="H75" s="3460"/>
      <c r="I75" s="3460"/>
    </row>
    <row r="76" spans="2:15">
      <c r="B76" s="3460"/>
      <c r="C76" s="3460"/>
      <c r="D76" s="3461"/>
      <c r="E76" s="3461"/>
      <c r="F76" s="3460"/>
      <c r="G76" s="3460"/>
      <c r="H76" s="3460"/>
      <c r="I76" s="3460"/>
    </row>
    <row r="77" spans="2:15">
      <c r="B77" s="3460"/>
      <c r="C77" s="3460"/>
      <c r="D77" s="3461"/>
      <c r="E77" s="3461"/>
      <c r="F77" s="3460"/>
      <c r="G77" s="3460"/>
      <c r="H77" s="3460"/>
      <c r="I77" s="3460"/>
    </row>
    <row r="78" spans="2:15">
      <c r="B78" s="3460"/>
      <c r="C78" s="3460"/>
      <c r="D78" s="3461"/>
      <c r="E78" s="3461"/>
      <c r="F78" s="3460"/>
      <c r="G78" s="3460"/>
      <c r="H78" s="3460"/>
      <c r="I78" s="3460"/>
    </row>
    <row r="79" spans="2:15">
      <c r="B79" s="3460"/>
      <c r="C79" s="3460"/>
      <c r="D79" s="3461"/>
      <c r="E79" s="3461"/>
      <c r="F79" s="3460"/>
      <c r="G79" s="3460"/>
      <c r="H79" s="3460"/>
      <c r="I79" s="3460"/>
    </row>
    <row r="80" spans="2:15">
      <c r="B80" s="3460"/>
      <c r="C80" s="3460"/>
      <c r="D80" s="3461"/>
      <c r="E80" s="3461"/>
      <c r="F80" s="3460"/>
      <c r="G80" s="3460"/>
      <c r="H80" s="3460"/>
      <c r="I80" s="3460"/>
      <c r="M80" s="3462"/>
    </row>
    <row r="81" spans="2:9">
      <c r="B81" s="3460"/>
      <c r="C81" s="3460"/>
      <c r="D81" s="3461"/>
      <c r="E81" s="3461"/>
      <c r="F81" s="3460"/>
      <c r="G81" s="3460"/>
      <c r="H81" s="3460"/>
      <c r="I81" s="3460"/>
    </row>
    <row r="82" spans="2:9">
      <c r="B82" s="3460"/>
      <c r="C82" s="3460"/>
      <c r="D82" s="3461"/>
      <c r="E82" s="3461"/>
      <c r="F82" s="3460"/>
      <c r="G82" s="3460"/>
      <c r="H82" s="3460"/>
      <c r="I82" s="3460"/>
    </row>
    <row r="83" spans="2:9">
      <c r="B83" s="3460"/>
      <c r="C83" s="3460"/>
      <c r="D83" s="3461"/>
      <c r="E83" s="3461"/>
      <c r="F83" s="3460"/>
      <c r="G83" s="3460"/>
      <c r="H83" s="3460"/>
      <c r="I83" s="3460"/>
    </row>
    <row r="84" spans="2:9">
      <c r="B84" s="3460"/>
      <c r="C84" s="3460"/>
      <c r="D84" s="3461"/>
      <c r="E84" s="3461"/>
      <c r="F84" s="3460"/>
      <c r="G84" s="3460"/>
      <c r="H84" s="3460"/>
      <c r="I84" s="3460"/>
    </row>
    <row r="85" spans="2:9">
      <c r="B85" s="3460"/>
      <c r="C85" s="3460"/>
      <c r="D85" s="3461"/>
      <c r="E85" s="3461"/>
      <c r="F85" s="3460"/>
      <c r="G85" s="3460"/>
      <c r="H85" s="3460"/>
      <c r="I85" s="3460"/>
    </row>
    <row r="86" spans="2:9">
      <c r="B86" s="3460"/>
      <c r="C86" s="3460"/>
      <c r="D86" s="3461"/>
      <c r="E86" s="3461"/>
      <c r="F86" s="3460"/>
      <c r="G86" s="3460"/>
      <c r="H86" s="3460"/>
      <c r="I86" s="3460"/>
    </row>
    <row r="87" spans="2:9">
      <c r="B87" s="3460"/>
      <c r="C87" s="3460"/>
      <c r="D87" s="3461"/>
      <c r="E87" s="3461"/>
      <c r="F87" s="3460"/>
      <c r="G87" s="3460"/>
      <c r="H87" s="3460"/>
      <c r="I87" s="3460"/>
    </row>
    <row r="88" spans="2:9">
      <c r="B88" s="3460"/>
      <c r="C88" s="3460"/>
      <c r="D88" s="3461"/>
      <c r="E88" s="3461"/>
      <c r="F88" s="3460"/>
      <c r="G88" s="3460"/>
      <c r="H88" s="3460"/>
      <c r="I88" s="3460"/>
    </row>
    <row r="89" spans="2:9">
      <c r="B89" s="3460"/>
      <c r="C89" s="3460"/>
      <c r="D89" s="3461"/>
      <c r="E89" s="3461"/>
      <c r="F89" s="3460"/>
      <c r="G89" s="3460"/>
      <c r="H89" s="3460"/>
      <c r="I89" s="3460"/>
    </row>
    <row r="90" spans="2:9">
      <c r="B90" s="3460"/>
      <c r="C90" s="3460"/>
      <c r="D90" s="3461"/>
      <c r="E90" s="3461"/>
      <c r="F90" s="3460"/>
      <c r="G90" s="3460"/>
      <c r="H90" s="3460"/>
      <c r="I90" s="3460"/>
    </row>
    <row r="91" spans="2:9">
      <c r="B91" s="3460"/>
      <c r="C91" s="3460"/>
      <c r="D91" s="3461"/>
      <c r="E91" s="3461"/>
      <c r="F91" s="3460"/>
      <c r="G91" s="3460"/>
      <c r="H91" s="3460"/>
      <c r="I91" s="3460"/>
    </row>
    <row r="92" spans="2:9">
      <c r="B92" s="3460"/>
      <c r="C92" s="3460"/>
      <c r="D92" s="3461"/>
      <c r="E92" s="3461"/>
      <c r="F92" s="3460"/>
      <c r="G92" s="3460"/>
      <c r="H92" s="3460"/>
      <c r="I92" s="3460"/>
    </row>
    <row r="93" spans="2:9">
      <c r="B93" s="3460"/>
      <c r="C93" s="3460"/>
      <c r="D93" s="3461"/>
      <c r="E93" s="3461"/>
      <c r="F93" s="3460"/>
      <c r="G93" s="3460"/>
      <c r="H93" s="3460"/>
      <c r="I93" s="3460"/>
    </row>
    <row r="94" spans="2:9">
      <c r="B94" s="3460"/>
      <c r="C94" s="3460"/>
      <c r="D94" s="3461"/>
      <c r="E94" s="3461"/>
      <c r="F94" s="3460"/>
      <c r="G94" s="3460"/>
      <c r="H94" s="3460"/>
      <c r="I94" s="3460"/>
    </row>
    <row r="95" spans="2:9">
      <c r="B95" s="3460"/>
      <c r="C95" s="3460"/>
      <c r="D95" s="3461"/>
      <c r="E95" s="3461"/>
      <c r="F95" s="3460"/>
      <c r="G95" s="3460"/>
      <c r="H95" s="3460"/>
      <c r="I95" s="3460"/>
    </row>
    <row r="96" spans="2:9">
      <c r="B96" s="3460"/>
      <c r="C96" s="3460"/>
      <c r="D96" s="3461"/>
      <c r="E96" s="3461"/>
      <c r="F96" s="3460"/>
      <c r="G96" s="3460"/>
      <c r="H96" s="3460"/>
      <c r="I96" s="3460"/>
    </row>
    <row r="97" spans="2:9">
      <c r="B97" s="3460"/>
      <c r="C97" s="3460"/>
      <c r="D97" s="3461"/>
      <c r="E97" s="3461"/>
      <c r="F97" s="3460"/>
      <c r="G97" s="3460"/>
      <c r="H97" s="3460"/>
      <c r="I97" s="3460"/>
    </row>
    <row r="98" spans="2:9">
      <c r="B98" s="3460"/>
      <c r="C98" s="3460"/>
      <c r="D98" s="3461"/>
      <c r="E98" s="3461"/>
      <c r="F98" s="3460"/>
      <c r="G98" s="3460"/>
      <c r="H98" s="3460"/>
      <c r="I98" s="3460"/>
    </row>
    <row r="99" spans="2:9">
      <c r="B99" s="3460"/>
      <c r="C99" s="3460"/>
      <c r="D99" s="3461"/>
      <c r="E99" s="3461"/>
      <c r="F99" s="3460"/>
      <c r="G99" s="3460"/>
      <c r="H99" s="3460"/>
      <c r="I99" s="3460"/>
    </row>
    <row r="100" spans="2:9">
      <c r="B100" s="3460"/>
      <c r="C100" s="3460"/>
      <c r="D100" s="3461"/>
      <c r="E100" s="3461"/>
      <c r="F100" s="3460"/>
      <c r="G100" s="3460"/>
      <c r="H100" s="3460"/>
      <c r="I100" s="3460"/>
    </row>
    <row r="101" spans="2:9">
      <c r="B101" s="3460"/>
      <c r="C101" s="3460"/>
      <c r="D101" s="3461"/>
      <c r="E101" s="3461"/>
      <c r="F101" s="3460"/>
      <c r="G101" s="3460"/>
      <c r="H101" s="3460"/>
      <c r="I101" s="3460"/>
    </row>
    <row r="102" spans="2:9">
      <c r="B102" s="3460"/>
      <c r="C102" s="3460"/>
      <c r="D102" s="3461"/>
      <c r="E102" s="3461"/>
      <c r="F102" s="3460"/>
      <c r="G102" s="3460"/>
      <c r="H102" s="3460"/>
      <c r="I102" s="3460"/>
    </row>
    <row r="103" spans="2:9">
      <c r="B103" s="3460"/>
      <c r="C103" s="3460"/>
      <c r="D103" s="3461"/>
      <c r="E103" s="3461"/>
      <c r="F103" s="3460"/>
      <c r="G103" s="3460"/>
      <c r="H103" s="3460"/>
      <c r="I103" s="3460"/>
    </row>
    <row r="104" spans="2:9">
      <c r="B104" s="3460"/>
      <c r="C104" s="3460"/>
      <c r="D104" s="3461"/>
      <c r="E104" s="3461"/>
      <c r="F104" s="3460"/>
      <c r="G104" s="3460"/>
      <c r="H104" s="3460"/>
      <c r="I104" s="3460"/>
    </row>
    <row r="105" spans="2:9">
      <c r="B105" s="3460"/>
      <c r="C105" s="3460"/>
      <c r="D105" s="3461"/>
      <c r="E105" s="3461"/>
      <c r="F105" s="3460"/>
      <c r="G105" s="3460"/>
      <c r="H105" s="3460"/>
      <c r="I105" s="3460"/>
    </row>
    <row r="106" spans="2:9">
      <c r="B106" s="3460"/>
      <c r="C106" s="3460"/>
      <c r="D106" s="3461"/>
      <c r="E106" s="3461"/>
      <c r="F106" s="3460"/>
      <c r="G106" s="3460"/>
      <c r="H106" s="3460"/>
      <c r="I106" s="3460"/>
    </row>
    <row r="107" spans="2:9">
      <c r="B107" s="3460"/>
      <c r="C107" s="3460"/>
      <c r="D107" s="3461"/>
      <c r="E107" s="3461"/>
      <c r="F107" s="3460"/>
      <c r="G107" s="3460"/>
      <c r="H107" s="3460"/>
      <c r="I107" s="3460"/>
    </row>
    <row r="108" spans="2:9">
      <c r="B108" s="3460"/>
      <c r="C108" s="3460"/>
      <c r="D108" s="3461"/>
      <c r="E108" s="3461"/>
      <c r="F108" s="3460"/>
      <c r="G108" s="3460"/>
      <c r="H108" s="3460"/>
      <c r="I108" s="3460"/>
    </row>
    <row r="109" spans="2:9">
      <c r="B109" s="3460"/>
      <c r="C109" s="3460"/>
      <c r="D109" s="3461"/>
      <c r="E109" s="3461"/>
      <c r="F109" s="3460"/>
      <c r="G109" s="3460"/>
      <c r="H109" s="3460"/>
      <c r="I109" s="3460"/>
    </row>
    <row r="110" spans="2:9">
      <c r="B110" s="3460"/>
      <c r="C110" s="3460"/>
      <c r="D110" s="3461"/>
      <c r="E110" s="3461"/>
      <c r="F110" s="3460"/>
      <c r="G110" s="3460"/>
      <c r="H110" s="3460"/>
      <c r="I110" s="3460"/>
    </row>
    <row r="111" spans="2:9">
      <c r="B111" s="3460"/>
      <c r="C111" s="3460"/>
      <c r="D111" s="3461"/>
      <c r="E111" s="3461"/>
      <c r="F111" s="3460"/>
      <c r="G111" s="3460"/>
      <c r="H111" s="3460"/>
      <c r="I111" s="3460"/>
    </row>
    <row r="112" spans="2:9">
      <c r="B112" s="3460"/>
      <c r="C112" s="3460"/>
      <c r="D112" s="3461"/>
      <c r="E112" s="3461"/>
      <c r="F112" s="3460"/>
      <c r="G112" s="3460"/>
      <c r="H112" s="3460"/>
      <c r="I112" s="3460"/>
    </row>
    <row r="113" spans="2:9">
      <c r="B113" s="3460"/>
      <c r="C113" s="3460"/>
      <c r="D113" s="3461"/>
      <c r="E113" s="3461"/>
      <c r="F113" s="3460"/>
      <c r="G113" s="3460"/>
      <c r="H113" s="3460"/>
      <c r="I113" s="3460"/>
    </row>
    <row r="114" spans="2:9">
      <c r="B114" s="3460"/>
      <c r="C114" s="3460"/>
      <c r="D114" s="3461"/>
      <c r="E114" s="3461"/>
      <c r="F114" s="3460"/>
      <c r="G114" s="3460"/>
      <c r="H114" s="3460"/>
      <c r="I114" s="3460"/>
    </row>
    <row r="115" spans="2:9">
      <c r="B115" s="3460"/>
      <c r="C115" s="3460"/>
      <c r="D115" s="3461"/>
      <c r="E115" s="3461"/>
      <c r="F115" s="3460"/>
      <c r="G115" s="3460"/>
      <c r="H115" s="3460"/>
      <c r="I115" s="3460"/>
    </row>
    <row r="116" spans="2:9">
      <c r="B116" s="3460"/>
      <c r="C116" s="3460"/>
      <c r="D116" s="3461"/>
      <c r="E116" s="3461"/>
      <c r="F116" s="3460"/>
      <c r="G116" s="3460"/>
      <c r="H116" s="3460"/>
      <c r="I116" s="3460"/>
    </row>
    <row r="117" spans="2:9">
      <c r="B117" s="3460"/>
      <c r="C117" s="3460"/>
      <c r="D117" s="3461"/>
      <c r="E117" s="3461"/>
      <c r="F117" s="3460"/>
      <c r="G117" s="3460"/>
      <c r="H117" s="3460"/>
      <c r="I117" s="3460"/>
    </row>
    <row r="118" spans="2:9">
      <c r="B118" s="3460"/>
      <c r="C118" s="3460"/>
      <c r="D118" s="3461"/>
      <c r="E118" s="3461"/>
      <c r="F118" s="3460"/>
      <c r="G118" s="3460"/>
      <c r="H118" s="3460"/>
      <c r="I118" s="3460"/>
    </row>
    <row r="119" spans="2:9">
      <c r="B119" s="3460"/>
      <c r="C119" s="3460"/>
      <c r="D119" s="3461"/>
      <c r="E119" s="3461"/>
      <c r="F119" s="3460"/>
      <c r="G119" s="3460"/>
      <c r="H119" s="3460"/>
      <c r="I119" s="3460"/>
    </row>
    <row r="120" spans="2:9">
      <c r="B120" s="3460"/>
      <c r="C120" s="3460"/>
      <c r="D120" s="3461"/>
      <c r="E120" s="3461"/>
      <c r="F120" s="3460"/>
      <c r="G120" s="3460"/>
      <c r="H120" s="3460"/>
      <c r="I120" s="3460"/>
    </row>
    <row r="121" spans="2:9">
      <c r="B121" s="3460"/>
      <c r="C121" s="3460"/>
      <c r="D121" s="3461"/>
      <c r="E121" s="3461"/>
      <c r="F121" s="3460"/>
      <c r="G121" s="3460"/>
      <c r="H121" s="3460"/>
      <c r="I121" s="3460"/>
    </row>
    <row r="122" spans="2:9">
      <c r="B122" s="3460"/>
      <c r="C122" s="3460"/>
      <c r="D122" s="3461"/>
      <c r="E122" s="3461"/>
      <c r="F122" s="3460"/>
      <c r="G122" s="3460"/>
      <c r="H122" s="3460"/>
      <c r="I122" s="3460"/>
    </row>
    <row r="123" spans="2:9">
      <c r="B123" s="3460"/>
      <c r="C123" s="3460"/>
      <c r="D123" s="3461"/>
      <c r="E123" s="3461"/>
      <c r="F123" s="3460"/>
      <c r="G123" s="3460"/>
      <c r="H123" s="3460"/>
      <c r="I123" s="3460"/>
    </row>
    <row r="124" spans="2:9">
      <c r="B124" s="3460"/>
      <c r="C124" s="3460"/>
      <c r="D124" s="3461"/>
      <c r="E124" s="3461"/>
      <c r="F124" s="3460"/>
      <c r="G124" s="3460"/>
      <c r="H124" s="3460"/>
      <c r="I124" s="3460"/>
    </row>
    <row r="125" spans="2:9">
      <c r="B125" s="3460"/>
      <c r="C125" s="3460"/>
      <c r="D125" s="3461"/>
      <c r="E125" s="3461"/>
      <c r="F125" s="3460"/>
      <c r="G125" s="3460"/>
      <c r="H125" s="3460"/>
      <c r="I125" s="3460"/>
    </row>
    <row r="126" spans="2:9">
      <c r="B126" s="3460"/>
      <c r="C126" s="3460"/>
      <c r="D126" s="3461"/>
      <c r="E126" s="3461"/>
      <c r="F126" s="3460"/>
      <c r="G126" s="3460"/>
      <c r="H126" s="3460"/>
      <c r="I126" s="3460"/>
    </row>
    <row r="127" spans="2:9">
      <c r="B127" s="3460"/>
      <c r="C127" s="3460"/>
      <c r="D127" s="3461"/>
      <c r="E127" s="3461"/>
      <c r="F127" s="3460"/>
      <c r="G127" s="3460"/>
      <c r="H127" s="3460"/>
      <c r="I127" s="3460"/>
    </row>
    <row r="128" spans="2:9">
      <c r="B128" s="3460"/>
      <c r="C128" s="3460"/>
      <c r="D128" s="3461"/>
      <c r="E128" s="3461"/>
      <c r="F128" s="3460"/>
      <c r="G128" s="3460"/>
      <c r="H128" s="3460"/>
      <c r="I128" s="3460"/>
    </row>
    <row r="129" spans="2:9">
      <c r="B129" s="3460"/>
      <c r="C129" s="3460"/>
      <c r="D129" s="3461"/>
      <c r="E129" s="3461"/>
      <c r="F129" s="3460"/>
      <c r="G129" s="3460"/>
      <c r="H129" s="3460"/>
      <c r="I129" s="3460"/>
    </row>
    <row r="130" spans="2:9">
      <c r="B130" s="3460"/>
      <c r="C130" s="3460"/>
      <c r="D130" s="3461"/>
      <c r="E130" s="3461"/>
      <c r="F130" s="3460"/>
      <c r="G130" s="3460"/>
      <c r="H130" s="3460"/>
      <c r="I130" s="3460"/>
    </row>
    <row r="131" spans="2:9">
      <c r="B131" s="3460"/>
      <c r="C131" s="3460"/>
      <c r="D131" s="3461"/>
      <c r="E131" s="3461"/>
      <c r="F131" s="3460"/>
      <c r="G131" s="3460"/>
      <c r="H131" s="3460"/>
      <c r="I131" s="3460"/>
    </row>
    <row r="132" spans="2:9">
      <c r="B132" s="3460"/>
      <c r="C132" s="3460"/>
      <c r="D132" s="3461"/>
      <c r="E132" s="3461"/>
      <c r="F132" s="3460"/>
      <c r="G132" s="3460"/>
      <c r="H132" s="3460"/>
      <c r="I132" s="3460"/>
    </row>
    <row r="133" spans="2:9">
      <c r="B133" s="3460"/>
      <c r="C133" s="3460"/>
      <c r="D133" s="3461"/>
      <c r="E133" s="3461"/>
      <c r="F133" s="3460"/>
      <c r="G133" s="3460"/>
      <c r="H133" s="3460"/>
      <c r="I133" s="3460"/>
    </row>
    <row r="134" spans="2:9">
      <c r="B134" s="3460"/>
      <c r="C134" s="3460"/>
      <c r="D134" s="3461"/>
      <c r="E134" s="3461"/>
      <c r="F134" s="3460"/>
      <c r="G134" s="3460"/>
      <c r="H134" s="3460"/>
      <c r="I134" s="3460"/>
    </row>
    <row r="135" spans="2:9">
      <c r="B135" s="3460"/>
      <c r="C135" s="3460"/>
      <c r="D135" s="3461"/>
      <c r="E135" s="3461"/>
      <c r="F135" s="3460"/>
      <c r="G135" s="3460"/>
      <c r="H135" s="3460"/>
      <c r="I135" s="3460"/>
    </row>
    <row r="136" spans="2:9">
      <c r="B136" s="3460"/>
      <c r="C136" s="3460"/>
      <c r="D136" s="3461"/>
      <c r="E136" s="3461"/>
      <c r="F136" s="3460"/>
      <c r="G136" s="3460"/>
      <c r="H136" s="3460"/>
      <c r="I136" s="3460"/>
    </row>
    <row r="137" spans="2:9">
      <c r="B137" s="3460"/>
      <c r="C137" s="3460"/>
      <c r="D137" s="3461"/>
      <c r="E137" s="3461"/>
      <c r="F137" s="3460"/>
      <c r="G137" s="3460"/>
      <c r="H137" s="3460"/>
      <c r="I137" s="3460"/>
    </row>
    <row r="138" spans="2:9">
      <c r="B138" s="3460"/>
      <c r="C138" s="3460"/>
      <c r="D138" s="3461"/>
      <c r="E138" s="3461"/>
      <c r="F138" s="3460"/>
      <c r="G138" s="3460"/>
      <c r="H138" s="3460"/>
      <c r="I138" s="3460"/>
    </row>
    <row r="139" spans="2:9">
      <c r="B139" s="3460"/>
      <c r="C139" s="3460"/>
      <c r="D139" s="3461"/>
      <c r="E139" s="3461"/>
      <c r="F139" s="3460"/>
      <c r="G139" s="3460"/>
      <c r="H139" s="3460"/>
      <c r="I139" s="3460"/>
    </row>
    <row r="140" spans="2:9">
      <c r="B140" s="3460"/>
      <c r="C140" s="3460"/>
      <c r="D140" s="3461"/>
      <c r="E140" s="3461"/>
      <c r="F140" s="3460"/>
      <c r="G140" s="3460"/>
      <c r="H140" s="3460"/>
      <c r="I140" s="3460"/>
    </row>
  </sheetData>
  <mergeCells count="3">
    <mergeCell ref="R2:W2"/>
    <mergeCell ref="R7:W7"/>
    <mergeCell ref="R12:W12"/>
  </mergeCells>
  <phoneticPr fontId="134" type="noConversion"/>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B26" sqref="B26"/>
    </sheetView>
  </sheetViews>
  <sheetFormatPr defaultColWidth="15.25" defaultRowHeight="13.5"/>
  <cols>
    <col min="1" max="7" width="15.25" style="3015"/>
    <col min="8" max="8" width="5.5" style="3015" customWidth="1"/>
    <col min="9" max="13" width="9.5" style="3057" customWidth="1"/>
    <col min="14" max="18" width="9.5" style="3015" customWidth="1"/>
    <col min="19" max="16384" width="15.25" style="3015"/>
  </cols>
  <sheetData>
    <row r="1" spans="1:18">
      <c r="A1" s="3012" t="s">
        <v>2503</v>
      </c>
      <c r="B1" s="3013"/>
      <c r="C1" s="3013"/>
      <c r="D1" s="3013"/>
      <c r="E1" s="3013"/>
      <c r="F1" s="3014"/>
      <c r="I1" s="3436" t="s">
        <v>2596</v>
      </c>
      <c r="J1" s="3225"/>
      <c r="K1" s="3225"/>
      <c r="L1" s="3225"/>
      <c r="M1" s="3225"/>
      <c r="N1" s="3437"/>
      <c r="O1" s="3437"/>
      <c r="P1" s="3437"/>
      <c r="Q1" s="3437"/>
      <c r="R1" s="3437"/>
    </row>
    <row r="2" spans="1:18">
      <c r="A2" s="3016"/>
      <c r="B2" s="3017"/>
      <c r="C2" s="3017"/>
      <c r="D2" s="3017"/>
      <c r="E2" s="3017"/>
      <c r="F2" s="3018"/>
      <c r="I2" s="3602" t="s">
        <v>2583</v>
      </c>
      <c r="J2" s="3602"/>
      <c r="K2" s="3602"/>
      <c r="L2" s="3602"/>
      <c r="M2" s="3602"/>
      <c r="N2" s="3602"/>
      <c r="O2" s="3602"/>
      <c r="P2" s="3602"/>
      <c r="Q2" s="3602"/>
      <c r="R2" s="3602"/>
    </row>
    <row r="3" spans="1:18">
      <c r="A3" s="3019" t="s">
        <v>2504</v>
      </c>
      <c r="B3" s="3020">
        <f>项目基本情况!D3</f>
        <v>44926</v>
      </c>
      <c r="C3" s="3022"/>
      <c r="D3" s="3022"/>
      <c r="E3" s="3022"/>
      <c r="F3" s="3018"/>
      <c r="I3" s="3438"/>
      <c r="J3" s="3438" t="s">
        <v>2587</v>
      </c>
      <c r="K3" s="3438" t="s">
        <v>2588</v>
      </c>
      <c r="L3" s="3438" t="s">
        <v>2589</v>
      </c>
      <c r="M3" s="3438" t="s">
        <v>2590</v>
      </c>
      <c r="N3" s="3439" t="s">
        <v>2591</v>
      </c>
      <c r="O3" s="3439" t="s">
        <v>2592</v>
      </c>
      <c r="P3" s="3439" t="s">
        <v>2593</v>
      </c>
      <c r="Q3" s="3439" t="s">
        <v>2594</v>
      </c>
      <c r="R3" s="3439" t="s">
        <v>2595</v>
      </c>
    </row>
    <row r="4" spans="1:18">
      <c r="A4" s="3019" t="s">
        <v>2505</v>
      </c>
      <c r="B4" s="3022" t="s">
        <v>2506</v>
      </c>
      <c r="C4" s="3022" t="s">
        <v>2507</v>
      </c>
      <c r="D4" s="3022" t="s">
        <v>2508</v>
      </c>
      <c r="E4" s="3022" t="s">
        <v>2509</v>
      </c>
      <c r="F4" s="3018"/>
      <c r="I4" s="3438" t="s">
        <v>2584</v>
      </c>
      <c r="J4" s="3438">
        <v>80</v>
      </c>
      <c r="K4" s="3438">
        <v>70</v>
      </c>
      <c r="L4" s="3438">
        <v>20</v>
      </c>
      <c r="M4" s="3438">
        <v>30</v>
      </c>
      <c r="N4" s="3022">
        <v>45</v>
      </c>
      <c r="O4" s="3022">
        <v>60</v>
      </c>
      <c r="P4" s="3022">
        <v>50</v>
      </c>
      <c r="Q4" s="3022">
        <v>20</v>
      </c>
      <c r="R4" s="3022">
        <v>375</v>
      </c>
    </row>
    <row r="5" spans="1:18">
      <c r="A5" s="3023">
        <v>40</v>
      </c>
      <c r="B5" s="3020">
        <v>46375</v>
      </c>
      <c r="C5" s="3022">
        <f>ROUNDDOWN(MIN((B5-B3)/365,A5),2)</f>
        <v>3.96</v>
      </c>
      <c r="D5" s="3024">
        <f>IF(ISERROR(ROUND(POWER(1+E5,A5-C5)*(POWER(1+E5,C5)-1)/(POWER(1+E5,A5)-1),3)),0,ROUND(POWER(1+E5,A5-C5)*(POWER(1+E5,C5)-1)/(POWER(1+E5,A5)-1),4))</f>
        <v>0.1817</v>
      </c>
      <c r="E5" s="3025">
        <v>0.04</v>
      </c>
      <c r="F5" s="3018"/>
      <c r="I5" s="3438" t="s">
        <v>2585</v>
      </c>
      <c r="J5" s="3438">
        <v>70</v>
      </c>
      <c r="K5" s="3438">
        <v>60</v>
      </c>
      <c r="L5" s="3438">
        <v>15</v>
      </c>
      <c r="M5" s="3438">
        <v>25</v>
      </c>
      <c r="N5" s="3022">
        <v>40</v>
      </c>
      <c r="O5" s="3022">
        <v>50</v>
      </c>
      <c r="P5" s="3022">
        <v>40</v>
      </c>
      <c r="Q5" s="3022">
        <v>15</v>
      </c>
      <c r="R5" s="3022">
        <v>315</v>
      </c>
    </row>
    <row r="6" spans="1:18">
      <c r="A6" s="3023">
        <v>50</v>
      </c>
      <c r="B6" s="3020">
        <v>50028</v>
      </c>
      <c r="C6" s="3022">
        <f>ROUNDDOWN(MIN((B6-B3)/365,A6),2)</f>
        <v>13.97</v>
      </c>
      <c r="D6" s="3024">
        <f>IF(ISERROR(ROUND(POWER(1+E6,A6-C6)*(POWER(1+E6,C6)-1)/(POWER(1+E6,A6)-1),3)),0,ROUND(POWER(1+E6,A6-C6)*(POWER(1+E6,C6)-1)/(POWER(1+E6,A6)-1),4))</f>
        <v>0.4909</v>
      </c>
      <c r="E6" s="3025">
        <v>0.04</v>
      </c>
      <c r="F6" s="3018"/>
      <c r="I6" s="3438" t="s">
        <v>2586</v>
      </c>
      <c r="J6" s="3438">
        <v>60</v>
      </c>
      <c r="K6" s="3438">
        <v>50</v>
      </c>
      <c r="L6" s="3438">
        <v>10</v>
      </c>
      <c r="M6" s="3438">
        <v>20</v>
      </c>
      <c r="N6" s="3022">
        <v>35</v>
      </c>
      <c r="O6" s="3022">
        <v>40</v>
      </c>
      <c r="P6" s="3022">
        <v>30</v>
      </c>
      <c r="Q6" s="3022">
        <v>10</v>
      </c>
      <c r="R6" s="3022">
        <v>255</v>
      </c>
    </row>
    <row r="7" spans="1:18">
      <c r="A7" s="3023">
        <v>70</v>
      </c>
      <c r="B7" s="3020">
        <v>57333</v>
      </c>
      <c r="C7" s="3022">
        <f>ROUNDDOWN(MIN((B7-B3)/365,A7),2)</f>
        <v>33.99</v>
      </c>
      <c r="D7" s="3024">
        <f>IF(ISERROR(ROUND(POWER(1+E7,A7-C7)*(POWER(1+E7,C7)-1)/(POWER(1+E7,A7)-1),3)),0,ROUND(POWER(1+E7,A7-C7)*(POWER(1+E7,C7)-1)/(POWER(1+E7,A7)-1),4))</f>
        <v>0.78690000000000004</v>
      </c>
      <c r="E7" s="3025">
        <v>0.04</v>
      </c>
      <c r="F7" s="3018"/>
    </row>
    <row r="8" spans="1:18">
      <c r="A8" s="3016"/>
      <c r="B8" s="3017"/>
      <c r="C8" s="3017"/>
      <c r="D8" s="3017"/>
      <c r="E8" s="3017"/>
      <c r="F8" s="3018"/>
    </row>
    <row r="9" spans="1:18">
      <c r="A9" s="3019" t="s">
        <v>2510</v>
      </c>
      <c r="B9" s="3022"/>
      <c r="C9" s="3022"/>
      <c r="D9" s="3022"/>
      <c r="E9" s="3022"/>
      <c r="F9" s="3026"/>
    </row>
    <row r="10" spans="1:18">
      <c r="A10" s="3019" t="s">
        <v>2511</v>
      </c>
      <c r="B10" s="3022"/>
      <c r="C10" s="3022"/>
      <c r="D10" s="3022" t="s">
        <v>2509</v>
      </c>
      <c r="E10" s="3022"/>
      <c r="F10" s="3026" t="s">
        <v>2508</v>
      </c>
    </row>
    <row r="11" spans="1:18">
      <c r="A11" s="3019" t="s">
        <v>2512</v>
      </c>
      <c r="B11" s="3027">
        <v>70</v>
      </c>
      <c r="C11" s="3022" t="s">
        <v>2513</v>
      </c>
      <c r="D11" s="3028">
        <v>4.4999999999999998E-2</v>
      </c>
      <c r="E11" s="3022" t="s">
        <v>2514</v>
      </c>
      <c r="F11" s="3029">
        <f>ROUND(1-(1/(POWER(1+D11,B11))),4)</f>
        <v>0.95409999999999995</v>
      </c>
    </row>
    <row r="12" spans="1:18">
      <c r="A12" s="3019" t="s">
        <v>2515</v>
      </c>
      <c r="B12" s="3027">
        <v>40</v>
      </c>
      <c r="C12" s="3022" t="s">
        <v>2516</v>
      </c>
      <c r="D12" s="3028">
        <v>4.4999999999999998E-2</v>
      </c>
      <c r="E12" s="3022" t="s">
        <v>2517</v>
      </c>
      <c r="F12" s="3029">
        <f>ROUND(1-(1/(POWER(1+D12,B12))),4)</f>
        <v>0.82809999999999995</v>
      </c>
    </row>
    <row r="13" spans="1:18">
      <c r="A13" s="3019" t="s">
        <v>2518</v>
      </c>
      <c r="B13" s="3022"/>
      <c r="C13" s="3022"/>
      <c r="D13" s="3017"/>
      <c r="E13" s="3017"/>
      <c r="F13" s="3018"/>
    </row>
    <row r="14" spans="1:18">
      <c r="A14" s="3019" t="s">
        <v>2519</v>
      </c>
      <c r="B14" s="3027">
        <v>5000</v>
      </c>
      <c r="C14" s="3021"/>
      <c r="D14" s="3017"/>
      <c r="E14" s="3017"/>
      <c r="F14" s="3018"/>
    </row>
    <row r="15" spans="1:18">
      <c r="A15" s="3019" t="s">
        <v>2520</v>
      </c>
      <c r="B15" s="3022">
        <f>ROUND(B14*F12/F11,2)</f>
        <v>4339.6899999999996</v>
      </c>
      <c r="C15" s="3022">
        <f>ROUND(F12/F11,4)</f>
        <v>0.8679</v>
      </c>
      <c r="D15" s="3017"/>
      <c r="E15" s="3017"/>
      <c r="F15" s="3018"/>
    </row>
    <row r="16" spans="1:18">
      <c r="A16" s="3019" t="s">
        <v>2521</v>
      </c>
      <c r="B16" s="3022"/>
      <c r="C16" s="3022"/>
      <c r="D16" s="3017"/>
      <c r="E16" s="3017"/>
      <c r="F16" s="3018"/>
    </row>
    <row r="17" spans="1:13">
      <c r="A17" s="3019" t="s">
        <v>2520</v>
      </c>
      <c r="B17" s="3028">
        <v>4810</v>
      </c>
      <c r="C17" s="3021"/>
      <c r="D17" s="3017"/>
      <c r="E17" s="3017"/>
      <c r="F17" s="3018"/>
    </row>
    <row r="18" spans="1:13" ht="14.25" thickBot="1">
      <c r="A18" s="3030" t="s">
        <v>2519</v>
      </c>
      <c r="B18" s="3031">
        <f>ROUND(B17*F11/F12,2)</f>
        <v>5541.87</v>
      </c>
      <c r="C18" s="3031">
        <f>ROUND(F11/F12,4)</f>
        <v>1.1521999999999999</v>
      </c>
      <c r="D18" s="3032"/>
      <c r="E18" s="3032"/>
      <c r="F18" s="3033"/>
    </row>
    <row r="19" spans="1:13" ht="14.25" thickBot="1"/>
    <row r="20" spans="1:13" s="3068" customFormat="1" ht="14.25" thickTop="1">
      <c r="A20" s="3065" t="s">
        <v>2522</v>
      </c>
      <c r="B20" s="3066"/>
      <c r="C20" s="3066"/>
      <c r="D20" s="3066"/>
      <c r="E20" s="3066"/>
      <c r="F20" s="3066"/>
      <c r="G20" s="3067"/>
      <c r="I20" s="3069" t="s">
        <v>2567</v>
      </c>
      <c r="J20" s="3069" t="s">
        <v>2572</v>
      </c>
      <c r="K20" s="3069"/>
      <c r="L20" s="3069"/>
      <c r="M20" s="3069"/>
    </row>
    <row r="21" spans="1:13">
      <c r="A21" s="3034"/>
      <c r="B21" s="3035" t="s">
        <v>2523</v>
      </c>
      <c r="C21" s="3035" t="s">
        <v>2524</v>
      </c>
      <c r="D21" s="3035" t="s">
        <v>2525</v>
      </c>
      <c r="E21" s="3035" t="s">
        <v>2526</v>
      </c>
      <c r="F21" s="3035" t="s">
        <v>2527</v>
      </c>
      <c r="G21" s="3036" t="s">
        <v>2528</v>
      </c>
      <c r="I21" s="3057">
        <v>5</v>
      </c>
      <c r="J21" s="3057">
        <v>54.2</v>
      </c>
    </row>
    <row r="22" spans="1:13">
      <c r="A22" s="3034" t="s">
        <v>2529</v>
      </c>
      <c r="B22" s="3037">
        <v>40</v>
      </c>
      <c r="C22" s="3037">
        <f>'比较法-办公'!C10</f>
        <v>21.67</v>
      </c>
      <c r="D22" s="3038">
        <v>0.05</v>
      </c>
      <c r="E22" s="3035">
        <f>ROUND(POWER(1+D22,B22-C22)*(POWER(1+D22,C22)-1)/(POWER(1+D22,B22)-1),3)</f>
        <v>0.76100000000000001</v>
      </c>
      <c r="F22" s="3038">
        <v>0.55000000000000004</v>
      </c>
      <c r="G22" s="3036">
        <f>ROUND(100*(1-(1-E22)*F22),1)</f>
        <v>86.9</v>
      </c>
      <c r="H22" s="3015">
        <v>100</v>
      </c>
      <c r="I22" s="3057">
        <v>10</v>
      </c>
      <c r="J22" s="3057">
        <v>65.400000000000006</v>
      </c>
      <c r="K22" s="3057">
        <f>J22-J21</f>
        <v>11.200000000000003</v>
      </c>
    </row>
    <row r="23" spans="1:13">
      <c r="A23" s="3034" t="s">
        <v>2530</v>
      </c>
      <c r="B23" s="3037">
        <v>50</v>
      </c>
      <c r="C23" s="3037">
        <f>'比较法-办公'!E10</f>
        <v>31.05</v>
      </c>
      <c r="D23" s="3038">
        <v>0.05</v>
      </c>
      <c r="E23" s="3035">
        <f t="shared" ref="E23:E25" si="0">ROUND(POWER(1+D23,B23-C23)*(POWER(1+D23,C23)-1)/(POWER(1+D23,B23)-1),3)</f>
        <v>0.85499999999999998</v>
      </c>
      <c r="F23" s="3038">
        <f>F22</f>
        <v>0.55000000000000004</v>
      </c>
      <c r="G23" s="3036">
        <f t="shared" ref="G23:G25" si="1">ROUND(100*(1-(1-E23)*F23),1)</f>
        <v>92</v>
      </c>
      <c r="H23" s="3015">
        <f>G23/G22*100</f>
        <v>105.86881472957421</v>
      </c>
      <c r="I23" s="3057">
        <v>15</v>
      </c>
      <c r="J23" s="3057">
        <v>74.099999999999994</v>
      </c>
      <c r="K23" s="3057">
        <f t="shared" ref="K23:K30" si="2">J23-J22</f>
        <v>8.6999999999999886</v>
      </c>
      <c r="L23" s="3057" t="s">
        <v>2570</v>
      </c>
      <c r="M23" s="3057" t="s">
        <v>2571</v>
      </c>
    </row>
    <row r="24" spans="1:13">
      <c r="A24" s="3034" t="s">
        <v>2531</v>
      </c>
      <c r="B24" s="3037">
        <v>50</v>
      </c>
      <c r="C24" s="3037">
        <f>'比较法-办公'!G10</f>
        <v>42.24</v>
      </c>
      <c r="D24" s="3038">
        <v>0.05</v>
      </c>
      <c r="E24" s="3035">
        <f t="shared" si="0"/>
        <v>0.95599999999999996</v>
      </c>
      <c r="F24" s="3038">
        <f>F23</f>
        <v>0.55000000000000004</v>
      </c>
      <c r="G24" s="3036">
        <f t="shared" si="1"/>
        <v>97.6</v>
      </c>
      <c r="H24" s="3015">
        <f>G24/G22*H22</f>
        <v>112.31300345224395</v>
      </c>
      <c r="I24" s="3057">
        <v>20</v>
      </c>
      <c r="J24" s="3057">
        <v>81</v>
      </c>
      <c r="K24" s="3057">
        <f t="shared" si="2"/>
        <v>6.9000000000000057</v>
      </c>
      <c r="L24" s="3057" t="s">
        <v>2569</v>
      </c>
      <c r="M24" s="3057">
        <v>10</v>
      </c>
    </row>
    <row r="25" spans="1:13">
      <c r="A25" s="3034" t="s">
        <v>2532</v>
      </c>
      <c r="B25" s="3037">
        <v>50</v>
      </c>
      <c r="C25" s="3037">
        <f>'比较法-办公'!I10</f>
        <v>33</v>
      </c>
      <c r="D25" s="3038">
        <v>0.05</v>
      </c>
      <c r="E25" s="3035">
        <f t="shared" si="0"/>
        <v>0.877</v>
      </c>
      <c r="F25" s="3038">
        <f>F24</f>
        <v>0.55000000000000004</v>
      </c>
      <c r="G25" s="3036">
        <f t="shared" si="1"/>
        <v>93.2</v>
      </c>
      <c r="H25" s="3015">
        <f>G25/G22*100</f>
        <v>107.24971231300344</v>
      </c>
      <c r="I25" s="3057">
        <v>25</v>
      </c>
      <c r="J25" s="3057">
        <v>86.3</v>
      </c>
      <c r="K25" s="3057">
        <f t="shared" si="2"/>
        <v>5.2999999999999972</v>
      </c>
      <c r="L25" s="3057" t="s">
        <v>2573</v>
      </c>
      <c r="M25" s="3057">
        <v>8</v>
      </c>
    </row>
    <row r="26" spans="1:13">
      <c r="A26" s="3039"/>
      <c r="B26" s="3040"/>
      <c r="C26" s="3040"/>
      <c r="D26" s="3040"/>
      <c r="E26" s="3040"/>
      <c r="F26" s="3040"/>
      <c r="G26" s="3041"/>
      <c r="I26" s="3057">
        <v>30</v>
      </c>
      <c r="J26" s="3057">
        <v>90.5</v>
      </c>
      <c r="K26" s="3057">
        <f t="shared" si="2"/>
        <v>4.2000000000000028</v>
      </c>
      <c r="L26" s="3057" t="s">
        <v>2574</v>
      </c>
      <c r="M26" s="3057">
        <v>5</v>
      </c>
    </row>
    <row r="27" spans="1:13">
      <c r="A27" s="3039" t="s">
        <v>2533</v>
      </c>
      <c r="B27" s="3040"/>
      <c r="C27" s="3040"/>
      <c r="D27" s="3040"/>
      <c r="E27" s="3040"/>
      <c r="F27" s="3040"/>
      <c r="G27" s="3041"/>
      <c r="I27" s="3057">
        <v>35</v>
      </c>
      <c r="J27" s="3057">
        <v>93.8</v>
      </c>
      <c r="K27" s="3057">
        <f t="shared" si="2"/>
        <v>3.2999999999999972</v>
      </c>
      <c r="L27" s="3057" t="s">
        <v>2575</v>
      </c>
      <c r="M27" s="3057">
        <v>3</v>
      </c>
    </row>
    <row r="28" spans="1:13">
      <c r="A28" s="3039" t="s">
        <v>2534</v>
      </c>
      <c r="B28" s="3040"/>
      <c r="C28" s="3040"/>
      <c r="D28" s="3040"/>
      <c r="E28" s="3040"/>
      <c r="F28" s="3040"/>
      <c r="G28" s="3041"/>
      <c r="I28" s="3057">
        <v>40</v>
      </c>
      <c r="J28" s="3057">
        <v>96.4</v>
      </c>
      <c r="K28" s="3057">
        <f t="shared" si="2"/>
        <v>2.6000000000000085</v>
      </c>
      <c r="L28" s="3057" t="s">
        <v>2576</v>
      </c>
      <c r="M28" s="3057">
        <v>2</v>
      </c>
    </row>
    <row r="29" spans="1:13">
      <c r="A29" s="3039" t="s">
        <v>2535</v>
      </c>
      <c r="B29" s="3040"/>
      <c r="C29" s="3040"/>
      <c r="D29" s="3040"/>
      <c r="E29" s="3040"/>
      <c r="F29" s="3040"/>
      <c r="G29" s="3041"/>
      <c r="I29" s="3057">
        <v>45</v>
      </c>
      <c r="J29" s="3057">
        <v>98.4</v>
      </c>
      <c r="K29" s="3057">
        <f t="shared" si="2"/>
        <v>2</v>
      </c>
    </row>
    <row r="30" spans="1:13">
      <c r="A30" s="3039" t="s">
        <v>2536</v>
      </c>
      <c r="B30" s="3040"/>
      <c r="C30" s="3040"/>
      <c r="D30" s="3040"/>
      <c r="E30" s="3040"/>
      <c r="F30" s="3040"/>
      <c r="G30" s="3041"/>
      <c r="I30" s="3057">
        <v>50</v>
      </c>
      <c r="J30" s="3057">
        <v>100</v>
      </c>
      <c r="K30" s="3057">
        <f t="shared" si="2"/>
        <v>1.5999999999999943</v>
      </c>
    </row>
    <row r="31" spans="1:13">
      <c r="A31" s="3039" t="s">
        <v>2537</v>
      </c>
      <c r="B31" s="3040"/>
      <c r="C31" s="3040"/>
      <c r="D31" s="3040"/>
      <c r="E31" s="3040"/>
      <c r="F31" s="3040"/>
      <c r="G31" s="3041"/>
      <c r="I31" s="3057" t="s">
        <v>2568</v>
      </c>
    </row>
    <row r="32" spans="1:13">
      <c r="A32" s="3039" t="s">
        <v>2538</v>
      </c>
      <c r="B32" s="3040"/>
      <c r="C32" s="3040"/>
      <c r="D32" s="3040"/>
      <c r="E32" s="3040"/>
      <c r="F32" s="3040"/>
      <c r="G32" s="3041"/>
    </row>
    <row r="33" spans="1:13">
      <c r="A33" s="3039" t="s">
        <v>2539</v>
      </c>
      <c r="B33" s="3040"/>
      <c r="C33" s="3040"/>
      <c r="D33" s="3040"/>
      <c r="E33" s="3040"/>
      <c r="F33" s="3040"/>
      <c r="G33" s="3041"/>
      <c r="I33" s="3057" t="s">
        <v>2567</v>
      </c>
      <c r="J33" s="3057" t="s">
        <v>2577</v>
      </c>
    </row>
    <row r="34" spans="1:13">
      <c r="A34" s="3039" t="s">
        <v>2540</v>
      </c>
      <c r="B34" s="3040"/>
      <c r="C34" s="3040"/>
      <c r="D34" s="3040"/>
      <c r="E34" s="3040"/>
      <c r="F34" s="3040"/>
      <c r="G34" s="3041"/>
      <c r="I34" s="3057">
        <v>5</v>
      </c>
      <c r="J34" s="3057">
        <v>55.1</v>
      </c>
    </row>
    <row r="35" spans="1:13">
      <c r="A35" s="3039" t="s">
        <v>2541</v>
      </c>
      <c r="B35" s="3040"/>
      <c r="C35" s="3040"/>
      <c r="D35" s="3040"/>
      <c r="E35" s="3040"/>
      <c r="F35" s="3040"/>
      <c r="G35" s="3041"/>
      <c r="I35" s="3057">
        <v>10</v>
      </c>
      <c r="J35" s="3057">
        <v>67</v>
      </c>
      <c r="K35" s="3057">
        <f>J35-J34</f>
        <v>11.899999999999999</v>
      </c>
    </row>
    <row r="36" spans="1:13">
      <c r="A36" s="3039" t="s">
        <v>2542</v>
      </c>
      <c r="B36" s="3040"/>
      <c r="C36" s="3040"/>
      <c r="D36" s="3040"/>
      <c r="E36" s="3040"/>
      <c r="F36" s="3040"/>
      <c r="G36" s="3041"/>
      <c r="I36" s="3057">
        <v>15</v>
      </c>
      <c r="J36" s="3057">
        <v>76.3</v>
      </c>
      <c r="K36" s="3057">
        <f t="shared" ref="K36:K41" si="3">J36-J35</f>
        <v>9.2999999999999972</v>
      </c>
      <c r="L36" s="3057" t="s">
        <v>2570</v>
      </c>
      <c r="M36" s="3057" t="s">
        <v>2571</v>
      </c>
    </row>
    <row r="37" spans="1:13">
      <c r="A37" s="3039" t="s">
        <v>2543</v>
      </c>
      <c r="B37" s="3040"/>
      <c r="C37" s="3040"/>
      <c r="D37" s="3040"/>
      <c r="E37" s="3040"/>
      <c r="F37" s="3040"/>
      <c r="G37" s="3041"/>
      <c r="I37" s="3057">
        <v>20</v>
      </c>
      <c r="J37" s="3057">
        <v>83.6</v>
      </c>
      <c r="K37" s="3057">
        <f t="shared" si="3"/>
        <v>7.2999999999999972</v>
      </c>
      <c r="L37" s="3057" t="s">
        <v>2569</v>
      </c>
      <c r="M37" s="3057">
        <v>10</v>
      </c>
    </row>
    <row r="38" spans="1:13">
      <c r="A38" s="3039" t="s">
        <v>2544</v>
      </c>
      <c r="B38" s="3040"/>
      <c r="C38" s="3040"/>
      <c r="D38" s="3040"/>
      <c r="E38" s="3040"/>
      <c r="F38" s="3040"/>
      <c r="G38" s="3041"/>
      <c r="I38" s="3057">
        <v>25</v>
      </c>
      <c r="J38" s="3057">
        <v>89.3</v>
      </c>
      <c r="K38" s="3057">
        <f t="shared" si="3"/>
        <v>5.7000000000000028</v>
      </c>
      <c r="L38" s="3057" t="s">
        <v>2573</v>
      </c>
      <c r="M38" s="3057">
        <v>8</v>
      </c>
    </row>
    <row r="39" spans="1:13">
      <c r="A39" s="3039"/>
      <c r="B39" s="3040"/>
      <c r="C39" s="3040"/>
      <c r="D39" s="3040"/>
      <c r="E39" s="3040"/>
      <c r="F39" s="3040"/>
      <c r="G39" s="3041"/>
      <c r="I39" s="3057">
        <v>30</v>
      </c>
      <c r="J39" s="3057">
        <v>93.8</v>
      </c>
      <c r="K39" s="3057">
        <f t="shared" si="3"/>
        <v>4.5</v>
      </c>
      <c r="L39" s="3057" t="s">
        <v>2574</v>
      </c>
      <c r="M39" s="3057">
        <v>6</v>
      </c>
    </row>
    <row r="40" spans="1:13">
      <c r="A40" s="3042" t="s">
        <v>2545</v>
      </c>
      <c r="B40" s="3043"/>
      <c r="C40" s="3043"/>
      <c r="D40" s="3043"/>
      <c r="E40" s="3043"/>
      <c r="F40" s="3043"/>
      <c r="G40" s="3044"/>
      <c r="I40" s="3057">
        <v>35</v>
      </c>
      <c r="J40" s="3057">
        <v>97.2</v>
      </c>
      <c r="K40" s="3057">
        <f t="shared" si="3"/>
        <v>3.4000000000000057</v>
      </c>
      <c r="L40" s="3057" t="s">
        <v>2575</v>
      </c>
      <c r="M40" s="3057">
        <v>3</v>
      </c>
    </row>
    <row r="41" spans="1:13">
      <c r="A41" s="3045" t="s">
        <v>2546</v>
      </c>
      <c r="B41" s="3046" t="s">
        <v>2547</v>
      </c>
      <c r="C41" s="3047" t="s">
        <v>2548</v>
      </c>
      <c r="D41" s="3047" t="s">
        <v>2549</v>
      </c>
      <c r="E41" s="3048"/>
      <c r="F41" s="3049"/>
      <c r="G41" s="3050"/>
      <c r="I41" s="3057">
        <v>40</v>
      </c>
      <c r="J41" s="3057">
        <v>100</v>
      </c>
      <c r="K41" s="3057">
        <f t="shared" si="3"/>
        <v>2.7999999999999972</v>
      </c>
    </row>
    <row r="42" spans="1:13">
      <c r="A42" s="3045" t="s">
        <v>2550</v>
      </c>
      <c r="B42" s="3046" t="s">
        <v>2551</v>
      </c>
      <c r="C42" s="3047" t="s">
        <v>2552</v>
      </c>
      <c r="D42" s="3051" t="s">
        <v>2553</v>
      </c>
      <c r="E42" s="3043" t="s">
        <v>2554</v>
      </c>
      <c r="F42" s="3043"/>
      <c r="G42" s="3044"/>
    </row>
    <row r="43" spans="1:13">
      <c r="A43" s="3045" t="s">
        <v>2555</v>
      </c>
      <c r="B43" s="3046" t="s">
        <v>2556</v>
      </c>
      <c r="C43" s="3047" t="s">
        <v>2557</v>
      </c>
      <c r="D43" s="3047" t="s">
        <v>2558</v>
      </c>
      <c r="E43" s="3048" t="s">
        <v>2559</v>
      </c>
      <c r="F43" s="3049"/>
      <c r="G43" s="3050"/>
      <c r="I43" s="3057" t="s">
        <v>2567</v>
      </c>
      <c r="J43" s="3057" t="s">
        <v>2578</v>
      </c>
    </row>
    <row r="44" spans="1:13">
      <c r="A44" s="3045" t="s">
        <v>2560</v>
      </c>
      <c r="B44" s="3046" t="s">
        <v>2561</v>
      </c>
      <c r="C44" s="3047" t="s">
        <v>2562</v>
      </c>
      <c r="D44" s="3051">
        <v>0.5</v>
      </c>
      <c r="E44" s="3048" t="s">
        <v>2563</v>
      </c>
      <c r="F44" s="3049"/>
      <c r="G44" s="3050"/>
      <c r="I44" s="3057">
        <v>30</v>
      </c>
      <c r="J44" s="3057">
        <v>81.7</v>
      </c>
    </row>
    <row r="45" spans="1:13" ht="14.25" thickBot="1">
      <c r="A45" s="3052" t="s">
        <v>2564</v>
      </c>
      <c r="B45" s="3053" t="s">
        <v>2551</v>
      </c>
      <c r="C45" s="3054" t="s">
        <v>2551</v>
      </c>
      <c r="D45" s="3054" t="s">
        <v>2565</v>
      </c>
      <c r="E45" s="3055" t="s">
        <v>2566</v>
      </c>
      <c r="F45" s="3055"/>
      <c r="G45" s="3056"/>
      <c r="I45" s="3057">
        <v>40</v>
      </c>
      <c r="J45" s="3057">
        <v>89.2</v>
      </c>
      <c r="K45" s="3057">
        <f>J45-J44</f>
        <v>7.5</v>
      </c>
    </row>
    <row r="46" spans="1:13">
      <c r="I46" s="3057">
        <v>50</v>
      </c>
      <c r="J46" s="3057">
        <v>94.3</v>
      </c>
      <c r="K46" s="3057">
        <f t="shared" ref="K46:K47" si="4">J46-J45</f>
        <v>5.0999999999999943</v>
      </c>
    </row>
    <row r="47" spans="1:13">
      <c r="I47" s="3057">
        <v>60</v>
      </c>
      <c r="J47" s="3057">
        <v>97.7</v>
      </c>
      <c r="K47" s="3057">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H24" sqref="H24"/>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7" customWidth="1"/>
    <col min="12" max="13" width="10" style="2628"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2168</v>
      </c>
      <c r="B1" s="3603" t="str">
        <f>IF(B10="北京市","北京市",C10)&amp;F10&amp;IF(结果表!G1="在建","出让国有建设用地使用权及在建建筑物",IF(结果表!G1="土地","出让国有建设用地使用权",))&amp;B9&amp;"预评估"</f>
        <v>北京市房地产市场价值预评估</v>
      </c>
      <c r="C1" s="3604"/>
      <c r="D1" s="3604"/>
      <c r="E1" s="3604"/>
      <c r="F1" s="3604"/>
      <c r="G1" s="3604"/>
      <c r="H1" s="3604"/>
      <c r="I1" s="3605"/>
      <c r="J1" s="2470"/>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北京市房地产市场价值</v>
      </c>
      <c r="T1" s="1745"/>
      <c r="U1" s="1745"/>
      <c r="V1" s="1745"/>
      <c r="W1" s="1745"/>
      <c r="X1" s="1745"/>
      <c r="Y1" s="1745"/>
      <c r="Z1" s="1745"/>
      <c r="AA1" s="1745"/>
      <c r="AB1" s="1745"/>
    </row>
    <row r="2" spans="1:30">
      <c r="A2" s="2367" t="s">
        <v>2169</v>
      </c>
      <c r="B2" s="3449" t="s">
        <v>3383</v>
      </c>
      <c r="C2" s="2371"/>
      <c r="D2" s="2669"/>
      <c r="E2" s="2661"/>
      <c r="F2" s="2661"/>
      <c r="G2" s="2662"/>
      <c r="H2" s="2662"/>
      <c r="I2" s="2662"/>
      <c r="J2" s="2470"/>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北京市房地产</v>
      </c>
      <c r="T2" s="1745"/>
      <c r="U2" s="1745"/>
      <c r="V2" s="1745"/>
      <c r="W2" s="1745"/>
      <c r="X2" s="1745"/>
      <c r="Y2" s="1745"/>
      <c r="Z2" s="1745"/>
      <c r="AA2" s="1745"/>
      <c r="AB2" s="1745"/>
    </row>
    <row r="3" spans="1:30">
      <c r="A3" s="302" t="s">
        <v>2170</v>
      </c>
      <c r="B3" s="2372"/>
      <c r="C3" s="2373" t="s">
        <v>2171</v>
      </c>
      <c r="D3" s="2372">
        <v>44926</v>
      </c>
      <c r="E3" s="2662"/>
      <c r="F3" s="2662"/>
      <c r="G3" s="2662"/>
      <c r="H3" s="2662"/>
      <c r="I3" s="2662"/>
      <c r="J3" s="2470"/>
      <c r="K3" s="2368"/>
      <c r="L3" s="2369"/>
      <c r="M3" s="2369"/>
      <c r="N3" s="2370"/>
      <c r="O3" s="1576"/>
      <c r="P3" s="2370"/>
      <c r="Q3" s="2370"/>
      <c r="R3" s="2370"/>
      <c r="S3" s="1682"/>
      <c r="T3" s="1745"/>
      <c r="U3" s="1745"/>
      <c r="V3" s="1745"/>
      <c r="W3" s="1745"/>
      <c r="X3" s="1745"/>
      <c r="Y3" s="1745"/>
      <c r="Z3" s="1745"/>
      <c r="AA3" s="1745"/>
      <c r="AB3" s="1745"/>
    </row>
    <row r="4" spans="1:30" ht="13.5" thickBot="1">
      <c r="A4" s="1090" t="s">
        <v>2172</v>
      </c>
      <c r="B4" s="2374"/>
      <c r="C4" s="2375">
        <f>SUMIF(注册房地产估价师,B4,估价师及机构信息!B3:B24)</f>
        <v>0</v>
      </c>
      <c r="D4" s="2374"/>
      <c r="E4" s="2376">
        <f>SUMIF(注册房地产估价师,D4,估价师及机构信息!B3:B24)</f>
        <v>0</v>
      </c>
      <c r="F4" s="2374"/>
      <c r="G4" s="2376">
        <f>SUMIF(注册房地产估价师,F4,估价师及机构信息!B3:B24)</f>
        <v>0</v>
      </c>
      <c r="H4" s="2374"/>
      <c r="I4" s="2376">
        <f>SUMIF(注册房地产估价师,H4,估价师及机构信息!B3:B24)</f>
        <v>0</v>
      </c>
      <c r="J4" s="2438"/>
      <c r="K4" s="2377" t="str">
        <f>CONCATENATE(B4,"（注册号：",C4,")、",D4,"（注册号：",E4,")")</f>
        <v>（注册号：0)、（注册号：0)</v>
      </c>
      <c r="L4" s="2369"/>
      <c r="M4" s="2369"/>
      <c r="N4" s="2370"/>
      <c r="O4" s="1576"/>
      <c r="P4" s="2370"/>
      <c r="Q4" s="2370"/>
      <c r="R4" s="2370"/>
      <c r="S4" s="1682"/>
      <c r="T4" s="1745"/>
      <c r="U4" s="1745"/>
      <c r="V4" s="1745"/>
      <c r="W4" s="1745"/>
      <c r="X4" s="1745"/>
      <c r="Y4" s="1745"/>
      <c r="Z4" s="1745"/>
      <c r="AA4" s="1745"/>
      <c r="AB4" s="1745"/>
    </row>
    <row r="5" spans="1:30" ht="13.5" thickTop="1">
      <c r="A5" s="2378" t="s">
        <v>2173</v>
      </c>
      <c r="B5" s="2379"/>
      <c r="C5" s="2380"/>
      <c r="D5" s="2381"/>
      <c r="E5" s="2663"/>
      <c r="F5" s="2663"/>
      <c r="G5" s="2663"/>
      <c r="H5" s="2663"/>
      <c r="I5" s="2663"/>
      <c r="J5" s="2438"/>
      <c r="K5" s="2377"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2" t="s">
        <v>2174</v>
      </c>
      <c r="B6" s="2383"/>
      <c r="C6" s="2384"/>
      <c r="D6" s="2385"/>
      <c r="E6" s="2661"/>
      <c r="F6" s="2663"/>
      <c r="G6" s="2663"/>
      <c r="H6" s="2663"/>
      <c r="I6" s="2663"/>
      <c r="J6" s="2438"/>
      <c r="K6" s="2614" t="str">
        <f>IF(COUNTIF(B6,"*上海银行*"),"上海银行","")</f>
        <v/>
      </c>
      <c r="L6" s="2612"/>
      <c r="M6" s="2612"/>
      <c r="N6" s="2438"/>
      <c r="O6" s="2449"/>
      <c r="P6" s="2438"/>
      <c r="Q6" s="2438"/>
      <c r="R6" s="2438"/>
    </row>
    <row r="7" spans="1:30">
      <c r="A7" s="2382" t="s">
        <v>2175</v>
      </c>
      <c r="B7" s="2386"/>
      <c r="C7" s="2384"/>
      <c r="D7" s="2385"/>
      <c r="E7" s="2661"/>
      <c r="F7" s="2663"/>
      <c r="G7" s="2663"/>
      <c r="H7" s="2663"/>
      <c r="I7" s="2663"/>
      <c r="J7" s="2438"/>
      <c r="K7" s="2615"/>
      <c r="L7" s="2612"/>
      <c r="M7" s="2612"/>
      <c r="N7" s="2438"/>
      <c r="O7" s="2449"/>
      <c r="P7" s="2438"/>
      <c r="Q7" s="2438"/>
      <c r="R7" s="2438"/>
    </row>
    <row r="8" spans="1:30">
      <c r="A8" s="2387" t="s">
        <v>2176</v>
      </c>
      <c r="B8" s="2388" t="s">
        <v>3378</v>
      </c>
      <c r="C8" s="2389"/>
      <c r="D8" s="3606" t="s">
        <v>2177</v>
      </c>
      <c r="E8" s="2390"/>
      <c r="F8" s="2391"/>
      <c r="G8" s="2662"/>
      <c r="H8" s="2662"/>
      <c r="I8" s="2662"/>
      <c r="J8" s="2438"/>
      <c r="K8" s="2613"/>
      <c r="L8" s="2612"/>
      <c r="M8" s="2612"/>
      <c r="N8" s="2438"/>
      <c r="O8" s="2449"/>
      <c r="P8" s="2438"/>
      <c r="Q8" s="2438"/>
      <c r="R8" s="2438"/>
    </row>
    <row r="9" spans="1:30" ht="13.5" thickBot="1">
      <c r="A9" s="2392" t="s">
        <v>2178</v>
      </c>
      <c r="B9" s="2393" t="s">
        <v>3379</v>
      </c>
      <c r="C9" s="2394"/>
      <c r="D9" s="3607"/>
      <c r="E9" s="2393"/>
      <c r="F9" s="2395"/>
      <c r="G9" s="2664"/>
      <c r="H9" s="2664"/>
      <c r="I9" s="2664"/>
      <c r="J9" s="2438"/>
      <c r="K9" s="2615"/>
      <c r="L9" s="2612"/>
      <c r="M9" s="2612"/>
      <c r="N9" s="2438"/>
      <c r="O9" s="2449"/>
      <c r="P9" s="2438"/>
      <c r="Q9" s="2438"/>
      <c r="R9" s="2438"/>
    </row>
    <row r="10" spans="1:30" ht="13.5" thickTop="1">
      <c r="A10" s="2396" t="s">
        <v>2179</v>
      </c>
      <c r="B10" s="2397" t="s">
        <v>3380</v>
      </c>
      <c r="C10" s="2398"/>
      <c r="D10" s="2381"/>
      <c r="E10" s="2399" t="s">
        <v>2180</v>
      </c>
      <c r="F10" s="2665"/>
      <c r="G10" s="2666"/>
      <c r="H10" s="2667"/>
      <c r="I10" s="2668"/>
      <c r="J10" s="2438"/>
      <c r="K10" s="2615"/>
      <c r="L10" s="2612"/>
      <c r="M10" s="2612"/>
      <c r="N10" s="2438"/>
      <c r="O10" s="2449"/>
      <c r="P10" s="2438"/>
      <c r="Q10" s="2438"/>
      <c r="R10" s="2438"/>
    </row>
    <row r="11" spans="1:30">
      <c r="A11" s="2400" t="s">
        <v>2181</v>
      </c>
      <c r="B11" s="2401" t="s">
        <v>3381</v>
      </c>
      <c r="C11" s="2402"/>
      <c r="D11" s="2403"/>
      <c r="E11" s="2370"/>
      <c r="F11" s="2370"/>
      <c r="G11" s="2370"/>
      <c r="H11" s="2370"/>
      <c r="I11" s="2370"/>
      <c r="J11" s="3060"/>
      <c r="K11" s="3059"/>
      <c r="L11" s="2612"/>
      <c r="M11" s="2612"/>
      <c r="N11" s="2438"/>
      <c r="O11" s="2449"/>
      <c r="P11" s="2438"/>
      <c r="Q11" s="2438"/>
      <c r="R11" s="2438"/>
    </row>
    <row r="12" spans="1:30">
      <c r="A12" s="2404" t="s">
        <v>2182</v>
      </c>
      <c r="B12" s="323" t="s">
        <v>2183</v>
      </c>
      <c r="C12" s="2405" t="s">
        <v>2184</v>
      </c>
      <c r="D12" s="2405" t="s">
        <v>2185</v>
      </c>
      <c r="E12" s="2405" t="s">
        <v>2186</v>
      </c>
      <c r="F12" s="2405" t="s">
        <v>2187</v>
      </c>
      <c r="G12" s="2405" t="s">
        <v>2188</v>
      </c>
      <c r="H12" s="2405" t="s">
        <v>2189</v>
      </c>
      <c r="I12" s="3058" t="s">
        <v>2579</v>
      </c>
      <c r="J12" s="3061"/>
      <c r="K12" s="2612"/>
      <c r="L12" s="2612"/>
      <c r="M12" s="2438"/>
      <c r="N12" s="2449"/>
      <c r="O12" s="2438"/>
      <c r="P12" s="2438"/>
      <c r="Q12" s="2438"/>
      <c r="AD12" s="1745"/>
    </row>
    <row r="13" spans="1:30">
      <c r="A13" s="3422" t="s">
        <v>3339</v>
      </c>
      <c r="B13" s="2406" t="s">
        <v>2190</v>
      </c>
      <c r="C13" s="856"/>
      <c r="D13" s="856">
        <v>52839</v>
      </c>
      <c r="E13" s="856"/>
      <c r="F13" s="856">
        <v>52839</v>
      </c>
      <c r="G13" s="856"/>
      <c r="H13" s="856"/>
      <c r="I13" s="856"/>
      <c r="J13" s="3061"/>
      <c r="K13" s="2612"/>
      <c r="L13" s="2612"/>
      <c r="M13" s="2438"/>
      <c r="N13" s="2449"/>
      <c r="O13" s="2438"/>
      <c r="P13" s="2438"/>
      <c r="Q13" s="2438"/>
      <c r="AD13" s="1745"/>
    </row>
    <row r="14" spans="1:30">
      <c r="A14" s="1081"/>
      <c r="B14" s="2406" t="s">
        <v>2191</v>
      </c>
      <c r="C14" s="2407"/>
      <c r="D14" s="2407">
        <v>40</v>
      </c>
      <c r="E14" s="2407"/>
      <c r="F14" s="2407">
        <v>50</v>
      </c>
      <c r="G14" s="2407"/>
      <c r="H14" s="2407"/>
      <c r="I14" s="2407"/>
      <c r="J14" s="3062"/>
      <c r="K14" s="2612"/>
      <c r="L14" s="2612"/>
      <c r="M14" s="2438"/>
      <c r="N14" s="2449"/>
      <c r="O14" s="2438"/>
      <c r="P14" s="2438"/>
      <c r="Q14" s="2438"/>
      <c r="AD14" s="1745"/>
    </row>
    <row r="15" spans="1:30">
      <c r="A15" s="320"/>
      <c r="B15" s="2408" t="s">
        <v>2192</v>
      </c>
      <c r="C15" s="2409" t="str">
        <f>IF(A13="出让",IF(C13="","",ROUNDDOWN(MIN((C13-$D$3)/365,C14),2)),C14)</f>
        <v/>
      </c>
      <c r="D15" s="2409">
        <f>IF(A13="出让",IF(D13="","",ROUNDDOWN(MIN((D13-$D$3)/365,D14),2)),D14)</f>
        <v>21.67</v>
      </c>
      <c r="E15" s="2409" t="str">
        <f>IF(A13="出让",IF(E13="","",ROUNDDOWN(MIN((E13-$D$3)/365,E14),2)),E14)</f>
        <v/>
      </c>
      <c r="F15" s="2409">
        <f>IF(A13="出让",IF(F13="","",ROUNDDOWN(MIN((F13-$D$3)/365,F14),2)),F14)</f>
        <v>21.67</v>
      </c>
      <c r="G15" s="2409" t="str">
        <f>IF(A13="出让",IF(G13="","",ROUNDDOWN(MIN((G13-$D$3)/365,G14),2)),G14)</f>
        <v/>
      </c>
      <c r="H15" s="2409" t="str">
        <f>IF(A13="出让",IF(H13="","",ROUNDDOWN(MIN((H13-$D$3)/365,H14),2)),H14)</f>
        <v/>
      </c>
      <c r="I15" s="2409" t="str">
        <f>IF(A13="出让",IF(I13="","",ROUNDDOWN(MIN((I13-$D$3)/365,I14),2)),I14)</f>
        <v/>
      </c>
      <c r="J15" s="3063"/>
      <c r="K15" s="2450"/>
      <c r="L15" s="2450"/>
      <c r="M15" s="2508"/>
      <c r="N15" s="2450"/>
      <c r="O15" s="2508"/>
      <c r="P15" s="2438"/>
      <c r="Q15" s="2438"/>
      <c r="AD15" s="1745"/>
    </row>
    <row r="16" spans="1:30">
      <c r="A16" s="2399" t="s">
        <v>2193</v>
      </c>
      <c r="B16" s="3613" t="s">
        <v>3400</v>
      </c>
      <c r="C16" s="3614"/>
      <c r="D16" s="3615"/>
      <c r="E16" s="2412" t="s">
        <v>2194</v>
      </c>
      <c r="F16" s="3616"/>
      <c r="G16" s="3617"/>
      <c r="H16" s="3617"/>
      <c r="I16" s="3618"/>
      <c r="J16" s="2438"/>
      <c r="K16" s="2616"/>
      <c r="L16" s="2450"/>
      <c r="M16" s="2450"/>
      <c r="N16" s="2508"/>
      <c r="O16" s="2450"/>
      <c r="P16" s="2508"/>
      <c r="Q16" s="2438"/>
      <c r="R16" s="2438"/>
    </row>
    <row r="17" spans="1:28">
      <c r="A17" s="313" t="s">
        <v>2195</v>
      </c>
      <c r="B17" s="302" t="s">
        <v>2196</v>
      </c>
      <c r="C17" s="8">
        <f>'数据-汇总表'!E3</f>
        <v>51034.460000000006</v>
      </c>
      <c r="D17" s="2322" t="s">
        <v>2197</v>
      </c>
      <c r="E17" s="3619" t="s">
        <v>2198</v>
      </c>
      <c r="F17" s="3620"/>
      <c r="G17" s="3620"/>
      <c r="H17" s="3620"/>
      <c r="I17" s="3621"/>
      <c r="J17" s="2438"/>
      <c r="K17" s="2617"/>
      <c r="L17" s="2450"/>
      <c r="M17" s="2450"/>
      <c r="N17" s="2508"/>
      <c r="O17" s="2450"/>
      <c r="P17" s="2508"/>
      <c r="Q17" s="2438"/>
      <c r="R17" s="2438"/>
      <c r="S17" s="2438"/>
      <c r="T17" s="2438"/>
      <c r="U17" s="2438"/>
      <c r="V17" s="2438"/>
    </row>
    <row r="18" spans="1:28" ht="24.75" thickBot="1">
      <c r="A18" s="2413" t="s">
        <v>2199</v>
      </c>
      <c r="B18" s="1090" t="s">
        <v>2200</v>
      </c>
      <c r="C18" s="2414">
        <f>'数据-汇总表'!D3</f>
        <v>11881.76</v>
      </c>
      <c r="D18" s="1092" t="s">
        <v>2201</v>
      </c>
      <c r="E18" s="3622" t="s">
        <v>2202</v>
      </c>
      <c r="F18" s="3623"/>
      <c r="G18" s="3623"/>
      <c r="H18" s="3623"/>
      <c r="I18" s="3624"/>
      <c r="J18" s="2438"/>
      <c r="K18" s="2617"/>
      <c r="L18" s="2450"/>
      <c r="M18" s="2450"/>
      <c r="N18" s="2508"/>
      <c r="O18" s="2450"/>
      <c r="P18" s="2508"/>
      <c r="Q18" s="2438"/>
      <c r="R18" s="2438"/>
      <c r="S18" s="2438"/>
      <c r="T18" s="2438"/>
      <c r="U18" s="2438"/>
      <c r="V18" s="2438"/>
    </row>
    <row r="19" spans="1:28" ht="37.5" thickTop="1" thickBot="1">
      <c r="A19" s="327" t="s">
        <v>1055</v>
      </c>
      <c r="B19" s="307" t="s">
        <v>2203</v>
      </c>
      <c r="C19" s="1563"/>
      <c r="D19" s="1564" t="s">
        <v>2204</v>
      </c>
      <c r="E19" s="1565"/>
      <c r="F19" s="1566" t="str">
        <f>IF(AND(C19="是",E19="否"),"是否提供他项权证或相关说明","")</f>
        <v/>
      </c>
      <c r="G19" s="1567"/>
      <c r="H19" s="2663"/>
      <c r="I19" s="2663"/>
      <c r="J19" s="2438"/>
      <c r="K19" s="2615"/>
      <c r="L19" s="2612"/>
      <c r="M19" s="2612"/>
      <c r="N19" s="2508"/>
      <c r="O19" s="2450"/>
      <c r="P19" s="2508"/>
      <c r="Q19" s="2438"/>
      <c r="R19" s="2438"/>
      <c r="S19" s="2438"/>
      <c r="T19" s="2438"/>
      <c r="U19" s="2438"/>
      <c r="V19" s="2438"/>
    </row>
    <row r="20" spans="1:28">
      <c r="A20" s="2631" t="s">
        <v>2205</v>
      </c>
      <c r="B20" s="3609" t="s">
        <v>2206</v>
      </c>
      <c r="C20" s="3610"/>
      <c r="D20" s="3611" t="s">
        <v>2207</v>
      </c>
      <c r="E20" s="3612"/>
      <c r="F20" s="2646" t="s">
        <v>1056</v>
      </c>
      <c r="G20" s="2663"/>
      <c r="H20" s="2663"/>
      <c r="I20" s="2663"/>
      <c r="J20" s="2438"/>
      <c r="K20" s="3608" t="s">
        <v>2208</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11"/>
      <c r="O20" s="2410"/>
      <c r="P20" s="2411"/>
      <c r="Q20" s="2370"/>
      <c r="R20" s="2370"/>
      <c r="S20" s="2370"/>
      <c r="T20" s="2370"/>
      <c r="U20" s="2370"/>
      <c r="V20" s="2370"/>
      <c r="W20" s="1745"/>
      <c r="X20" s="1745"/>
      <c r="Y20" s="1745"/>
      <c r="Z20" s="1745"/>
      <c r="AA20" s="1745"/>
      <c r="AB20" s="1745"/>
    </row>
    <row r="21" spans="1:28" ht="24.75" thickBot="1">
      <c r="A21" s="2631"/>
      <c r="B21" s="2632" t="s">
        <v>2209</v>
      </c>
      <c r="C21" s="2633" t="s">
        <v>1057</v>
      </c>
      <c r="D21" s="1568" t="s">
        <v>2210</v>
      </c>
      <c r="E21" s="2634" t="s">
        <v>1057</v>
      </c>
      <c r="F21" s="2647"/>
      <c r="G21" s="2663"/>
      <c r="H21" s="2663"/>
      <c r="I21" s="2663"/>
      <c r="J21" s="2438"/>
      <c r="K21" s="3608"/>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1"/>
      <c r="O21" s="2410"/>
      <c r="P21" s="2411"/>
      <c r="Q21" s="2370"/>
      <c r="R21" s="2370"/>
      <c r="S21" s="2370"/>
      <c r="T21" s="2370"/>
      <c r="U21" s="2370"/>
      <c r="V21" s="2370"/>
      <c r="W21" s="1745"/>
      <c r="X21" s="1745"/>
      <c r="Y21" s="1745"/>
      <c r="Z21" s="1745"/>
      <c r="AA21" s="1745"/>
      <c r="AB21" s="1745"/>
    </row>
    <row r="22" spans="1:28" ht="24.75" thickBot="1">
      <c r="A22" s="2631"/>
      <c r="B22" s="2635" t="s">
        <v>2211</v>
      </c>
      <c r="C22" s="2633" t="s">
        <v>1058</v>
      </c>
      <c r="D22" s="2662"/>
      <c r="E22" s="2662"/>
      <c r="F22" s="2662"/>
      <c r="G22" s="2663"/>
      <c r="H22" s="2663"/>
      <c r="I22" s="2663"/>
      <c r="J22" s="2438"/>
      <c r="K22" s="3608"/>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1"/>
      <c r="O22" s="2410"/>
      <c r="P22" s="2411"/>
      <c r="Q22" s="2370"/>
      <c r="R22" s="2370"/>
      <c r="S22" s="2370"/>
      <c r="T22" s="2370"/>
      <c r="U22" s="2370"/>
      <c r="V22" s="2370"/>
      <c r="W22" s="1745"/>
      <c r="X22" s="1745"/>
      <c r="Y22" s="1745"/>
      <c r="Z22" s="1745"/>
      <c r="AA22" s="1745"/>
      <c r="AB22" s="1745"/>
    </row>
    <row r="23" spans="1:28">
      <c r="A23" s="2636" t="s">
        <v>2212</v>
      </c>
      <c r="B23" s="2501" t="s">
        <v>2213</v>
      </c>
      <c r="C23" s="2637"/>
      <c r="D23" s="2638" t="s">
        <v>2213</v>
      </c>
      <c r="E23" s="2639"/>
      <c r="F23" s="2662"/>
      <c r="G23" s="2663"/>
      <c r="H23" s="2663"/>
      <c r="I23" s="2663"/>
      <c r="J23" s="2438"/>
      <c r="K23" s="2618"/>
      <c r="L23" s="2474"/>
      <c r="M23" s="2612"/>
      <c r="N23" s="2508"/>
      <c r="O23" s="2450"/>
      <c r="P23" s="2508"/>
      <c r="Q23" s="2438"/>
      <c r="R23" s="2438"/>
      <c r="S23" s="2438"/>
      <c r="T23" s="2438"/>
      <c r="U23" s="2438"/>
      <c r="V23" s="2438"/>
    </row>
    <row r="24" spans="1:28">
      <c r="A24" s="2636"/>
      <c r="B24" s="2501" t="s">
        <v>1059</v>
      </c>
      <c r="C24" s="2640"/>
      <c r="D24" s="2636" t="s">
        <v>1059</v>
      </c>
      <c r="E24" s="2641"/>
      <c r="F24" s="2662"/>
      <c r="G24" s="2663"/>
      <c r="H24" s="2663"/>
      <c r="I24" s="2663"/>
      <c r="J24" s="2438"/>
      <c r="K24" s="2618"/>
      <c r="L24" s="2474"/>
      <c r="M24" s="2612"/>
      <c r="N24" s="2508"/>
      <c r="O24" s="2450"/>
      <c r="P24" s="2508"/>
      <c r="Q24" s="2438"/>
      <c r="R24" s="2438"/>
      <c r="S24" s="2438"/>
      <c r="T24" s="2438"/>
      <c r="U24" s="2438"/>
      <c r="V24" s="2438"/>
    </row>
    <row r="25" spans="1:28">
      <c r="A25" s="2636"/>
      <c r="B25" s="2501" t="s">
        <v>1060</v>
      </c>
      <c r="C25" s="2640"/>
      <c r="D25" s="2636" t="s">
        <v>1060</v>
      </c>
      <c r="E25" s="2641"/>
      <c r="F25" s="2662"/>
      <c r="G25" s="2663"/>
      <c r="H25" s="2663"/>
      <c r="I25" s="2663"/>
      <c r="J25" s="2438"/>
      <c r="K25" s="2615"/>
      <c r="L25" s="2612"/>
      <c r="M25" s="2612"/>
      <c r="N25" s="2508"/>
      <c r="O25" s="2450"/>
      <c r="P25" s="2508"/>
      <c r="Q25" s="2438"/>
      <c r="R25" s="2438"/>
      <c r="S25" s="2438"/>
      <c r="T25" s="2438"/>
      <c r="U25" s="2438"/>
      <c r="V25" s="2438"/>
    </row>
    <row r="26" spans="1:28" ht="13.5" thickBot="1">
      <c r="A26" s="2642"/>
      <c r="B26" s="2643" t="s">
        <v>1061</v>
      </c>
      <c r="C26" s="2644"/>
      <c r="D26" s="2642" t="s">
        <v>1061</v>
      </c>
      <c r="E26" s="2645"/>
      <c r="F26" s="2664"/>
      <c r="G26" s="2664"/>
      <c r="H26" s="2664"/>
      <c r="I26" s="2664"/>
      <c r="J26" s="2438"/>
      <c r="K26" s="2615"/>
      <c r="L26" s="2612"/>
      <c r="M26" s="2612"/>
      <c r="N26" s="2508"/>
      <c r="O26" s="2450"/>
      <c r="P26" s="2508"/>
      <c r="Q26" s="2438"/>
      <c r="R26" s="2438"/>
      <c r="S26" s="2438"/>
      <c r="T26" s="2438"/>
      <c r="U26" s="2438"/>
      <c r="V26" s="2438"/>
    </row>
    <row r="27" spans="1:28" ht="13.5" thickTop="1">
      <c r="A27" s="3626" t="s">
        <v>2214</v>
      </c>
      <c r="B27" s="320" t="s">
        <v>2215</v>
      </c>
      <c r="C27" s="2415" t="s">
        <v>3384</v>
      </c>
      <c r="D27" s="2416"/>
      <c r="E27" s="2663"/>
      <c r="F27" s="2663"/>
      <c r="G27" s="2663"/>
      <c r="H27" s="2663"/>
      <c r="I27" s="2663"/>
      <c r="J27" s="2438"/>
      <c r="K27" s="2616"/>
      <c r="L27" s="2450"/>
      <c r="M27" s="2450"/>
      <c r="N27" s="2508"/>
      <c r="O27" s="2450"/>
      <c r="P27" s="2508"/>
      <c r="Q27" s="2438"/>
      <c r="R27" s="2438"/>
      <c r="S27" s="2438"/>
      <c r="T27" s="2438"/>
      <c r="U27" s="2438"/>
      <c r="V27" s="2438"/>
    </row>
    <row r="28" spans="1:28">
      <c r="A28" s="3626"/>
      <c r="B28" s="302" t="s">
        <v>2216</v>
      </c>
      <c r="C28" s="2417"/>
      <c r="D28" s="2418"/>
      <c r="E28" s="2663"/>
      <c r="F28" s="2663"/>
      <c r="G28" s="2663"/>
      <c r="H28" s="2663"/>
      <c r="I28" s="2663"/>
      <c r="J28" s="2438"/>
      <c r="K28" s="2615"/>
      <c r="L28" s="2612"/>
      <c r="M28" s="2612"/>
      <c r="N28" s="2438"/>
      <c r="O28" s="2449"/>
      <c r="P28" s="2438"/>
      <c r="Q28" s="2438"/>
      <c r="R28" s="2438"/>
      <c r="S28" s="2438"/>
      <c r="T28" s="2438"/>
      <c r="U28" s="2438"/>
      <c r="V28" s="2438"/>
    </row>
    <row r="29" spans="1:28">
      <c r="A29" s="3626"/>
      <c r="B29" s="302" t="s">
        <v>2217</v>
      </c>
      <c r="C29" s="2419"/>
      <c r="D29" s="2420"/>
      <c r="E29" s="2663"/>
      <c r="F29" s="2663"/>
      <c r="G29" s="2663"/>
      <c r="H29" s="2663"/>
      <c r="I29" s="2663"/>
      <c r="J29" s="2438"/>
      <c r="K29" s="2615"/>
      <c r="L29" s="2612"/>
      <c r="M29" s="2612"/>
      <c r="N29" s="2438"/>
      <c r="O29" s="2449"/>
      <c r="P29" s="2438"/>
      <c r="Q29" s="2438"/>
      <c r="R29" s="2438"/>
      <c r="S29" s="2438"/>
      <c r="T29" s="2438"/>
      <c r="U29" s="2438"/>
      <c r="V29" s="2438"/>
    </row>
    <row r="30" spans="1:28">
      <c r="A30" s="3627"/>
      <c r="B30" s="302" t="s">
        <v>2218</v>
      </c>
      <c r="C30" s="3628"/>
      <c r="D30" s="3629"/>
      <c r="E30" s="2663"/>
      <c r="F30" s="2663"/>
      <c r="G30" s="2663"/>
      <c r="H30" s="2663"/>
      <c r="I30" s="2663"/>
      <c r="J30" s="2438"/>
      <c r="K30" s="2615"/>
      <c r="L30" s="2612"/>
      <c r="M30" s="2612"/>
      <c r="N30" s="2438"/>
      <c r="O30" s="2449"/>
      <c r="P30" s="2438"/>
      <c r="Q30" s="2438"/>
      <c r="R30" s="2438"/>
      <c r="S30" s="2438"/>
      <c r="T30" s="2438"/>
      <c r="U30" s="2438"/>
      <c r="V30" s="2438"/>
    </row>
    <row r="31" spans="1:28">
      <c r="A31" s="3630" t="s">
        <v>2219</v>
      </c>
      <c r="B31" s="2421" t="s">
        <v>3382</v>
      </c>
      <c r="C31" s="2323" t="str">
        <f>IF(B31="现房","成新及维护状况正常否",IF(B31="在建","工程状态是否正常",IF(B31="土地","是否闲置","-")))</f>
        <v>成新及维护状况正常否</v>
      </c>
      <c r="D31" s="1373"/>
      <c r="E31" s="2422"/>
      <c r="F31" s="2663"/>
      <c r="G31" s="2663"/>
      <c r="H31" s="2663"/>
      <c r="I31" s="2663"/>
      <c r="J31" s="2438"/>
      <c r="K31" s="2614"/>
      <c r="L31" s="2612"/>
      <c r="M31" s="2612"/>
      <c r="N31" s="2438"/>
      <c r="O31" s="2449"/>
      <c r="P31" s="2438"/>
      <c r="Q31" s="2438"/>
      <c r="R31" s="2438"/>
      <c r="S31" s="2438"/>
      <c r="T31" s="2438"/>
      <c r="U31" s="2438"/>
      <c r="V31" s="2438"/>
    </row>
    <row r="32" spans="1:28">
      <c r="A32" s="3631"/>
      <c r="B32" s="2421"/>
      <c r="C32" s="2323" t="str">
        <f>IF(B32="现房","成新及维护状况是否正常",IF(B32="在建","工程状态是否正常",IF(B32="土地","是否闲置","-")))</f>
        <v>-</v>
      </c>
      <c r="D32" s="1373"/>
      <c r="E32" s="2422"/>
      <c r="F32" s="2663"/>
      <c r="G32" s="2663"/>
      <c r="H32" s="2663"/>
      <c r="I32" s="2663"/>
      <c r="J32" s="2438"/>
      <c r="K32" s="2615"/>
      <c r="L32" s="2612"/>
      <c r="M32" s="2612"/>
      <c r="N32" s="2438"/>
      <c r="O32" s="2449"/>
      <c r="P32" s="2438"/>
      <c r="Q32" s="2438"/>
      <c r="R32" s="2438"/>
      <c r="S32" s="2438"/>
      <c r="T32" s="2438"/>
      <c r="U32" s="2438"/>
      <c r="V32" s="2438"/>
    </row>
    <row r="33" spans="1:30">
      <c r="A33" s="3631"/>
      <c r="B33" s="2424"/>
      <c r="C33" s="1590" t="str">
        <f>IF(B33="现房","成新及维护状况是否正常",IF(B33="在建","工程状态是否正常",IF(B33="土地","是否闲置","-")))</f>
        <v>-</v>
      </c>
      <c r="D33" s="1365"/>
      <c r="E33" s="2425"/>
      <c r="F33" s="2663"/>
      <c r="G33" s="2663"/>
      <c r="H33" s="2663"/>
      <c r="I33" s="2663"/>
      <c r="J33" s="2438"/>
      <c r="K33" s="2615"/>
      <c r="L33" s="2612"/>
      <c r="M33" s="2612"/>
      <c r="N33" s="2438"/>
      <c r="O33" s="2449"/>
      <c r="P33" s="2438"/>
      <c r="Q33" s="2438"/>
      <c r="R33" s="2438"/>
      <c r="S33" s="2438"/>
      <c r="T33" s="2438"/>
      <c r="U33" s="2438"/>
      <c r="V33" s="2438"/>
    </row>
    <row r="34" spans="1:30">
      <c r="A34" s="302" t="s">
        <v>2220</v>
      </c>
      <c r="B34" s="2026"/>
      <c r="C34" s="2026"/>
      <c r="D34" s="2026"/>
      <c r="E34" s="2026"/>
      <c r="F34" s="2026"/>
      <c r="G34" s="2026"/>
      <c r="H34" s="2026"/>
      <c r="I34" s="2663"/>
      <c r="J34" s="2438"/>
      <c r="K34" s="2426">
        <f>COUNTIF(B34:H34,"——")</f>
        <v>0</v>
      </c>
      <c r="L34" s="323" t="s">
        <v>2221</v>
      </c>
      <c r="M34" s="323" t="s">
        <v>2222</v>
      </c>
      <c r="N34" s="323" t="s">
        <v>2223</v>
      </c>
      <c r="O34" s="323" t="s">
        <v>2224</v>
      </c>
      <c r="P34" s="323" t="s">
        <v>2225</v>
      </c>
      <c r="Q34" s="323" t="s">
        <v>2226</v>
      </c>
      <c r="R34" s="323" t="s">
        <v>2227</v>
      </c>
      <c r="S34" s="3625" t="s">
        <v>2228</v>
      </c>
      <c r="T34" s="2427" t="str">
        <f>NUMBERSTRING(7-K34,1)&amp;"通"</f>
        <v>七通</v>
      </c>
      <c r="U34" s="2438"/>
      <c r="V34" s="2438"/>
    </row>
    <row r="35" spans="1:30">
      <c r="A35" s="2428"/>
      <c r="B35" s="3632" t="s">
        <v>2229</v>
      </c>
      <c r="C35" s="3632"/>
      <c r="D35" s="3632"/>
      <c r="E35" s="3632"/>
      <c r="F35" s="664">
        <f>C10</f>
        <v>0</v>
      </c>
      <c r="G35" s="2663"/>
      <c r="H35" s="2663"/>
      <c r="I35" s="2663"/>
      <c r="J35" s="2438"/>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625"/>
      <c r="T35" s="329" t="str">
        <f>IF(T34="一通",L35,IF(T34="二通",M35,IF(T34="三通",N35,IF(T34="四通",O35,IF(T34="五通",P35,IF(T34="六通",Q35,R35))))))</f>
        <v>、、、、、、</v>
      </c>
      <c r="U35" s="2438"/>
      <c r="V35" s="2438"/>
    </row>
    <row r="36" spans="1:30">
      <c r="A36" s="2429"/>
      <c r="B36" s="664" t="s">
        <v>2185</v>
      </c>
      <c r="C36" s="664" t="s">
        <v>2186</v>
      </c>
      <c r="D36" s="664" t="s">
        <v>2184</v>
      </c>
      <c r="E36" s="664" t="s">
        <v>2189</v>
      </c>
      <c r="F36" s="3064" t="s">
        <v>2582</v>
      </c>
      <c r="G36" s="2663"/>
      <c r="H36" s="2663"/>
      <c r="I36" s="2663"/>
      <c r="J36" s="2438"/>
      <c r="K36" s="2615"/>
      <c r="L36" s="2612"/>
      <c r="M36" s="2612"/>
      <c r="N36" s="2438"/>
      <c r="O36" s="2449"/>
      <c r="P36" s="2438"/>
      <c r="Q36" s="2438"/>
      <c r="R36" s="2438"/>
      <c r="S36" s="2438"/>
      <c r="T36" s="2438"/>
      <c r="U36" s="2438"/>
      <c r="V36" s="2438"/>
    </row>
    <row r="37" spans="1:30">
      <c r="A37" s="2629" t="s">
        <v>2230</v>
      </c>
      <c r="B37" s="2430" t="s">
        <v>296</v>
      </c>
      <c r="C37" s="2430"/>
      <c r="D37" s="2430"/>
      <c r="E37" s="2430"/>
      <c r="F37" s="2430"/>
      <c r="G37" s="2663"/>
      <c r="H37" s="2663"/>
      <c r="I37" s="2663"/>
      <c r="J37" s="2438"/>
      <c r="K37" s="2615"/>
      <c r="L37" s="2612"/>
      <c r="M37" s="2612"/>
      <c r="N37" s="2438"/>
      <c r="O37" s="2449"/>
      <c r="P37" s="2438"/>
      <c r="Q37" s="2438"/>
      <c r="R37" s="2438"/>
      <c r="S37" s="2438"/>
      <c r="T37" s="2438"/>
      <c r="U37" s="2438"/>
      <c r="V37" s="2438"/>
    </row>
    <row r="38" spans="1:30" ht="13.5" thickBot="1">
      <c r="A38" s="2630" t="s">
        <v>2231</v>
      </c>
      <c r="B38" s="2431" t="s">
        <v>2935</v>
      </c>
      <c r="C38" s="2431"/>
      <c r="D38" s="2431"/>
      <c r="E38" s="2431"/>
      <c r="F38" s="2431"/>
      <c r="G38" s="2664"/>
      <c r="H38" s="2664"/>
      <c r="I38" s="2664"/>
      <c r="J38" s="2438"/>
      <c r="K38" s="2615"/>
      <c r="L38" s="2612"/>
      <c r="M38" s="2612"/>
      <c r="N38" s="2438"/>
      <c r="O38" s="2449"/>
      <c r="P38" s="2438"/>
      <c r="Q38" s="2438"/>
      <c r="R38" s="2438"/>
      <c r="S38" s="2438"/>
      <c r="T38" s="2438"/>
      <c r="U38" s="2438"/>
      <c r="V38" s="2438"/>
    </row>
    <row r="39" spans="1:30" s="2434" customFormat="1" ht="14.25" thickTop="1" thickBot="1">
      <c r="A39" s="2432" t="s">
        <v>2232</v>
      </c>
      <c r="B39" s="2433"/>
      <c r="C39" s="2433"/>
      <c r="D39" s="2433"/>
      <c r="E39" s="2433"/>
      <c r="F39" s="2433"/>
      <c r="G39" s="2433"/>
      <c r="H39" s="2433"/>
      <c r="I39" s="2433"/>
      <c r="J39" s="2621"/>
      <c r="K39" s="2622"/>
      <c r="L39" s="2621"/>
      <c r="M39" s="2621"/>
      <c r="N39" s="2621"/>
      <c r="O39" s="2623"/>
      <c r="P39" s="2621"/>
      <c r="Q39" s="2621"/>
      <c r="R39" s="2621"/>
      <c r="S39" s="2621"/>
      <c r="T39" s="2621"/>
      <c r="U39" s="2621"/>
      <c r="V39" s="2621"/>
      <c r="W39" s="2624"/>
      <c r="X39" s="2624"/>
      <c r="Y39" s="2624"/>
      <c r="Z39" s="2624"/>
      <c r="AA39" s="2624"/>
      <c r="AB39" s="2624"/>
      <c r="AC39" s="2624"/>
      <c r="AD39" s="2624"/>
    </row>
    <row r="40" spans="1:30">
      <c r="A40" s="2370"/>
      <c r="B40" s="2370"/>
      <c r="C40" s="2370"/>
      <c r="D40" s="2370"/>
      <c r="E40" s="2370"/>
      <c r="F40" s="2370"/>
      <c r="G40" s="2370"/>
      <c r="H40" s="2370"/>
      <c r="I40" s="1578"/>
      <c r="J40" s="2508"/>
      <c r="K40" s="2614"/>
      <c r="L40" s="2450"/>
      <c r="M40" s="2450"/>
      <c r="N40" s="2508"/>
      <c r="O40" s="2450"/>
      <c r="P40" s="2438"/>
      <c r="Q40" s="2438"/>
      <c r="R40" s="2438"/>
      <c r="S40" s="2438"/>
      <c r="T40" s="2438"/>
      <c r="U40" s="2438"/>
      <c r="V40" s="2438"/>
    </row>
    <row r="41" spans="1:30">
      <c r="A41" s="2435" t="s">
        <v>2233</v>
      </c>
      <c r="B41" s="1757"/>
      <c r="C41" s="1373"/>
      <c r="D41" s="2370"/>
      <c r="E41" s="2370"/>
      <c r="F41" s="2370"/>
      <c r="G41" s="2370"/>
      <c r="H41" s="2370"/>
      <c r="I41" s="1576"/>
      <c r="J41" s="2438"/>
      <c r="K41" s="2615"/>
      <c r="L41" s="2612"/>
      <c r="M41" s="2612"/>
      <c r="N41" s="2438"/>
      <c r="O41" s="2449"/>
      <c r="P41" s="2438"/>
      <c r="Q41" s="2438"/>
      <c r="R41" s="2438"/>
      <c r="S41" s="2438"/>
      <c r="T41" s="2438"/>
      <c r="U41" s="2438"/>
      <c r="V41" s="2438"/>
    </row>
    <row r="42" spans="1:30" ht="25.5">
      <c r="A42" s="323" t="s">
        <v>2234</v>
      </c>
      <c r="B42" s="8" t="s">
        <v>2235</v>
      </c>
      <c r="C42" s="8" t="s">
        <v>2236</v>
      </c>
      <c r="D42" s="8" t="s">
        <v>2237</v>
      </c>
      <c r="E42" s="8" t="s">
        <v>2238</v>
      </c>
      <c r="F42" s="8" t="s">
        <v>2239</v>
      </c>
      <c r="G42" s="8" t="s">
        <v>2240</v>
      </c>
      <c r="H42" s="8" t="s">
        <v>2241</v>
      </c>
      <c r="I42" s="8" t="s">
        <v>2242</v>
      </c>
      <c r="J42" s="2625" t="s">
        <v>2243</v>
      </c>
      <c r="K42" s="2626" t="s">
        <v>2244</v>
      </c>
      <c r="L42" s="2626" t="s">
        <v>2245</v>
      </c>
      <c r="M42" s="2626" t="s">
        <v>2246</v>
      </c>
      <c r="N42" s="2619" t="s">
        <v>2247</v>
      </c>
      <c r="O42" s="2619" t="s">
        <v>2248</v>
      </c>
      <c r="P42" s="2619" t="s">
        <v>2249</v>
      </c>
      <c r="Q42" s="2620" t="s">
        <v>2250</v>
      </c>
      <c r="R42" s="2620" t="s">
        <v>2251</v>
      </c>
      <c r="S42" s="2438"/>
      <c r="T42" s="2438"/>
      <c r="U42" s="2438"/>
      <c r="V42" s="2438"/>
    </row>
    <row r="43" spans="1:30" s="1743" customFormat="1">
      <c r="A43" s="1570"/>
      <c r="B43" s="1051"/>
      <c r="C43" s="1051"/>
      <c r="D43" s="1051"/>
      <c r="E43" s="1051"/>
      <c r="F43" s="1051"/>
      <c r="G43" s="1051"/>
      <c r="H43" s="1051"/>
      <c r="I43" s="1051"/>
      <c r="J43" s="2436"/>
      <c r="K43" s="2437"/>
      <c r="L43" s="2437"/>
      <c r="M43" s="1051"/>
      <c r="N43" s="1051"/>
      <c r="O43" s="1051"/>
      <c r="P43" s="1051"/>
      <c r="Q43" s="1051"/>
      <c r="R43" s="1051"/>
      <c r="S43" s="2438"/>
      <c r="T43" s="2438"/>
      <c r="U43" s="2438"/>
      <c r="V43" s="2438"/>
    </row>
    <row r="44" spans="1:30" s="1743" customFormat="1">
      <c r="A44" s="1570"/>
      <c r="B44" s="1570"/>
      <c r="C44" s="1051"/>
      <c r="D44" s="1051"/>
      <c r="E44" s="1051"/>
      <c r="F44" s="1051"/>
      <c r="G44" s="1051"/>
      <c r="H44" s="1051"/>
      <c r="I44" s="1051"/>
      <c r="J44" s="2436"/>
      <c r="K44" s="2437"/>
      <c r="L44" s="2437"/>
      <c r="M44" s="1051"/>
      <c r="N44" s="1051"/>
      <c r="O44" s="1051"/>
      <c r="P44" s="1051"/>
      <c r="Q44" s="1051"/>
      <c r="R44" s="1051"/>
      <c r="S44" s="2438"/>
      <c r="T44" s="2438"/>
      <c r="U44" s="2438"/>
      <c r="V44" s="2438"/>
    </row>
    <row r="45" spans="1:30" s="1743" customFormat="1">
      <c r="A45" s="1570"/>
      <c r="B45" s="1570"/>
      <c r="C45" s="1051"/>
      <c r="D45" s="1051"/>
      <c r="E45" s="1051"/>
      <c r="F45" s="1051"/>
      <c r="G45" s="1051"/>
      <c r="H45" s="1051"/>
      <c r="I45" s="1051"/>
      <c r="J45" s="2436"/>
      <c r="K45" s="2437"/>
      <c r="L45" s="2437"/>
      <c r="M45" s="1051"/>
      <c r="N45" s="1051"/>
      <c r="O45" s="1051"/>
      <c r="P45" s="1051"/>
      <c r="Q45" s="1051"/>
      <c r="R45" s="1051"/>
      <c r="S45" s="2438"/>
      <c r="T45" s="2438"/>
      <c r="U45" s="2438"/>
      <c r="V45" s="2438"/>
    </row>
    <row r="46" spans="1:30" s="1743" customFormat="1">
      <c r="A46" s="1570"/>
      <c r="B46" s="1570"/>
      <c r="C46" s="1051"/>
      <c r="D46" s="1051"/>
      <c r="E46" s="1051"/>
      <c r="F46" s="1051"/>
      <c r="G46" s="1051"/>
      <c r="H46" s="1051"/>
      <c r="I46" s="1051"/>
      <c r="J46" s="2436"/>
      <c r="K46" s="2437"/>
      <c r="L46" s="2437"/>
      <c r="M46" s="1051"/>
      <c r="N46" s="1051"/>
      <c r="O46" s="1051"/>
      <c r="P46" s="1051"/>
      <c r="Q46" s="1051"/>
      <c r="R46" s="1051"/>
      <c r="S46" s="2438"/>
      <c r="T46" s="2438"/>
      <c r="U46" s="2438"/>
      <c r="V46" s="2438"/>
    </row>
    <row r="47" spans="1:30" s="1743" customFormat="1">
      <c r="A47" s="1570"/>
      <c r="B47" s="1570"/>
      <c r="C47" s="1051"/>
      <c r="D47" s="1051"/>
      <c r="E47" s="1051"/>
      <c r="F47" s="1051"/>
      <c r="G47" s="1051"/>
      <c r="H47" s="1051"/>
      <c r="I47" s="1051"/>
      <c r="J47" s="2436"/>
      <c r="K47" s="2437"/>
      <c r="L47" s="2437"/>
      <c r="M47" s="1051"/>
      <c r="N47" s="1051"/>
      <c r="O47" s="1051"/>
      <c r="P47" s="1051"/>
      <c r="Q47" s="1051"/>
      <c r="R47" s="1051"/>
      <c r="S47" s="2438"/>
      <c r="T47" s="2438"/>
      <c r="U47" s="2438"/>
      <c r="V47" s="2438"/>
    </row>
    <row r="48" spans="1:30" s="1743" customFormat="1">
      <c r="A48" s="1570"/>
      <c r="B48" s="1570"/>
      <c r="C48" s="1051"/>
      <c r="D48" s="1051"/>
      <c r="E48" s="1051"/>
      <c r="F48" s="1051"/>
      <c r="G48" s="1051"/>
      <c r="H48" s="1051"/>
      <c r="I48" s="1051"/>
      <c r="J48" s="2436"/>
      <c r="K48" s="2437"/>
      <c r="L48" s="2437"/>
      <c r="M48" s="1051"/>
      <c r="N48" s="1051"/>
      <c r="O48" s="1051"/>
      <c r="P48" s="1051"/>
      <c r="Q48" s="1051"/>
      <c r="R48" s="1051"/>
      <c r="S48" s="2438"/>
      <c r="T48" s="2438"/>
      <c r="U48" s="2438"/>
      <c r="V48" s="2438"/>
    </row>
    <row r="49" spans="1:22" s="1743" customFormat="1">
      <c r="A49" s="1570"/>
      <c r="B49" s="1570"/>
      <c r="C49" s="1051"/>
      <c r="D49" s="1051"/>
      <c r="E49" s="1051"/>
      <c r="F49" s="1051"/>
      <c r="G49" s="1051"/>
      <c r="H49" s="1051"/>
      <c r="I49" s="1051"/>
      <c r="J49" s="2436"/>
      <c r="K49" s="2437"/>
      <c r="L49" s="2437"/>
      <c r="M49" s="1051"/>
      <c r="N49" s="1051"/>
      <c r="O49" s="1051"/>
      <c r="P49" s="1051"/>
      <c r="Q49" s="1051"/>
      <c r="R49" s="1051"/>
      <c r="S49" s="2438"/>
      <c r="T49" s="2438"/>
      <c r="U49" s="2438"/>
      <c r="V49" s="2438"/>
    </row>
    <row r="50" spans="1:22" s="1743" customFormat="1">
      <c r="A50" s="1570"/>
      <c r="B50" s="1570"/>
      <c r="C50" s="1051"/>
      <c r="D50" s="1051"/>
      <c r="E50" s="1051"/>
      <c r="F50" s="1051"/>
      <c r="G50" s="1051"/>
      <c r="H50" s="1051"/>
      <c r="I50" s="1051"/>
      <c r="J50" s="2436"/>
      <c r="K50" s="2437"/>
      <c r="L50" s="2437"/>
      <c r="M50" s="1051"/>
      <c r="N50" s="1051"/>
      <c r="O50" s="1051"/>
      <c r="P50" s="1051"/>
      <c r="Q50" s="1051"/>
      <c r="R50" s="1051"/>
      <c r="S50" s="2438"/>
      <c r="T50" s="2438"/>
      <c r="U50" s="2438"/>
      <c r="V50" s="2438"/>
    </row>
    <row r="51" spans="1:22" s="1743" customFormat="1">
      <c r="A51" s="1570"/>
      <c r="B51" s="1570"/>
      <c r="C51" s="1051"/>
      <c r="D51" s="1051"/>
      <c r="E51" s="1051"/>
      <c r="F51" s="1051"/>
      <c r="G51" s="1051"/>
      <c r="H51" s="1051"/>
      <c r="I51" s="1051"/>
      <c r="J51" s="2436"/>
      <c r="K51" s="2437"/>
      <c r="L51" s="2437"/>
      <c r="M51" s="1051"/>
      <c r="N51" s="1051"/>
      <c r="O51" s="1051"/>
      <c r="P51" s="1051"/>
      <c r="Q51" s="1051"/>
      <c r="R51" s="1051"/>
    </row>
    <row r="52" spans="1:22" s="1743" customFormat="1">
      <c r="A52" s="1570"/>
      <c r="B52" s="1570"/>
      <c r="C52" s="1570"/>
      <c r="D52" s="1570"/>
      <c r="E52" s="1570"/>
      <c r="F52" s="1051"/>
      <c r="G52" s="1570"/>
      <c r="H52" s="1570"/>
      <c r="I52" s="1570"/>
      <c r="J52" s="2439"/>
      <c r="K52" s="2437"/>
      <c r="L52" s="2437"/>
      <c r="M52" s="2437"/>
      <c r="N52" s="1570"/>
      <c r="O52" s="1570"/>
      <c r="P52" s="1570"/>
      <c r="Q52" s="1570"/>
      <c r="R52" s="1570"/>
    </row>
    <row r="53" spans="1:22" s="1743" customFormat="1">
      <c r="A53" s="1570"/>
      <c r="B53" s="1570"/>
      <c r="C53" s="1570"/>
      <c r="D53" s="1570"/>
      <c r="E53" s="1570"/>
      <c r="F53" s="1051"/>
      <c r="G53" s="1570"/>
      <c r="H53" s="1570"/>
      <c r="I53" s="1570"/>
      <c r="J53" s="2439"/>
      <c r="K53" s="2437"/>
      <c r="L53" s="2437"/>
      <c r="M53" s="2437"/>
      <c r="N53" s="1570"/>
      <c r="O53" s="1570"/>
      <c r="P53" s="1570"/>
      <c r="Q53" s="1570"/>
      <c r="R53" s="1570"/>
    </row>
    <row r="54" spans="1:22" s="1743" customFormat="1">
      <c r="A54" s="1570"/>
      <c r="B54" s="1570"/>
      <c r="C54" s="1570"/>
      <c r="D54" s="1570"/>
      <c r="E54" s="1570"/>
      <c r="F54" s="1051"/>
      <c r="G54" s="1570"/>
      <c r="H54" s="1570"/>
      <c r="I54" s="1570"/>
      <c r="J54" s="2439"/>
      <c r="K54" s="2437"/>
      <c r="L54" s="2437"/>
      <c r="M54" s="2437"/>
      <c r="N54" s="1570"/>
      <c r="O54" s="1570"/>
      <c r="P54" s="1570"/>
      <c r="Q54" s="1570"/>
      <c r="R54" s="1570"/>
    </row>
    <row r="55" spans="1:22" s="1743" customFormat="1">
      <c r="A55" s="1570"/>
      <c r="B55" s="1570"/>
      <c r="C55" s="1570"/>
      <c r="D55" s="1570"/>
      <c r="E55" s="1570"/>
      <c r="F55" s="1051"/>
      <c r="G55" s="1570"/>
      <c r="H55" s="1570"/>
      <c r="I55" s="1570"/>
      <c r="J55" s="2439"/>
      <c r="K55" s="2437"/>
      <c r="L55" s="2437"/>
      <c r="M55" s="2437"/>
      <c r="N55" s="1570"/>
      <c r="O55" s="1570"/>
      <c r="P55" s="1570"/>
      <c r="Q55" s="1570"/>
      <c r="R55" s="1570"/>
    </row>
    <row r="56" spans="1:22" s="1743" customFormat="1">
      <c r="A56" s="1570"/>
      <c r="B56" s="1570"/>
      <c r="C56" s="1570"/>
      <c r="D56" s="1570"/>
      <c r="E56" s="1570"/>
      <c r="F56" s="1051"/>
      <c r="G56" s="1570"/>
      <c r="H56" s="1570"/>
      <c r="I56" s="1570"/>
      <c r="J56" s="2439"/>
      <c r="K56" s="2437"/>
      <c r="L56" s="2437"/>
      <c r="M56" s="2437"/>
      <c r="N56" s="1570"/>
      <c r="O56" s="1570"/>
      <c r="P56" s="1570"/>
      <c r="Q56" s="1570"/>
      <c r="R56" s="1570"/>
    </row>
  </sheetData>
  <sheetProtection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M14" sqref="M14"/>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4" width="9.5" style="1573" customWidth="1"/>
    <col min="15" max="15" width="9.875" style="1573" customWidth="1"/>
    <col min="16" max="16" width="9.75" style="1573" customWidth="1"/>
    <col min="17" max="17" width="9.375" style="1573" customWidth="1"/>
    <col min="18" max="18" width="9.25" style="1573" customWidth="1"/>
    <col min="19" max="19" width="10.875" style="1573" customWidth="1"/>
    <col min="20" max="21" width="10.75" style="1573" customWidth="1"/>
    <col min="22" max="22" width="10.875" style="1573" customWidth="1"/>
    <col min="23" max="27" width="10.75" style="1573" customWidth="1"/>
    <col min="28" max="28" width="10.875" style="1573"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1062</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1063</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1064</v>
      </c>
      <c r="B2" s="8" t="s">
        <v>1065</v>
      </c>
      <c r="C2" s="8" t="s">
        <v>1066</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1067</v>
      </c>
      <c r="AZ2" s="1049" t="s">
        <v>1068</v>
      </c>
      <c r="BA2" s="8" t="s">
        <v>1069</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f>面积明细!M11</f>
        <v>11881.761243140476</v>
      </c>
      <c r="B3" s="11">
        <f>IF(C3="否",G5-AT5,G5)</f>
        <v>51034.460000000006</v>
      </c>
      <c r="C3" s="1580" t="s">
        <v>1070</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1071</v>
      </c>
      <c r="B5" s="1347"/>
      <c r="C5" s="1347"/>
      <c r="D5" s="1349"/>
      <c r="E5" s="13" t="s">
        <v>0</v>
      </c>
      <c r="F5" s="13">
        <f>SUM(F13:F587)</f>
        <v>0</v>
      </c>
      <c r="G5" s="13">
        <f>SUM(G13:G587)</f>
        <v>51034.460000000006</v>
      </c>
      <c r="H5" s="13">
        <f t="shared" ref="H5:AT5" si="0">SUM(H13:H656)</f>
        <v>51034.460000000006</v>
      </c>
      <c r="I5" s="13">
        <f t="shared" si="0"/>
        <v>31541.83</v>
      </c>
      <c r="J5" s="13">
        <f t="shared" si="0"/>
        <v>0</v>
      </c>
      <c r="K5" s="13">
        <f t="shared" si="0"/>
        <v>8338.8700000000008</v>
      </c>
      <c r="L5" s="13">
        <f t="shared" si="0"/>
        <v>0</v>
      </c>
      <c r="M5" s="13">
        <f t="shared" si="0"/>
        <v>11153.76</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1071</v>
      </c>
      <c r="AW5" s="1347"/>
      <c r="AX5" s="1347"/>
      <c r="AY5" s="14" t="s">
        <v>2</v>
      </c>
      <c r="AZ5" s="15">
        <f t="shared" ref="AZ5:BT5" si="1">SUM(AZ13:AZ656)</f>
        <v>51034.460000000006</v>
      </c>
      <c r="BA5" s="15">
        <f t="shared" si="1"/>
        <v>51034.460000000006</v>
      </c>
      <c r="BB5" s="15">
        <f t="shared" si="1"/>
        <v>31541.83</v>
      </c>
      <c r="BC5" s="15">
        <f t="shared" si="1"/>
        <v>8338.8700000000008</v>
      </c>
      <c r="BD5" s="15">
        <f t="shared" si="1"/>
        <v>11153.76</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1072</v>
      </c>
      <c r="B6" s="1586"/>
      <c r="C6" s="1586"/>
      <c r="D6" s="1587"/>
      <c r="E6" s="13">
        <f>H6+AC6+AT6</f>
        <v>11881.760000000002</v>
      </c>
      <c r="F6" s="13" t="s">
        <v>0</v>
      </c>
      <c r="G6" s="13" t="s">
        <v>1</v>
      </c>
      <c r="H6" s="17">
        <f>SUMIF(I$12:AB$12,"总值",I6:AB6)</f>
        <v>11881.760000000002</v>
      </c>
      <c r="I6" s="13">
        <f t="shared" ref="I6:AB6" si="2">ROUND($A$3*I5/$B$3,2)</f>
        <v>7343.52</v>
      </c>
      <c r="J6" s="13">
        <f t="shared" si="2"/>
        <v>0</v>
      </c>
      <c r="K6" s="13">
        <f t="shared" si="2"/>
        <v>1941.44</v>
      </c>
      <c r="L6" s="13">
        <f t="shared" si="2"/>
        <v>0</v>
      </c>
      <c r="M6" s="13">
        <f t="shared" si="2"/>
        <v>2596.8000000000002</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1072</v>
      </c>
      <c r="AW6" s="1586"/>
      <c r="AX6" s="1586"/>
      <c r="AY6" s="18">
        <f>IF(AY3&gt;0,AY3,ROUND($A$3*AZ5/$B$3,2))</f>
        <v>11881.76</v>
      </c>
      <c r="AZ6" s="13" t="s">
        <v>2</v>
      </c>
      <c r="BA6" s="13">
        <f>ROUND($AY$6*BA5/$AZ$5,2)</f>
        <v>11881.76</v>
      </c>
      <c r="BB6" s="13">
        <f>ROUND($AY$6*BB5/$AZ$5,2)</f>
        <v>7343.52</v>
      </c>
      <c r="BC6" s="13">
        <f t="shared" ref="BC6:BH6" si="4">ROUND($AY$6*BC5/$AZ$5,2)</f>
        <v>1941.44</v>
      </c>
      <c r="BD6" s="13">
        <f t="shared" si="4"/>
        <v>2596.8000000000002</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1073</v>
      </c>
      <c r="B7" s="1569" t="s">
        <v>1074</v>
      </c>
      <c r="C7" s="1569" t="s">
        <v>1075</v>
      </c>
      <c r="D7" s="1569" t="s">
        <v>1076</v>
      </c>
      <c r="E7" s="1569" t="s">
        <v>1077</v>
      </c>
      <c r="F7" s="1569" t="s">
        <v>1078</v>
      </c>
      <c r="G7" s="1590" t="s">
        <v>1079</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1080</v>
      </c>
      <c r="AV7" s="20" t="s">
        <v>1081</v>
      </c>
      <c r="AW7" s="1578" t="s">
        <v>1082</v>
      </c>
      <c r="AX7" s="20" t="s">
        <v>1075</v>
      </c>
      <c r="AY7" s="1347" t="s">
        <v>1083</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1084</v>
      </c>
      <c r="H8" s="1596" t="s">
        <v>1085</v>
      </c>
      <c r="I8" s="1597"/>
      <c r="J8" s="1360"/>
      <c r="K8" s="1360"/>
      <c r="L8" s="1360"/>
      <c r="M8" s="1360"/>
      <c r="N8" s="1360"/>
      <c r="O8" s="1360"/>
      <c r="P8" s="1360"/>
      <c r="Q8" s="1360"/>
      <c r="R8" s="1360"/>
      <c r="S8" s="1360"/>
      <c r="T8" s="1360"/>
      <c r="U8" s="1360"/>
      <c r="V8" s="1598"/>
      <c r="W8" s="1360"/>
      <c r="X8" s="1360"/>
      <c r="Y8" s="1360"/>
      <c r="Z8" s="1360"/>
      <c r="AA8" s="1598"/>
      <c r="AB8" s="1599"/>
      <c r="AC8" s="809" t="s">
        <v>1086</v>
      </c>
      <c r="AD8" s="1600"/>
      <c r="AE8" s="1592"/>
      <c r="AF8" s="1360"/>
      <c r="AG8" s="1360"/>
      <c r="AH8" s="1360"/>
      <c r="AI8" s="1360"/>
      <c r="AJ8" s="1360"/>
      <c r="AK8" s="1360"/>
      <c r="AL8" s="1360"/>
      <c r="AM8" s="1360"/>
      <c r="AN8" s="1360"/>
      <c r="AO8" s="1360"/>
      <c r="AP8" s="1360"/>
      <c r="AQ8" s="1360"/>
      <c r="AR8" s="1360"/>
      <c r="AS8" s="1360"/>
      <c r="AT8" s="1070" t="s">
        <v>1087</v>
      </c>
      <c r="AU8" s="1594" t="s">
        <v>1088</v>
      </c>
      <c r="AV8" s="1070"/>
      <c r="AW8" s="1577"/>
      <c r="AX8" s="1070"/>
      <c r="AY8" s="1578" t="s">
        <v>1089</v>
      </c>
      <c r="AZ8" s="1359" t="s">
        <v>1090</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1091</v>
      </c>
      <c r="I9" s="1603" t="s">
        <v>3393</v>
      </c>
      <c r="J9" s="809"/>
      <c r="K9" s="1603" t="s">
        <v>3392</v>
      </c>
      <c r="L9" s="809"/>
      <c r="M9" s="1603" t="s">
        <v>3392</v>
      </c>
      <c r="N9" s="809"/>
      <c r="O9" s="1603"/>
      <c r="P9" s="809"/>
      <c r="Q9" s="1603"/>
      <c r="R9" s="809"/>
      <c r="S9" s="1603"/>
      <c r="T9" s="809"/>
      <c r="U9" s="1603"/>
      <c r="V9" s="809"/>
      <c r="W9" s="1603"/>
      <c r="X9" s="1604"/>
      <c r="Y9" s="1603"/>
      <c r="Z9" s="809"/>
      <c r="AA9" s="1603"/>
      <c r="AB9" s="809"/>
      <c r="AC9" s="1595"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5"/>
      <c r="AT9" s="1594"/>
      <c r="AU9" s="1594" t="s">
        <v>1094</v>
      </c>
      <c r="AV9" s="1070"/>
      <c r="AW9" s="1577"/>
      <c r="AX9" s="1070"/>
      <c r="AY9" s="25"/>
      <c r="AZ9" s="25" t="s">
        <v>1084</v>
      </c>
      <c r="BA9" s="1606" t="s">
        <v>1095</v>
      </c>
      <c r="BB9" s="1607"/>
      <c r="BC9" s="1088"/>
      <c r="BD9" s="1088"/>
      <c r="BE9" s="1088"/>
      <c r="BF9" s="1088"/>
      <c r="BG9" s="1088"/>
      <c r="BH9" s="1088"/>
      <c r="BI9" s="1088"/>
      <c r="BJ9" s="1088"/>
      <c r="BK9" s="1608"/>
      <c r="BL9" s="12" t="s">
        <v>1096</v>
      </c>
      <c r="BM9" s="1360"/>
      <c r="BN9" s="1597"/>
      <c r="BO9" s="1360"/>
      <c r="BP9" s="1360"/>
      <c r="BQ9" s="1360"/>
      <c r="BR9" s="1360"/>
      <c r="BS9" s="1360"/>
      <c r="BT9" s="23"/>
    </row>
    <row r="10" spans="1:72" s="1601" customFormat="1" ht="12.75">
      <c r="A10" s="1594"/>
      <c r="B10" s="1594"/>
      <c r="C10" s="1594"/>
      <c r="D10" s="1594"/>
      <c r="E10" s="1594"/>
      <c r="F10" s="1594"/>
      <c r="G10" s="1070"/>
      <c r="H10" s="25"/>
      <c r="I10" s="1603" t="s">
        <v>673</v>
      </c>
      <c r="J10" s="809"/>
      <c r="K10" s="1609" t="s">
        <v>3340</v>
      </c>
      <c r="L10" s="809"/>
      <c r="M10" s="1609" t="s">
        <v>3340</v>
      </c>
      <c r="N10" s="809"/>
      <c r="O10" s="1609"/>
      <c r="P10" s="809"/>
      <c r="Q10" s="1609"/>
      <c r="R10" s="809"/>
      <c r="S10" s="1609"/>
      <c r="T10" s="809"/>
      <c r="U10" s="1609"/>
      <c r="V10" s="809"/>
      <c r="W10" s="1609"/>
      <c r="X10" s="809"/>
      <c r="Y10" s="1609"/>
      <c r="Z10" s="809"/>
      <c r="AA10" s="1609"/>
      <c r="AB10" s="809"/>
      <c r="AC10" s="1070"/>
      <c r="AD10" s="12" t="s">
        <v>1097</v>
      </c>
      <c r="AE10" s="1610"/>
      <c r="AF10" s="12" t="s">
        <v>1097</v>
      </c>
      <c r="AG10" s="1610"/>
      <c r="AH10" s="12" t="s">
        <v>1098</v>
      </c>
      <c r="AI10" s="1610"/>
      <c r="AJ10" s="12" t="s">
        <v>1098</v>
      </c>
      <c r="AK10" s="1610"/>
      <c r="AL10" s="12" t="s">
        <v>1099</v>
      </c>
      <c r="AM10" s="1076"/>
      <c r="AN10" s="12" t="s">
        <v>1099</v>
      </c>
      <c r="AO10" s="1076"/>
      <c r="AP10" s="12" t="s">
        <v>1100</v>
      </c>
      <c r="AQ10" s="1076"/>
      <c r="AR10" s="12" t="s">
        <v>1100</v>
      </c>
      <c r="AS10" s="1076"/>
      <c r="AT10" s="1594"/>
      <c r="AU10" s="1594"/>
      <c r="AV10" s="1070"/>
      <c r="AW10" s="1577"/>
      <c r="AX10" s="1070"/>
      <c r="AY10" s="25"/>
      <c r="AZ10" s="25"/>
      <c r="BA10" s="1611" t="s">
        <v>1091</v>
      </c>
      <c r="BB10" s="1612" t="str">
        <f>I9</f>
        <v>地上</v>
      </c>
      <c r="BC10" s="26" t="str">
        <f>K9</f>
        <v>地下</v>
      </c>
      <c r="BD10" s="26" t="str">
        <f>M9</f>
        <v>地下</v>
      </c>
      <c r="BE10" s="26">
        <f>O9</f>
        <v>0</v>
      </c>
      <c r="BF10" s="26">
        <f>Q9</f>
        <v>0</v>
      </c>
      <c r="BG10" s="26">
        <f>S9</f>
        <v>0</v>
      </c>
      <c r="BH10" s="26">
        <f>U9</f>
        <v>0</v>
      </c>
      <c r="BI10" s="26">
        <f>W9</f>
        <v>0</v>
      </c>
      <c r="BJ10" s="26">
        <f>Y9</f>
        <v>0</v>
      </c>
      <c r="BK10" s="26">
        <f>AA9</f>
        <v>0</v>
      </c>
      <c r="BL10" s="22" t="s">
        <v>1091</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t="s">
        <v>3402</v>
      </c>
      <c r="J11" s="1615"/>
      <c r="K11" s="1614" t="s">
        <v>3402</v>
      </c>
      <c r="L11" s="1615"/>
      <c r="M11" s="1614" t="s">
        <v>3340</v>
      </c>
      <c r="N11" s="1615"/>
      <c r="O11" s="1614"/>
      <c r="P11" s="1615"/>
      <c r="Q11" s="1614"/>
      <c r="R11" s="1615"/>
      <c r="S11" s="1614"/>
      <c r="T11" s="1615"/>
      <c r="U11" s="1614"/>
      <c r="V11" s="1615"/>
      <c r="W11" s="1614"/>
      <c r="X11" s="1615"/>
      <c r="Y11" s="1614"/>
      <c r="Z11" s="1615"/>
      <c r="AA11" s="1614"/>
      <c r="AB11" s="1615"/>
      <c r="AC11" s="1070"/>
      <c r="AD11" s="1616" t="s">
        <v>1101</v>
      </c>
      <c r="AE11" s="1361"/>
      <c r="AF11" s="1616" t="s">
        <v>1101</v>
      </c>
      <c r="AG11" s="1361"/>
      <c r="AH11" s="1616" t="s">
        <v>1102</v>
      </c>
      <c r="AI11" s="1617"/>
      <c r="AJ11" s="1616" t="s">
        <v>1102</v>
      </c>
      <c r="AK11" s="1361"/>
      <c r="AL11" s="1359"/>
      <c r="AM11" s="1361"/>
      <c r="AN11" s="1359"/>
      <c r="AO11" s="1361"/>
      <c r="AP11" s="1359"/>
      <c r="AQ11" s="1361"/>
      <c r="AR11" s="1359"/>
      <c r="AS11" s="1361"/>
      <c r="AT11" s="1577"/>
      <c r="AU11" s="1594"/>
      <c r="AV11" s="1070"/>
      <c r="AW11" s="1577"/>
      <c r="AX11" s="1070"/>
      <c r="AY11" s="25"/>
      <c r="AZ11" s="25"/>
      <c r="BA11" s="25"/>
      <c r="BB11" s="1599" t="str">
        <f>I10</f>
        <v>商业</v>
      </c>
      <c r="BC11" s="1599" t="str">
        <f>K10</f>
        <v>车库</v>
      </c>
      <c r="BD11" s="1599" t="str">
        <f>M10</f>
        <v>车库</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6" t="s">
        <v>1104</v>
      </c>
      <c r="W12" s="8" t="s">
        <v>1103</v>
      </c>
      <c r="X12" s="8" t="s">
        <v>1104</v>
      </c>
      <c r="Y12" s="8" t="s">
        <v>1103</v>
      </c>
      <c r="Z12" s="8" t="s">
        <v>1104</v>
      </c>
      <c r="AA12" s="8" t="s">
        <v>1103</v>
      </c>
      <c r="AB12" s="8" t="s">
        <v>1104</v>
      </c>
      <c r="AC12" s="1621"/>
      <c r="AD12" s="134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9" t="s">
        <v>1104</v>
      </c>
      <c r="AT12" s="1622"/>
      <c r="AU12" s="1619"/>
      <c r="AV12" s="28"/>
      <c r="AW12" s="1578"/>
      <c r="AX12" s="28"/>
      <c r="AY12" s="1623"/>
      <c r="AZ12" s="25"/>
      <c r="BA12" s="1611"/>
      <c r="BB12" s="21" t="str">
        <f>I11</f>
        <v>整体出租部分</v>
      </c>
      <c r="BC12" s="1624" t="str">
        <f>K11</f>
        <v>整体出租部分</v>
      </c>
      <c r="BD12" s="1624" t="str">
        <f>M11</f>
        <v>车库</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1051"/>
      <c r="D13" s="1625" t="s">
        <v>3401</v>
      </c>
      <c r="E13" s="13">
        <f>IF($C$3="是",ROUND($A$3*G13/$B$3,2),ROUND($A$3*(G13-AT13)/$B$3,2))</f>
        <v>11881.76</v>
      </c>
      <c r="F13" s="29"/>
      <c r="G13" s="30">
        <f>H13+AC13+AT13</f>
        <v>51034.460000000006</v>
      </c>
      <c r="H13" s="17">
        <f>SUMIF(I$12:AB$12,"总值",I13:AB13)</f>
        <v>51034.460000000006</v>
      </c>
      <c r="I13" s="1626">
        <f>面积明细!S8+面积明细!S3</f>
        <v>31541.83</v>
      </c>
      <c r="J13" s="1626"/>
      <c r="K13" s="1626">
        <f>面积明细!S13</f>
        <v>8338.8700000000008</v>
      </c>
      <c r="L13" s="1626"/>
      <c r="M13" s="1626">
        <f>面积明细!D6+面积明细!D5+面积明细!D4</f>
        <v>11153.76</v>
      </c>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f t="shared" si="6"/>
        <v>0</v>
      </c>
      <c r="AY13" s="1349">
        <f>ROUND($AY$6*AZ13/$AZ$5,2)</f>
        <v>11881.76</v>
      </c>
      <c r="AZ13" s="13">
        <f>BA13+BL13</f>
        <v>51034.460000000006</v>
      </c>
      <c r="BA13" s="13">
        <f>SUM(BB13:BK13)</f>
        <v>51034.460000000006</v>
      </c>
      <c r="BB13" s="13">
        <f>IF($D13="是",I13-J13,0)</f>
        <v>31541.83</v>
      </c>
      <c r="BC13" s="13">
        <f>IF($D13="是",K13-L13,0)</f>
        <v>8338.8700000000008</v>
      </c>
      <c r="BD13" s="13">
        <f>IF($D13="是",M13-N13,0)</f>
        <v>11153.76</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1570"/>
      <c r="D14" s="1625"/>
      <c r="E14" s="13">
        <f>IF($C$3="是",ROUND($A$3*G14/$B$3,2),ROUND($A$3*(G14-AT14)/$B$3,2))</f>
        <v>0</v>
      </c>
      <c r="F14" s="29"/>
      <c r="G14" s="30">
        <f>H14+AC14+AT14</f>
        <v>0</v>
      </c>
      <c r="H14" s="17">
        <f>SUMIF(I$12:AB$12,"总值",I14:AB14)</f>
        <v>0</v>
      </c>
      <c r="I14" s="1626"/>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0</v>
      </c>
      <c r="AY14" s="134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570"/>
      <c r="D15" s="1625"/>
      <c r="E15" s="13">
        <f>IF($C$3="是",ROUND($A$3*G15/$B$3,2),ROUND($A$3*(G15-AT15)/$B$3,2))</f>
        <v>0</v>
      </c>
      <c r="F15" s="29"/>
      <c r="G15" s="30">
        <f>H15+AC15+AT15</f>
        <v>0</v>
      </c>
      <c r="H15" s="17">
        <f>SUMIF(I$12:AB$12,"总值",I15:AB15)</f>
        <v>0</v>
      </c>
      <c r="I15" s="1626"/>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0</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570"/>
      <c r="D16" s="1625"/>
      <c r="E16" s="13">
        <f>IF($C$3="是",ROUND($A$3*G16/$B$3,2),ROUND($A$3*(G16-AT16)/$B$3,2))</f>
        <v>0</v>
      </c>
      <c r="F16" s="29"/>
      <c r="G16" s="30">
        <f>H16+AC16+AT16</f>
        <v>0</v>
      </c>
      <c r="H16" s="17">
        <f>SUMIF(I$12:AB$12,"总值",I16:AB16)</f>
        <v>0</v>
      </c>
      <c r="I16" s="1626"/>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0</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570"/>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30"/>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30"/>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topLeftCell="B6" zoomScale="90" zoomScaleNormal="100" zoomScaleSheetLayoutView="90" workbookViewId="0">
      <selection activeCell="I27" sqref="I27"/>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8"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1130</v>
      </c>
      <c r="B1" s="1139"/>
      <c r="C1" s="1139"/>
      <c r="D1" s="1139"/>
      <c r="E1" s="1139"/>
      <c r="F1" s="1139"/>
      <c r="G1" s="1139"/>
      <c r="H1" s="1139"/>
      <c r="I1" s="1139"/>
      <c r="J1" s="1139"/>
      <c r="K1" s="1139"/>
      <c r="L1" s="1139"/>
      <c r="M1" s="1139"/>
      <c r="N1" s="1139"/>
      <c r="O1" s="1139"/>
      <c r="P1" s="1139"/>
    </row>
    <row r="2" spans="1:16" ht="15">
      <c r="A2" s="3642" t="s">
        <v>1131</v>
      </c>
      <c r="B2" s="3642"/>
      <c r="C2" s="3642"/>
      <c r="D2" s="796" t="s">
        <v>1107</v>
      </c>
      <c r="E2" s="1639" t="s">
        <v>1108</v>
      </c>
      <c r="F2" s="2658"/>
      <c r="G2" s="2649"/>
      <c r="H2" s="2650"/>
      <c r="I2" s="2325" t="s">
        <v>1132</v>
      </c>
      <c r="J2" s="2658"/>
      <c r="K2" s="2658"/>
      <c r="L2" s="2658"/>
      <c r="M2" s="2658"/>
      <c r="N2" s="2660"/>
      <c r="O2" s="2658"/>
      <c r="P2" s="2658"/>
    </row>
    <row r="3" spans="1:16" ht="15.75" thickBot="1">
      <c r="A3" s="3643" t="s">
        <v>1105</v>
      </c>
      <c r="B3" s="3643"/>
      <c r="C3" s="3643"/>
      <c r="D3" s="43">
        <f>'数据-基础表'!AY6</f>
        <v>11881.76</v>
      </c>
      <c r="E3" s="43">
        <f>'数据-基础表'!AZ5</f>
        <v>51034.460000000006</v>
      </c>
      <c r="F3" s="2658"/>
      <c r="G3" s="1145"/>
      <c r="H3" s="1026" t="s">
        <v>1106</v>
      </c>
      <c r="I3" s="855">
        <f>ROUND('数据-基础表'!B3/'数据-基础表'!A3,2)</f>
        <v>4.3</v>
      </c>
      <c r="J3" s="2658"/>
      <c r="K3" s="2658"/>
      <c r="L3" s="2658"/>
      <c r="M3" s="2658"/>
      <c r="N3" s="2660"/>
      <c r="O3" s="2658"/>
      <c r="P3" s="2658"/>
    </row>
    <row r="4" spans="1:16" ht="15">
      <c r="A4" s="3644"/>
      <c r="B4" s="3645"/>
      <c r="C4" s="3646"/>
      <c r="D4" s="1641" t="s">
        <v>1107</v>
      </c>
      <c r="E4" s="1642" t="s">
        <v>1108</v>
      </c>
      <c r="F4" s="2658"/>
      <c r="G4" s="2651" t="s">
        <v>1133</v>
      </c>
      <c r="H4" s="1026" t="s">
        <v>1113</v>
      </c>
      <c r="I4" s="855">
        <f>ROUND(SUMIF('数据-基础表'!I9:AS9,"地上",'数据-基础表'!I5:AS5)/'数据-基础表'!A3,2)</f>
        <v>2.65</v>
      </c>
      <c r="J4" s="2658"/>
      <c r="K4" s="2658"/>
      <c r="L4" s="2658"/>
      <c r="M4" s="2658"/>
      <c r="N4" s="2660"/>
      <c r="O4" s="2658"/>
      <c r="P4" s="2658"/>
    </row>
    <row r="5" spans="1:16">
      <c r="A5" s="44" t="s">
        <v>1109</v>
      </c>
      <c r="B5" s="3647" t="s">
        <v>1110</v>
      </c>
      <c r="C5" s="3647"/>
      <c r="D5" s="45">
        <f>ROUND($D$3*E5/$E$3,2)</f>
        <v>0</v>
      </c>
      <c r="E5" s="46">
        <f>SUMIF('数据-基础表'!$11:$11,"住宅",'数据-基础表'!$5:$5)</f>
        <v>0</v>
      </c>
      <c r="F5" s="2658"/>
      <c r="G5" s="1145"/>
      <c r="H5" s="1026" t="s">
        <v>1106</v>
      </c>
      <c r="I5" s="855">
        <f>ROUND(E31/D31,2)</f>
        <v>4.3</v>
      </c>
      <c r="J5" s="2658"/>
      <c r="K5" s="2658"/>
      <c r="L5" s="2658"/>
      <c r="M5" s="2658"/>
      <c r="N5" s="2658"/>
      <c r="O5" s="2658"/>
      <c r="P5" s="2658"/>
    </row>
    <row r="6" spans="1:16" ht="15" thickBot="1">
      <c r="A6" s="1644"/>
      <c r="B6" s="3647" t="s">
        <v>1111</v>
      </c>
      <c r="C6" s="3647"/>
      <c r="D6" s="45">
        <f>ROUND($D$3*E6/$E$3,2)</f>
        <v>11881.76</v>
      </c>
      <c r="E6" s="46">
        <f>E3-E5</f>
        <v>51034.460000000006</v>
      </c>
      <c r="F6" s="2658"/>
      <c r="G6" s="2652" t="s">
        <v>1112</v>
      </c>
      <c r="H6" s="1146" t="s">
        <v>1113</v>
      </c>
      <c r="I6" s="2653">
        <f>ROUND(F31/D31,2)</f>
        <v>2.65</v>
      </c>
      <c r="J6" s="2658"/>
      <c r="K6" s="2658"/>
      <c r="L6" s="2658"/>
      <c r="M6" s="2658"/>
      <c r="N6" s="2658"/>
      <c r="O6" s="2658"/>
      <c r="P6" s="2658"/>
    </row>
    <row r="7" spans="1:16" ht="15.75" thickBot="1">
      <c r="A7" s="3639"/>
      <c r="B7" s="3640"/>
      <c r="C7" s="3641"/>
      <c r="D7" s="1641" t="s">
        <v>1107</v>
      </c>
      <c r="E7" s="1645" t="s">
        <v>1114</v>
      </c>
      <c r="F7" s="2658"/>
      <c r="G7" s="2654" t="s">
        <v>1115</v>
      </c>
      <c r="H7" s="2655"/>
      <c r="I7" s="2656"/>
      <c r="J7" s="2658"/>
      <c r="K7" s="2658"/>
      <c r="L7" s="2658"/>
      <c r="M7" s="2658"/>
      <c r="N7" s="2658"/>
      <c r="O7" s="2658"/>
      <c r="P7" s="2658"/>
    </row>
    <row r="8" spans="1:16">
      <c r="A8" s="44" t="s">
        <v>1116</v>
      </c>
      <c r="B8" s="47" t="s">
        <v>1117</v>
      </c>
      <c r="C8" s="45" t="s">
        <v>1118</v>
      </c>
      <c r="D8" s="45">
        <f t="shared" ref="D8:D15" si="0">ROUND($D$3*E8/$E$3,2)</f>
        <v>7343.52</v>
      </c>
      <c r="E8" s="48">
        <f>SUMIF('数据-基础表'!BB10:BK10,"地上",'数据-基础表'!BB5:BK5)</f>
        <v>31541.83</v>
      </c>
      <c r="F8" s="2658"/>
      <c r="G8" s="2659"/>
      <c r="H8" s="2659"/>
      <c r="I8" s="2658"/>
      <c r="J8" s="2658"/>
      <c r="K8" s="2658"/>
      <c r="L8" s="2658"/>
      <c r="M8" s="2658"/>
      <c r="N8" s="2658"/>
      <c r="O8" s="2658"/>
      <c r="P8" s="2658"/>
    </row>
    <row r="9" spans="1:16">
      <c r="A9" s="1646"/>
      <c r="B9" s="1647"/>
      <c r="C9" s="45" t="s">
        <v>1119</v>
      </c>
      <c r="D9" s="45">
        <f t="shared" si="0"/>
        <v>0</v>
      </c>
      <c r="E9" s="49">
        <v>0</v>
      </c>
      <c r="F9" s="2658"/>
      <c r="G9" s="2659"/>
      <c r="H9" s="2659"/>
      <c r="I9" s="2658"/>
      <c r="J9" s="2658"/>
      <c r="K9" s="2658"/>
      <c r="L9" s="2658"/>
      <c r="M9" s="2658"/>
      <c r="N9" s="2658"/>
      <c r="O9" s="2658"/>
      <c r="P9" s="2658"/>
    </row>
    <row r="10" spans="1:16">
      <c r="A10" s="1646"/>
      <c r="B10" s="1647"/>
      <c r="C10" s="45" t="s">
        <v>1128</v>
      </c>
      <c r="D10" s="45">
        <f t="shared" si="0"/>
        <v>0</v>
      </c>
      <c r="E10" s="48">
        <f>SUMPRODUCT(('数据-基础表'!BB10:BK10="地下")*('数据-基础表'!BB11:BK11="商业")*('数据-基础表'!BB5:BK5))</f>
        <v>0</v>
      </c>
      <c r="F10" s="2658"/>
      <c r="G10" s="2659"/>
      <c r="H10" s="2659"/>
      <c r="I10" s="2658"/>
      <c r="J10" s="2658"/>
      <c r="K10" s="2658"/>
      <c r="L10" s="2658"/>
      <c r="M10" s="2658"/>
      <c r="N10" s="2658"/>
      <c r="O10" s="2658"/>
      <c r="P10" s="2658"/>
    </row>
    <row r="11" spans="1:16">
      <c r="A11" s="1646"/>
      <c r="B11" s="1647"/>
      <c r="C11" s="45" t="s">
        <v>1120</v>
      </c>
      <c r="D11" s="45">
        <f t="shared" si="0"/>
        <v>0</v>
      </c>
      <c r="E11" s="48">
        <f>SUMPRODUCT(('数据-基础表'!BB10:BK10="地下")*('数据-基础表'!BB11:BK11="办公")*('数据-基础表'!BB5:BK5))+'数据-基础表'!BP5</f>
        <v>0</v>
      </c>
      <c r="F11" s="2658"/>
      <c r="G11" s="2659"/>
      <c r="H11" s="2659"/>
      <c r="I11" s="2658"/>
      <c r="J11" s="2658"/>
      <c r="K11" s="2658"/>
      <c r="L11" s="2658"/>
      <c r="M11" s="2658"/>
      <c r="N11" s="2658"/>
      <c r="O11" s="2658"/>
      <c r="P11" s="2658"/>
    </row>
    <row r="12" spans="1:16">
      <c r="A12" s="1646"/>
      <c r="B12" s="1647"/>
      <c r="C12" s="45" t="s">
        <v>1121</v>
      </c>
      <c r="D12" s="45">
        <f t="shared" si="0"/>
        <v>0</v>
      </c>
      <c r="E12" s="48">
        <f>SUMPRODUCT(('数据-基础表'!BB10:BK10="地下")*('数据-基础表'!BB11:BK11="仓储")*('数据-基础表'!BB5:BK5))</f>
        <v>0</v>
      </c>
      <c r="F12" s="2658"/>
      <c r="G12" s="2659"/>
      <c r="H12" s="2659"/>
      <c r="I12" s="2658"/>
      <c r="J12" s="2658"/>
      <c r="K12" s="2658"/>
      <c r="L12" s="2658"/>
      <c r="M12" s="2658"/>
      <c r="N12" s="2658"/>
      <c r="O12" s="2658"/>
      <c r="P12" s="2658"/>
    </row>
    <row r="13" spans="1:16">
      <c r="A13" s="1646"/>
      <c r="B13" s="1647"/>
      <c r="C13" s="45" t="s">
        <v>1122</v>
      </c>
      <c r="D13" s="45">
        <f t="shared" si="0"/>
        <v>4538.24</v>
      </c>
      <c r="E13" s="48">
        <f>SUMPRODUCT(('数据-基础表'!BB10:BK10="地下")*('数据-基础表'!BB11:BK11="车库")*('数据-基础表'!BB5:BK5))</f>
        <v>19492.63</v>
      </c>
      <c r="F13" s="2658"/>
      <c r="G13" s="2659"/>
      <c r="H13" s="2659"/>
      <c r="I13" s="2658"/>
      <c r="J13" s="2658"/>
      <c r="K13" s="2658"/>
      <c r="L13" s="2658"/>
      <c r="M13" s="2658"/>
      <c r="N13" s="2658"/>
      <c r="O13" s="2658"/>
      <c r="P13" s="2658"/>
    </row>
    <row r="14" spans="1:16">
      <c r="A14" s="1646"/>
      <c r="B14" s="1647"/>
      <c r="C14" s="45" t="s">
        <v>1134</v>
      </c>
      <c r="D14" s="45">
        <f t="shared" si="0"/>
        <v>0</v>
      </c>
      <c r="E14" s="48">
        <f>SUMPRODUCT(('数据-基础表'!BB10:BK10="地下")*('数据-基础表'!BB11:BK11="车库—商业")*('数据-基础表'!BB5:BK5))</f>
        <v>0</v>
      </c>
      <c r="F14" s="2658"/>
      <c r="G14" s="2659"/>
      <c r="H14" s="2659"/>
      <c r="I14" s="2658"/>
      <c r="J14" s="2658"/>
      <c r="K14" s="2658"/>
      <c r="L14" s="2658"/>
      <c r="M14" s="2658"/>
      <c r="N14" s="2658"/>
      <c r="O14" s="2658"/>
      <c r="P14" s="2658"/>
    </row>
    <row r="15" spans="1:16" ht="15" thickBot="1">
      <c r="A15" s="1646"/>
      <c r="B15" s="1647"/>
      <c r="C15" s="45" t="s">
        <v>1129</v>
      </c>
      <c r="D15" s="45">
        <f t="shared" si="0"/>
        <v>0</v>
      </c>
      <c r="E15" s="48">
        <f>SUMPRODUCT(('数据-基础表'!BB10:BK10="地下")*('数据-基础表'!BB11:BK11="车库—办公")*('数据-基础表'!BB5:BK5))</f>
        <v>0</v>
      </c>
      <c r="F15" s="2658"/>
      <c r="G15" s="2659"/>
      <c r="H15" s="2659"/>
      <c r="I15" s="2658"/>
      <c r="J15" s="2658"/>
      <c r="K15" s="2658"/>
      <c r="L15" s="2658"/>
      <c r="M15" s="2658"/>
      <c r="N15" s="2658"/>
      <c r="O15" s="2658"/>
      <c r="P15" s="2658"/>
    </row>
    <row r="16" spans="1:16" ht="15.75" thickBot="1">
      <c r="A16" s="1644"/>
      <c r="B16" s="1647"/>
      <c r="C16" s="47" t="s">
        <v>1123</v>
      </c>
      <c r="D16" s="47">
        <f>SUM(D8:D15)</f>
        <v>11881.76</v>
      </c>
      <c r="E16" s="50">
        <f>SUM(E8:E15)</f>
        <v>51034.460000000006</v>
      </c>
      <c r="F16" s="2658"/>
      <c r="G16" s="2659"/>
      <c r="H16" s="1648" t="s">
        <v>1135</v>
      </c>
      <c r="I16" s="1649"/>
      <c r="J16" s="1139"/>
      <c r="K16" s="3636" t="s">
        <v>1135</v>
      </c>
      <c r="L16" s="3637"/>
      <c r="M16" s="3637"/>
      <c r="N16" s="3637"/>
      <c r="O16" s="3637"/>
      <c r="P16" s="3638"/>
    </row>
    <row r="17" spans="1:19" ht="15">
      <c r="A17" s="1650" t="s">
        <v>1136</v>
      </c>
      <c r="B17" s="1651" t="s">
        <v>1137</v>
      </c>
      <c r="C17" s="1652" t="s">
        <v>1138</v>
      </c>
      <c r="D17" s="1653" t="s">
        <v>1126</v>
      </c>
      <c r="E17" s="1654" t="s">
        <v>1127</v>
      </c>
      <c r="F17" s="1655"/>
      <c r="G17" s="1656"/>
      <c r="H17" s="1657" t="s">
        <v>1139</v>
      </c>
      <c r="I17" s="1658" t="s">
        <v>1124</v>
      </c>
      <c r="J17" s="1139"/>
      <c r="K17" s="3633" t="s">
        <v>1140</v>
      </c>
      <c r="L17" s="3634"/>
      <c r="M17" s="3635"/>
      <c r="N17" s="3633" t="s">
        <v>1141</v>
      </c>
      <c r="O17" s="3634"/>
      <c r="P17" s="3635"/>
      <c r="R17" s="1640" t="s">
        <v>1142</v>
      </c>
      <c r="S17" s="56"/>
    </row>
    <row r="18" spans="1:19" ht="15">
      <c r="A18" s="1646"/>
      <c r="B18" s="1659"/>
      <c r="C18" s="1660"/>
      <c r="D18" s="1661"/>
      <c r="E18" s="1662" t="s">
        <v>1143</v>
      </c>
      <c r="F18" s="1663" t="s">
        <v>1144</v>
      </c>
      <c r="G18" s="1664" t="s">
        <v>1145</v>
      </c>
      <c r="H18" s="1041" t="s">
        <v>1146</v>
      </c>
      <c r="I18" s="1665" t="s">
        <v>1147</v>
      </c>
      <c r="J18" s="1139"/>
      <c r="K18" s="1041" t="s">
        <v>1148</v>
      </c>
      <c r="L18" s="1666" t="s">
        <v>1149</v>
      </c>
      <c r="M18" s="855" t="s">
        <v>1150</v>
      </c>
      <c r="N18" s="1041" t="s">
        <v>1148</v>
      </c>
      <c r="O18" s="1666" t="s">
        <v>1149</v>
      </c>
      <c r="P18" s="855" t="s">
        <v>1150</v>
      </c>
      <c r="R18" s="1026" t="s">
        <v>1151</v>
      </c>
      <c r="S18" s="1026" t="s">
        <v>1152</v>
      </c>
    </row>
    <row r="19" spans="1:19">
      <c r="A19" s="1667"/>
      <c r="B19" s="47" t="s">
        <v>1125</v>
      </c>
      <c r="C19" s="3416" t="s">
        <v>3405</v>
      </c>
      <c r="D19" s="45">
        <f>ROUND($D$3*E19/$E$3,2)</f>
        <v>9284.9599999999991</v>
      </c>
      <c r="E19" s="53">
        <f t="shared" ref="E19:E26" si="1">SUM(F19:G19)</f>
        <v>39880.700000000004</v>
      </c>
      <c r="F19" s="2794">
        <f>'数据-基础表'!I13</f>
        <v>31541.83</v>
      </c>
      <c r="G19" s="2795">
        <f>'数据-基础表'!K13</f>
        <v>8338.8700000000008</v>
      </c>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9284.9599999999991</v>
      </c>
      <c r="S19" s="1027">
        <f t="shared" si="5"/>
        <v>39880.700000000004</v>
      </c>
    </row>
    <row r="20" spans="1:19">
      <c r="A20" s="1670"/>
      <c r="B20" s="47" t="s">
        <v>1153</v>
      </c>
      <c r="C20" s="3416" t="s">
        <v>3406</v>
      </c>
      <c r="D20" s="45">
        <f t="shared" ref="D20:D26" si="6">ROUND($D$3*E20/$E$3,2)</f>
        <v>2596.8000000000002</v>
      </c>
      <c r="E20" s="53">
        <f t="shared" si="1"/>
        <v>11153.76</v>
      </c>
      <c r="F20" s="2794"/>
      <c r="G20" s="2795">
        <f>'数据-基础表'!M13</f>
        <v>11153.76</v>
      </c>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2596.8000000000002</v>
      </c>
      <c r="S20" s="1027">
        <f t="shared" si="5"/>
        <v>11153.76</v>
      </c>
    </row>
    <row r="21" spans="1:19">
      <c r="A21" s="1670"/>
      <c r="B21" s="47" t="s">
        <v>1153</v>
      </c>
      <c r="C21" s="3416"/>
      <c r="D21" s="45">
        <f t="shared" si="6"/>
        <v>0</v>
      </c>
      <c r="E21" s="53">
        <f t="shared" si="1"/>
        <v>0</v>
      </c>
      <c r="F21" s="2794"/>
      <c r="G21" s="2795"/>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1153</v>
      </c>
      <c r="C22" s="3417"/>
      <c r="D22" s="45">
        <f t="shared" si="6"/>
        <v>0</v>
      </c>
      <c r="E22" s="53">
        <f t="shared" si="1"/>
        <v>0</v>
      </c>
      <c r="F22" s="2796"/>
      <c r="G22" s="2797"/>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1153</v>
      </c>
      <c r="C23" s="3417"/>
      <c r="D23" s="45">
        <f>ROUND($D$3*E23/$E$3,2)</f>
        <v>0</v>
      </c>
      <c r="E23" s="53">
        <f>SUM(F23:G23)</f>
        <v>0</v>
      </c>
      <c r="F23" s="2796"/>
      <c r="G23" s="2797"/>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1153</v>
      </c>
      <c r="C24" s="3417"/>
      <c r="D24" s="45">
        <f>ROUND($D$3*E24/$E$3,2)</f>
        <v>0</v>
      </c>
      <c r="E24" s="53">
        <f>SUM(F24:G24)</f>
        <v>0</v>
      </c>
      <c r="F24" s="2796"/>
      <c r="G24" s="2797"/>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1153</v>
      </c>
      <c r="C25" s="3417"/>
      <c r="D25" s="45">
        <f t="shared" si="6"/>
        <v>0</v>
      </c>
      <c r="E25" s="53">
        <f t="shared" si="1"/>
        <v>0</v>
      </c>
      <c r="F25" s="2796"/>
      <c r="G25" s="2797"/>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1153</v>
      </c>
      <c r="C26" s="55"/>
      <c r="D26" s="45">
        <f t="shared" si="6"/>
        <v>0</v>
      </c>
      <c r="E26" s="53">
        <f t="shared" si="1"/>
        <v>0</v>
      </c>
      <c r="F26" s="2796"/>
      <c r="G26" s="2797"/>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1154</v>
      </c>
      <c r="D27" s="1140">
        <f>SUM(D19:D26)</f>
        <v>11881.759999999998</v>
      </c>
      <c r="E27" s="1141">
        <f>IF(SUM(E19:E26)='数据-基础表'!BA5,SUM(E19:E26),IF(F27="地上面积有误","面积有误","地下面积有误"))</f>
        <v>51034.460000000006</v>
      </c>
      <c r="F27" s="1140">
        <f>IF(SUM(F19:F26)=E8,SUM(F19:F26),"地上面积有误")</f>
        <v>31541.83</v>
      </c>
      <c r="G27" s="1142">
        <f>SUM(G19:G26)</f>
        <v>19492.63</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11881.759999999998</v>
      </c>
      <c r="S27" s="1026">
        <f>IF(SUM(S19:S26)=$E$3,SUM(S19:S26),SUM(S19:S26)&amp;"误差"&amp;ROUND(SUM(S19:S26)-E3,2))</f>
        <v>51034.460000000006</v>
      </c>
    </row>
    <row r="28" spans="1:19">
      <c r="A28" s="1670"/>
      <c r="B28" s="47" t="s">
        <v>1155</v>
      </c>
      <c r="C28" s="1038" t="s">
        <v>1156</v>
      </c>
      <c r="D28" s="45">
        <f>ROUND($D$3*E28/$E$3,2)</f>
        <v>0</v>
      </c>
      <c r="E28" s="53">
        <f>SUM(F28:G28)</f>
        <v>0</v>
      </c>
      <c r="F28" s="56">
        <f>'数据-基础表'!BQ5+'数据-基础表'!BS5</f>
        <v>0</v>
      </c>
      <c r="G28" s="57">
        <f>'数据-基础表'!BR5+'数据-基础表'!BT5</f>
        <v>0</v>
      </c>
      <c r="H28" s="2658"/>
      <c r="I28" s="2658"/>
      <c r="J28" s="2658"/>
      <c r="K28" s="2658"/>
      <c r="L28" s="2658"/>
      <c r="M28" s="2658"/>
      <c r="N28" s="2658"/>
      <c r="O28" s="2658"/>
      <c r="P28" s="2658"/>
    </row>
    <row r="29" spans="1:19">
      <c r="A29" s="1670"/>
      <c r="B29" s="47" t="s">
        <v>1155</v>
      </c>
      <c r="C29" s="1674" t="s">
        <v>1157</v>
      </c>
      <c r="D29" s="45">
        <f>ROUND($D$3*E29/$E$3,2)</f>
        <v>0</v>
      </c>
      <c r="E29" s="53">
        <f>SUM(F29:G29)</f>
        <v>0</v>
      </c>
      <c r="F29" s="58">
        <f>'数据-基础表'!BM5+'数据-基础表'!BO5</f>
        <v>0</v>
      </c>
      <c r="G29" s="59">
        <f>'数据-基础表'!BN5+'数据-基础表'!BP5</f>
        <v>0</v>
      </c>
      <c r="H29" s="2658"/>
      <c r="I29" s="2658"/>
      <c r="J29" s="2658"/>
      <c r="K29" s="2658"/>
      <c r="L29" s="2658"/>
      <c r="M29" s="2658"/>
      <c r="N29" s="2658"/>
      <c r="O29" s="2658"/>
      <c r="P29" s="2658"/>
    </row>
    <row r="30" spans="1:19" ht="15">
      <c r="A30" s="1670"/>
      <c r="B30" s="47"/>
      <c r="C30" s="1675" t="s">
        <v>1154</v>
      </c>
      <c r="D30" s="1140">
        <f>SUM(D28:D29)</f>
        <v>0</v>
      </c>
      <c r="E30" s="1140">
        <f>SUM(E28:E29)</f>
        <v>0</v>
      </c>
      <c r="F30" s="1140">
        <f>SUM(F28:F29)</f>
        <v>0</v>
      </c>
      <c r="G30" s="1142">
        <f>SUM(G28:G29)</f>
        <v>0</v>
      </c>
      <c r="H30" s="2658"/>
      <c r="I30" s="2658"/>
      <c r="J30" s="2658"/>
      <c r="K30" s="2658"/>
      <c r="L30" s="2658"/>
      <c r="M30" s="2658"/>
      <c r="N30" s="2658"/>
      <c r="O30" s="2658"/>
      <c r="P30" s="2658"/>
    </row>
    <row r="31" spans="1:19" ht="15.75" thickBot="1">
      <c r="A31" s="1676"/>
      <c r="B31" s="1677"/>
      <c r="C31" s="835" t="s">
        <v>1158</v>
      </c>
      <c r="D31" s="676">
        <f>D27+D30</f>
        <v>11881.759999999998</v>
      </c>
      <c r="E31" s="676">
        <f>E27+E30</f>
        <v>51034.460000000006</v>
      </c>
      <c r="F31" s="677">
        <f>F27+F30</f>
        <v>31541.83</v>
      </c>
      <c r="G31" s="678">
        <f>G27+G30</f>
        <v>19492.63</v>
      </c>
      <c r="H31" s="2658"/>
      <c r="I31" s="2658"/>
      <c r="J31" s="2658"/>
      <c r="K31" s="2658"/>
      <c r="L31" s="2658"/>
      <c r="M31" s="2658"/>
      <c r="N31" s="2658"/>
      <c r="O31" s="2658"/>
      <c r="P31" s="2658"/>
    </row>
    <row r="32" spans="1:19">
      <c r="A32" s="1643"/>
      <c r="B32" s="1643" t="s">
        <v>1159</v>
      </c>
      <c r="C32" s="1643"/>
      <c r="D32" s="1643"/>
      <c r="E32" s="1053">
        <f>SUMIF(C19:C26,"*住宅*",E19:E26)</f>
        <v>0</v>
      </c>
      <c r="F32" s="1643"/>
      <c r="G32" s="1643"/>
      <c r="H32" s="2658"/>
      <c r="I32" s="2658"/>
      <c r="J32" s="2658"/>
      <c r="K32" s="2658"/>
      <c r="L32" s="2658"/>
      <c r="M32" s="2658"/>
      <c r="N32" s="2658"/>
      <c r="O32" s="2658"/>
      <c r="P32" s="2658"/>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84" priority="1" stopIfTrue="1" operator="containsText" text="面积有误">
      <formula>NOT(ISERROR(SEARCH("面积有误",E27)))</formula>
    </cfRule>
    <cfRule type="cellIs" dxfId="183" priority="3" stopIfTrue="1" operator="equal">
      <formula>"地下面积有误"</formula>
    </cfRule>
  </conditionalFormatting>
  <conditionalFormatting sqref="F27">
    <cfRule type="cellIs" dxfId="182"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5" zoomScaleNormal="85" zoomScaleSheetLayoutView="90" workbookViewId="0">
      <pane xSplit="3" ySplit="5" topLeftCell="T6" activePane="bottomRight" state="frozen"/>
      <selection activeCell="C50" sqref="C50"/>
      <selection pane="topRight" activeCell="C50" sqref="C50"/>
      <selection pane="bottomLeft" activeCell="C50" sqref="C50"/>
      <selection pane="bottomRight" activeCell="AK25" sqref="AK25"/>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9.875" style="1682" customWidth="1"/>
    <col min="22" max="22" width="6.375" style="1682" customWidth="1"/>
    <col min="23" max="25" width="6.75" style="1682" customWidth="1"/>
    <col min="26" max="26" width="8.375" style="1682" customWidth="1"/>
    <col min="27"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1160</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70"/>
      <c r="AO1" s="2670"/>
      <c r="AP1" s="2670"/>
      <c r="AQ1" s="2670"/>
      <c r="AR1" s="2670"/>
    </row>
    <row r="2" spans="1:67" s="1559" customFormat="1" ht="15.75" thickBot="1">
      <c r="A2" s="1683" t="s">
        <v>1161</v>
      </c>
      <c r="B2" s="1045">
        <f>项目基本情况!D3</f>
        <v>44926</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2"/>
      <c r="AO2" s="2672"/>
      <c r="AP2" s="2672"/>
      <c r="AQ2" s="2672"/>
      <c r="AR2" s="2672"/>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2"/>
      <c r="AO3" s="2672"/>
      <c r="AP3" s="2672"/>
      <c r="AQ3" s="2672"/>
      <c r="AR3" s="2672"/>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1162</v>
      </c>
      <c r="B4" s="1688"/>
      <c r="C4" s="1689"/>
      <c r="D4" s="1690"/>
      <c r="E4" s="1689" t="s">
        <v>1163</v>
      </c>
      <c r="F4" s="1689"/>
      <c r="G4" s="1689"/>
      <c r="H4" s="1689"/>
      <c r="I4" s="1689"/>
      <c r="J4" s="1691"/>
      <c r="K4" s="1692"/>
      <c r="L4" s="1693"/>
      <c r="M4" s="1689"/>
      <c r="N4" s="1689" t="s">
        <v>1164</v>
      </c>
      <c r="O4" s="1689"/>
      <c r="P4" s="1689"/>
      <c r="Q4" s="1689"/>
      <c r="R4" s="1689"/>
      <c r="S4" s="1691"/>
      <c r="T4" s="2657" t="str">
        <f>'数据-汇总表'!I17</f>
        <v>按面积比例</v>
      </c>
      <c r="U4" s="1688" t="s">
        <v>1165</v>
      </c>
      <c r="V4" s="1689"/>
      <c r="W4" s="1689"/>
      <c r="X4" s="1689"/>
      <c r="Y4" s="1691"/>
      <c r="Z4" s="1652" t="s">
        <v>1166</v>
      </c>
      <c r="AA4" s="1652"/>
      <c r="AB4" s="1652"/>
      <c r="AC4" s="1652"/>
      <c r="AD4" s="1652"/>
      <c r="AE4" s="1650" t="s">
        <v>1167</v>
      </c>
      <c r="AF4" s="1652"/>
      <c r="AG4" s="1694"/>
      <c r="AH4" s="1688"/>
      <c r="AI4" s="1689"/>
      <c r="AJ4" s="1689"/>
      <c r="AK4" s="1689"/>
      <c r="AL4" s="1689"/>
      <c r="AM4" s="1691"/>
      <c r="AN4" s="2672"/>
      <c r="AO4" s="2672"/>
      <c r="AP4" s="2672"/>
      <c r="AQ4" s="2672"/>
      <c r="AR4" s="2672"/>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1168</v>
      </c>
      <c r="B5" s="1696" t="s">
        <v>1169</v>
      </c>
      <c r="C5" s="1697" t="s">
        <v>1170</v>
      </c>
      <c r="D5" s="1698" t="s">
        <v>1171</v>
      </c>
      <c r="E5" s="1047" t="s">
        <v>1172</v>
      </c>
      <c r="F5" s="1699" t="s">
        <v>1173</v>
      </c>
      <c r="G5" s="1047" t="s">
        <v>1174</v>
      </c>
      <c r="H5" s="1047" t="s">
        <v>1175</v>
      </c>
      <c r="I5" s="1047" t="s">
        <v>1176</v>
      </c>
      <c r="J5" s="1700" t="s">
        <v>1177</v>
      </c>
      <c r="K5" s="1701" t="s">
        <v>1178</v>
      </c>
      <c r="L5" s="1702" t="s">
        <v>1179</v>
      </c>
      <c r="M5" s="1703" t="s">
        <v>1180</v>
      </c>
      <c r="N5" s="1704" t="s">
        <v>3408</v>
      </c>
      <c r="O5" s="1702" t="s">
        <v>1181</v>
      </c>
      <c r="P5" s="1705" t="s">
        <v>1182</v>
      </c>
      <c r="Q5" s="61" t="s">
        <v>1183</v>
      </c>
      <c r="R5" s="1706" t="s">
        <v>1184</v>
      </c>
      <c r="S5" s="1707" t="s">
        <v>1185</v>
      </c>
      <c r="T5" s="1708" t="s">
        <v>1186</v>
      </c>
      <c r="U5" s="1046" t="s">
        <v>1187</v>
      </c>
      <c r="V5" s="1047" t="s">
        <v>1188</v>
      </c>
      <c r="W5" s="1047" t="s">
        <v>1189</v>
      </c>
      <c r="X5" s="63"/>
      <c r="Y5" s="62" t="s">
        <v>1190</v>
      </c>
      <c r="Z5" s="1709" t="s">
        <v>1187</v>
      </c>
      <c r="AA5" s="1047" t="s">
        <v>1188</v>
      </c>
      <c r="AB5" s="1047" t="s">
        <v>1189</v>
      </c>
      <c r="AC5" s="63"/>
      <c r="AD5" s="63" t="s">
        <v>1190</v>
      </c>
      <c r="AE5" s="1046" t="s">
        <v>1191</v>
      </c>
      <c r="AF5" s="1047" t="s">
        <v>1192</v>
      </c>
      <c r="AG5" s="62" t="s">
        <v>1193</v>
      </c>
      <c r="AH5" s="1046" t="s">
        <v>1194</v>
      </c>
      <c r="AI5" s="1709" t="s">
        <v>1195</v>
      </c>
      <c r="AJ5" s="1709" t="s">
        <v>1196</v>
      </c>
      <c r="AK5" s="1047" t="s">
        <v>1197</v>
      </c>
      <c r="AL5" s="1047" t="s">
        <v>1198</v>
      </c>
      <c r="AM5" s="62" t="s">
        <v>1199</v>
      </c>
      <c r="AN5" s="1710" t="s">
        <v>1200</v>
      </c>
      <c r="AO5" s="1562" t="s">
        <v>1201</v>
      </c>
      <c r="AP5" s="1028" t="s">
        <v>1202</v>
      </c>
      <c r="AQ5" s="1711" t="s">
        <v>1203</v>
      </c>
      <c r="AR5" s="1711" t="s">
        <v>1204</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整租部分</v>
      </c>
      <c r="B6" s="1713" t="str">
        <f>IF(A6=0,"","经营性")</f>
        <v>经营性</v>
      </c>
      <c r="C6" s="1714" t="s">
        <v>673</v>
      </c>
      <c r="D6" s="858">
        <f>SUMIF(项目基本情况!C$12:I$12,C6,项目基本情况!C$14:I$14)</f>
        <v>40</v>
      </c>
      <c r="E6" s="857">
        <f>IF(B6="","",SUMIF(项目基本情况!C$12:I$12,C6,项目基本情况!C$13:I$13))</f>
        <v>52839</v>
      </c>
      <c r="F6" s="64">
        <f>SUMIF(项目基本情况!C$12:I$12,C6,项目基本情况!C$15:I$15)</f>
        <v>21.67</v>
      </c>
      <c r="G6" s="65">
        <f>IF(ISERROR(ROUND(POWER(1+H6,D6-F6)*(POWER(1+H6,F6)-1)/(POWER(1+H6,D6)-1),3)),0,ROUND(POWER(1+H6,D6-F6)*(POWER(1+H6,F6)-1)/(POWER(1+H6,D6)-1),3))</f>
        <v>0.76100000000000001</v>
      </c>
      <c r="H6" s="732">
        <v>0.05</v>
      </c>
      <c r="I6" s="732">
        <v>5.5E-2</v>
      </c>
      <c r="J6" s="66">
        <v>7.0000000000000007E-2</v>
      </c>
      <c r="K6" s="1030">
        <f>SUMIF('数据-汇总表'!C$19:C$33,A6,'数据-汇总表'!E$19:E$33)</f>
        <v>39880.700000000004</v>
      </c>
      <c r="L6" s="733">
        <v>5500</v>
      </c>
      <c r="M6" s="67">
        <f t="shared" ref="M6:M14" si="0">ROUND(K6*L6/10000,0)</f>
        <v>21934</v>
      </c>
      <c r="N6" s="731">
        <f>N21</f>
        <v>0.88</v>
      </c>
      <c r="O6" s="67" t="str">
        <f>IF($N$5="成新度","——",ROUND(M6*N6,0))</f>
        <v>——</v>
      </c>
      <c r="P6" s="68" t="str">
        <f>IF($N$5="成新度","——",M6-O6)</f>
        <v>——</v>
      </c>
      <c r="Q6" s="734">
        <v>0.2</v>
      </c>
      <c r="R6" s="69">
        <f ca="1">SUMIF('数据-汇总表'!C$19:C$33,A6,'数据-汇总表'!R$19:R$27)</f>
        <v>9284.9599999999991</v>
      </c>
      <c r="S6" s="51">
        <f>IF('数据-汇总表'!$I$17="按面积比例",SUMIF('数据-汇总表'!C$19:C$33,A6,'数据-汇总表'!K$19:K$33),SUMIF('数据-汇总表'!C$19:C$33,A6,'数据-汇总表'!N$19:N$33))</f>
        <v>0</v>
      </c>
      <c r="T6" s="1172">
        <f>ROUND($L$14*S6/10000,0)</f>
        <v>0</v>
      </c>
      <c r="U6" s="3427">
        <f>面积明细!V25</f>
        <v>327</v>
      </c>
      <c r="V6" s="70">
        <v>0</v>
      </c>
      <c r="W6" s="70">
        <v>0</v>
      </c>
      <c r="X6" s="1040"/>
      <c r="Y6" s="71">
        <f>N6</f>
        <v>0.88</v>
      </c>
      <c r="Z6" s="3485">
        <f>面积明细!X22</f>
        <v>336</v>
      </c>
      <c r="AA6" s="66">
        <v>0.03</v>
      </c>
      <c r="AB6" s="66">
        <v>0.05</v>
      </c>
      <c r="AC6" s="1040"/>
      <c r="AD6" s="73">
        <f>AB21</f>
        <v>0.82</v>
      </c>
      <c r="AE6" s="1041">
        <f ca="1">IF(AN6="",0,SUMIF(INDIRECT("'"&amp;AN6&amp;"'"&amp;"!E:E"),$AE$5,INDIRECT("'"&amp;AN6&amp;"'"&amp;"!F:F")))</f>
        <v>21.67</v>
      </c>
      <c r="AF6" s="3486">
        <v>3.5</v>
      </c>
      <c r="AG6" s="138">
        <f ca="1">IF(AF6="",0,AE6-AF6)</f>
        <v>18.170000000000002</v>
      </c>
      <c r="AH6" s="74"/>
      <c r="AI6" s="76">
        <v>12</v>
      </c>
      <c r="AJ6" s="77"/>
      <c r="AK6" s="78">
        <v>3.0000000000000001E-3</v>
      </c>
      <c r="AL6" s="79">
        <v>1E-3</v>
      </c>
      <c r="AM6" s="80">
        <v>0.01</v>
      </c>
      <c r="AN6" s="1715" t="s">
        <v>3412</v>
      </c>
      <c r="AO6" s="52">
        <f ca="1">SUMIF(INDIRECT("'"&amp;AN6&amp;"'"&amp;"!A:A"),"总价",INDIRECT("'"&amp;AN6&amp;"'"&amp;"!B:B"))</f>
        <v>185857</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t="str">
        <f>'数据-汇总表'!C20</f>
        <v>地下车库</v>
      </c>
      <c r="B7" s="1713" t="str">
        <f t="shared" ref="B7:B13" si="1">IF(A7=0,"","经营性")</f>
        <v>经营性</v>
      </c>
      <c r="C7" s="1714" t="s">
        <v>3340</v>
      </c>
      <c r="D7" s="858">
        <f>SUMIF(项目基本情况!C$12:I$12,C7,项目基本情况!C$14:I$14)</f>
        <v>50</v>
      </c>
      <c r="E7" s="857">
        <f>IF(B7="","",SUMIF(项目基本情况!C$12:I$12,C7,项目基本情况!C$13:I$13))</f>
        <v>52839</v>
      </c>
      <c r="F7" s="64">
        <f>SUMIF(项目基本情况!C$12:I$12,C7,项目基本情况!C$15:I$15)</f>
        <v>21.67</v>
      </c>
      <c r="G7" s="65">
        <f t="shared" ref="G7:G11" si="2">IF(ISERROR(ROUND(POWER(1+H7,D7-F7)*(POWER(1+H7,F7)-1)/(POWER(1+H7,D7)-1),3)),0,ROUND(POWER(1+H7,D7-F7)*(POWER(1+H7,F7)-1)/(POWER(1+H7,D7)-1),3))</f>
        <v>0.71499999999999997</v>
      </c>
      <c r="H7" s="732">
        <v>0.05</v>
      </c>
      <c r="I7" s="732">
        <v>5.5E-2</v>
      </c>
      <c r="J7" s="66">
        <v>7.0000000000000007E-2</v>
      </c>
      <c r="K7" s="1030">
        <f>SUMIF('数据-汇总表'!C$19:C$33,A7,'数据-汇总表'!E$19:E$33)</f>
        <v>11153.76</v>
      </c>
      <c r="L7" s="733">
        <v>3500</v>
      </c>
      <c r="M7" s="67">
        <f t="shared" si="0"/>
        <v>3904</v>
      </c>
      <c r="N7" s="731">
        <f>N21</f>
        <v>0.88</v>
      </c>
      <c r="O7" s="67" t="str">
        <f t="shared" ref="O7:O14" si="3">IF($N$5="成新度","——",ROUND(M7*N7,0))</f>
        <v>——</v>
      </c>
      <c r="P7" s="68" t="str">
        <f t="shared" ref="P7:P14" si="4">IF($N$5="成新度","——",M7-O7)</f>
        <v>——</v>
      </c>
      <c r="Q7" s="734">
        <v>0.1</v>
      </c>
      <c r="R7" s="69">
        <f ca="1">SUMIF('数据-汇总表'!C$19:C$33,A7,'数据-汇总表'!R$19:R$27)</f>
        <v>2596.8000000000002</v>
      </c>
      <c r="S7" s="51">
        <f>IF('数据-汇总表'!$I$17="按面积比例",SUMIF('数据-汇总表'!C$19:C$33,A7,'数据-汇总表'!K$19:K$33),SUMIF('数据-汇总表'!C$19:C$33,A7,'数据-汇总表'!N$19:N$33))</f>
        <v>0</v>
      </c>
      <c r="T7" s="1172">
        <f t="shared" ref="T7:T13" si="5">ROUND($L$14*S7/10000,0)</f>
        <v>0</v>
      </c>
      <c r="U7" s="3427">
        <v>1100</v>
      </c>
      <c r="V7" s="70">
        <v>1.4999999999999999E-2</v>
      </c>
      <c r="W7" s="70">
        <v>0.05</v>
      </c>
      <c r="X7" s="1040"/>
      <c r="Y7" s="71">
        <f>N7</f>
        <v>0.88</v>
      </c>
      <c r="Z7" s="72"/>
      <c r="AA7" s="66"/>
      <c r="AB7" s="66"/>
      <c r="AC7" s="1040"/>
      <c r="AD7" s="73"/>
      <c r="AE7" s="1041">
        <f t="shared" ref="AE7:AE13" ca="1" si="6">IF(AN7="",0,SUMIF(INDIRECT("'"&amp;AN7&amp;"'"&amp;"!E:E"),$AE$5,INDIRECT("'"&amp;AN7&amp;"'"&amp;"!F:F")))</f>
        <v>21.67</v>
      </c>
      <c r="AF7" s="1348"/>
      <c r="AG7" s="138">
        <f t="shared" ref="AG7:AG13" si="7">IF(AF7="",0,AE7-AF7)</f>
        <v>0</v>
      </c>
      <c r="AH7" s="74">
        <v>214</v>
      </c>
      <c r="AI7" s="76">
        <v>12</v>
      </c>
      <c r="AJ7" s="77"/>
      <c r="AK7" s="78">
        <v>3.0000000000000001E-3</v>
      </c>
      <c r="AL7" s="79">
        <v>1E-3</v>
      </c>
      <c r="AM7" s="80">
        <v>0.01</v>
      </c>
      <c r="AN7" s="1715" t="s">
        <v>3432</v>
      </c>
      <c r="AO7" s="52">
        <f t="shared" ref="AO7:AO13" ca="1" si="8">SUMIF(INDIRECT("'"&amp;AN7&amp;"'"&amp;"!A:A"),"总价",INDIRECT("'"&amp;AN7&amp;"'"&amp;"!B:B"))</f>
        <v>2751</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8"/>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7"/>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7"/>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7"/>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7"/>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29"/>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1205</v>
      </c>
      <c r="B14" s="1713" t="s">
        <v>1206</v>
      </c>
      <c r="C14" s="1718" t="s">
        <v>1205</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70"/>
      <c r="AO14" s="2672"/>
      <c r="AP14" s="2672"/>
      <c r="AQ14" s="2672"/>
      <c r="AR14" s="2672"/>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1207</v>
      </c>
      <c r="B15" s="1713" t="s">
        <v>1206</v>
      </c>
      <c r="C15" s="1718"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70"/>
      <c r="AO15" s="2672"/>
      <c r="AP15" s="2672"/>
      <c r="AQ15" s="2672"/>
      <c r="AR15" s="2672"/>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1209</v>
      </c>
      <c r="B16" s="88"/>
      <c r="C16" s="833"/>
      <c r="D16" s="1720"/>
      <c r="E16" s="88"/>
      <c r="F16" s="88"/>
      <c r="G16" s="89">
        <f>ROUND(SUMPRODUCT(G6:G13,K6:K13)/SUMPRODUCT((G6:G13&gt;0)*(K6:K13)),3)</f>
        <v>0.751</v>
      </c>
      <c r="H16" s="90">
        <f>ROUND(SUMPRODUCT(H6:H13,K6:K13)/SUMPRODUCT((H6:H13&gt;0)*(K6:K13)),3)</f>
        <v>0.05</v>
      </c>
      <c r="I16" s="91"/>
      <c r="J16" s="91"/>
      <c r="K16" s="92">
        <f>SUM(K6:K15)</f>
        <v>51034.460000000006</v>
      </c>
      <c r="L16" s="93">
        <f>ROUND(M16*10000/SUM(K6:K14),0)</f>
        <v>5063</v>
      </c>
      <c r="M16" s="93">
        <f>SUM(M6:M14)</f>
        <v>25838</v>
      </c>
      <c r="N16" s="94">
        <f>ROUND(SUMPRODUCT(M6:M14,N6:N14)/M16,3)</f>
        <v>0.88</v>
      </c>
      <c r="O16" s="93">
        <f>SUM(O6:O14)</f>
        <v>0</v>
      </c>
      <c r="P16" s="93">
        <f>SUM(P6:P14)</f>
        <v>0</v>
      </c>
      <c r="Q16" s="95">
        <f>ROUND(SUMPRODUCT(Q6:Q13,K6:K13)/SUMPRODUCT((Q6:Q13&gt;0)*(K6:K13)),2)</f>
        <v>0.18</v>
      </c>
      <c r="R16" s="1034">
        <f ca="1">SUM(R6:R13)</f>
        <v>11881.759999999998</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70"/>
      <c r="AO16" s="2672"/>
      <c r="AP16" s="2672"/>
      <c r="AQ16" s="2672"/>
      <c r="AR16" s="2672"/>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81"/>
      <c r="C17" s="2670"/>
      <c r="D17" s="2674"/>
      <c r="E17" s="2674"/>
      <c r="F17" s="2670"/>
      <c r="G17" s="2670"/>
      <c r="H17" s="2670"/>
      <c r="I17" s="2670"/>
      <c r="J17" s="2670"/>
      <c r="K17" s="2671"/>
      <c r="L17" s="2671"/>
      <c r="M17" s="2670"/>
      <c r="N17" s="2670">
        <v>2010</v>
      </c>
      <c r="O17" s="2670"/>
      <c r="P17" s="2670"/>
      <c r="Q17" s="2670"/>
      <c r="R17" s="2670"/>
      <c r="S17" s="2670"/>
      <c r="T17" s="2670"/>
      <c r="U17" s="2670"/>
      <c r="V17" s="2670"/>
      <c r="W17" s="2670"/>
      <c r="X17" s="2670"/>
      <c r="Y17" s="2670"/>
      <c r="Z17" s="2670"/>
      <c r="AA17" s="2670"/>
      <c r="AB17" s="2670">
        <v>2010</v>
      </c>
      <c r="AC17" s="2670"/>
      <c r="AD17" s="2670"/>
      <c r="AE17" s="2670"/>
      <c r="AF17" s="2670"/>
      <c r="AG17" s="2670"/>
      <c r="AH17" s="2670"/>
      <c r="AI17" s="2670"/>
      <c r="AJ17" s="2670"/>
      <c r="AK17" s="2670"/>
      <c r="AL17" s="2670"/>
      <c r="AM17" s="2670"/>
      <c r="AN17" s="2670"/>
      <c r="AO17" s="2670"/>
      <c r="AP17" s="2670"/>
      <c r="AQ17" s="2670"/>
      <c r="AR17" s="2670"/>
    </row>
    <row r="18" spans="1:67" ht="15" thickBot="1">
      <c r="A18" s="60" t="s">
        <v>1210</v>
      </c>
      <c r="B18" s="2684"/>
      <c r="C18" s="2672"/>
      <c r="D18" s="2675"/>
      <c r="E18" s="2672"/>
      <c r="F18" s="2672"/>
      <c r="G18" s="2672"/>
      <c r="H18" s="2672"/>
      <c r="I18" s="2672"/>
      <c r="J18" s="2672"/>
      <c r="K18" s="2671"/>
      <c r="L18" s="2671"/>
      <c r="M18" s="2670"/>
      <c r="N18" s="2670">
        <v>2022</v>
      </c>
      <c r="O18" s="2670"/>
      <c r="P18" s="2670"/>
      <c r="Q18" s="2670"/>
      <c r="R18" s="2670"/>
      <c r="S18" s="2670"/>
      <c r="T18" s="2670"/>
      <c r="U18" s="3483" t="s">
        <v>3411</v>
      </c>
      <c r="V18" s="2670"/>
      <c r="W18" s="2670"/>
      <c r="X18" s="2670"/>
      <c r="Y18" s="2670"/>
      <c r="Z18" s="2670"/>
      <c r="AA18" s="2670"/>
      <c r="AB18" s="2670">
        <v>2026</v>
      </c>
      <c r="AC18" s="2670"/>
      <c r="AD18" s="2670"/>
      <c r="AE18" s="2670"/>
      <c r="AF18" s="2670"/>
      <c r="AG18" s="2670"/>
      <c r="AH18" s="2670"/>
      <c r="AI18" s="2670"/>
      <c r="AJ18" s="2670"/>
      <c r="AK18" s="2670"/>
      <c r="AL18" s="2670"/>
      <c r="AM18" s="2670"/>
      <c r="AN18" s="2670"/>
      <c r="AO18" s="2670"/>
      <c r="AP18" s="2670"/>
      <c r="AQ18" s="2670"/>
      <c r="AR18" s="2670"/>
    </row>
    <row r="19" spans="1:67" ht="14.25">
      <c r="A19" s="1722" t="s">
        <v>1211</v>
      </c>
      <c r="B19" s="103">
        <v>0</v>
      </c>
      <c r="C19" s="2798" t="s">
        <v>2305</v>
      </c>
      <c r="D19" s="2675"/>
      <c r="E19" s="2672"/>
      <c r="F19" s="2672"/>
      <c r="G19" s="2672"/>
      <c r="H19" s="2672"/>
      <c r="I19" s="2672"/>
      <c r="J19" s="2672"/>
      <c r="K19" s="2671"/>
      <c r="L19" s="2671"/>
      <c r="M19" s="3483" t="s">
        <v>3409</v>
      </c>
      <c r="N19" s="3484">
        <f>(60-N18+N17)/60</f>
        <v>0.8</v>
      </c>
      <c r="O19" s="2670"/>
      <c r="P19" s="2670"/>
      <c r="Q19" s="2670"/>
      <c r="R19" s="2670"/>
      <c r="S19" s="2670"/>
      <c r="T19" s="2670"/>
      <c r="U19" s="2670"/>
      <c r="V19" s="2670"/>
      <c r="W19" s="2670"/>
      <c r="X19" s="2670"/>
      <c r="Y19" s="2670"/>
      <c r="Z19" s="2670"/>
      <c r="AA19" s="3483" t="s">
        <v>3409</v>
      </c>
      <c r="AB19" s="3484">
        <f>(60-AB18+AB17)/60</f>
        <v>0.73333333333333328</v>
      </c>
      <c r="AC19" s="2670"/>
      <c r="AD19" s="2670"/>
      <c r="AE19" s="2670"/>
      <c r="AF19" s="2670"/>
      <c r="AG19" s="2670"/>
      <c r="AH19" s="2670"/>
      <c r="AI19" s="2670"/>
      <c r="AJ19" s="2670"/>
      <c r="AK19" s="2670"/>
      <c r="AL19" s="2670"/>
      <c r="AM19" s="2670"/>
      <c r="AN19" s="2670"/>
      <c r="AO19" s="2670"/>
      <c r="AP19" s="2670"/>
      <c r="AQ19" s="2670"/>
      <c r="AR19" s="2670"/>
    </row>
    <row r="20" spans="1:67" ht="14.25">
      <c r="A20" s="1723" t="s">
        <v>1212</v>
      </c>
      <c r="B20" s="104">
        <v>2</v>
      </c>
      <c r="C20" s="2799" t="s">
        <v>2303</v>
      </c>
      <c r="D20" s="2675"/>
      <c r="E20" s="2672"/>
      <c r="F20" s="2672"/>
      <c r="G20" s="2672"/>
      <c r="H20" s="2672"/>
      <c r="I20" s="2672"/>
      <c r="J20" s="2672"/>
      <c r="K20" s="2671"/>
      <c r="L20" s="2671"/>
      <c r="M20" s="3483" t="s">
        <v>3410</v>
      </c>
      <c r="N20" s="3484">
        <v>0.95</v>
      </c>
      <c r="O20" s="2670"/>
      <c r="P20" s="2670"/>
      <c r="Q20" s="2670"/>
      <c r="R20" s="2670"/>
      <c r="S20" s="2670"/>
      <c r="T20" s="2670"/>
      <c r="U20" s="2670"/>
      <c r="V20" s="2670"/>
      <c r="W20" s="2670"/>
      <c r="X20" s="2670"/>
      <c r="Y20" s="2670"/>
      <c r="Z20" s="2670"/>
      <c r="AA20" s="3483" t="s">
        <v>3410</v>
      </c>
      <c r="AB20" s="3484">
        <v>0.9</v>
      </c>
      <c r="AC20" s="2670"/>
      <c r="AD20" s="2670"/>
      <c r="AE20" s="2670"/>
      <c r="AF20" s="2670"/>
      <c r="AG20" s="2670"/>
      <c r="AH20" s="2670"/>
      <c r="AI20" s="2670"/>
      <c r="AJ20" s="2670"/>
      <c r="AK20" s="2670"/>
      <c r="AL20" s="2670"/>
      <c r="AM20" s="2670"/>
      <c r="AN20" s="2670"/>
      <c r="AO20" s="2670"/>
      <c r="AP20" s="2670"/>
      <c r="AQ20" s="2670"/>
      <c r="AR20" s="2670"/>
    </row>
    <row r="21" spans="1:67" ht="14.25">
      <c r="A21" s="1724" t="s">
        <v>1213</v>
      </c>
      <c r="B21" s="104">
        <v>2</v>
      </c>
      <c r="C21" s="2672"/>
      <c r="D21" s="2675"/>
      <c r="E21" s="2672"/>
      <c r="F21" s="2672"/>
      <c r="G21" s="2672"/>
      <c r="H21" s="2672"/>
      <c r="I21" s="2672"/>
      <c r="J21" s="2672"/>
      <c r="K21" s="2671"/>
      <c r="L21" s="2671"/>
      <c r="M21" s="2670"/>
      <c r="N21" s="3484">
        <f>ROUND((N19+N20)/2,2)</f>
        <v>0.88</v>
      </c>
      <c r="O21" s="2670"/>
      <c r="P21" s="2670"/>
      <c r="Q21" s="2670"/>
      <c r="R21" s="2670"/>
      <c r="S21" s="2670"/>
      <c r="T21" s="2670"/>
      <c r="U21" s="2670"/>
      <c r="V21" s="2670"/>
      <c r="W21" s="2670"/>
      <c r="X21" s="2670"/>
      <c r="Y21" s="2670"/>
      <c r="Z21" s="2670"/>
      <c r="AA21" s="2670"/>
      <c r="AB21" s="3484">
        <f>ROUND((AB19+AB20)/2,2)</f>
        <v>0.82</v>
      </c>
      <c r="AC21" s="2670"/>
      <c r="AD21" s="2670"/>
      <c r="AE21" s="2670"/>
      <c r="AF21" s="2670"/>
      <c r="AG21" s="2670"/>
      <c r="AH21" s="2670"/>
      <c r="AI21" s="2670"/>
      <c r="AJ21" s="2670"/>
      <c r="AK21" s="2670"/>
      <c r="AL21" s="2670"/>
      <c r="AM21" s="2670"/>
      <c r="AN21" s="2670"/>
      <c r="AO21" s="2670"/>
      <c r="AP21" s="2670"/>
      <c r="AQ21" s="2670"/>
      <c r="AR21" s="2670"/>
    </row>
    <row r="22" spans="1:67" ht="14.25">
      <c r="A22" s="1723" t="s">
        <v>1214</v>
      </c>
      <c r="B22" s="105">
        <f>B19+B20</f>
        <v>2</v>
      </c>
      <c r="C22" s="2672"/>
      <c r="D22" s="2675"/>
      <c r="E22" s="2672"/>
      <c r="F22" s="2672"/>
      <c r="G22" s="2672"/>
      <c r="H22" s="2672"/>
      <c r="I22" s="2672"/>
      <c r="J22" s="2672"/>
      <c r="K22" s="2671"/>
      <c r="L22" s="2671"/>
      <c r="M22" s="2670"/>
      <c r="N22" s="2670"/>
      <c r="O22" s="2670"/>
      <c r="P22" s="2670"/>
      <c r="Q22" s="2670"/>
      <c r="R22" s="2670"/>
      <c r="S22" s="2670"/>
      <c r="T22" s="2670"/>
      <c r="U22" s="2670"/>
      <c r="V22" s="2670"/>
      <c r="W22" s="2670"/>
      <c r="X22" s="2670"/>
      <c r="Y22" s="2670"/>
      <c r="Z22" s="2670"/>
      <c r="AA22" s="2670"/>
      <c r="AB22" s="2670"/>
      <c r="AC22" s="2670"/>
      <c r="AD22" s="2670"/>
      <c r="AE22" s="2670"/>
      <c r="AF22" s="2670"/>
      <c r="AG22" s="2670"/>
      <c r="AH22" s="2670"/>
      <c r="AI22" s="2670"/>
      <c r="AJ22" s="2670"/>
      <c r="AK22" s="2670"/>
      <c r="AL22" s="2670"/>
      <c r="AM22" s="2670"/>
      <c r="AN22" s="2670"/>
      <c r="AO22" s="2670"/>
      <c r="AP22" s="2670"/>
      <c r="AQ22" s="2670"/>
      <c r="AR22" s="2670"/>
    </row>
    <row r="23" spans="1:67" ht="14.25">
      <c r="A23" s="1724" t="s">
        <v>1215</v>
      </c>
      <c r="B23" s="105">
        <f>B19+B21</f>
        <v>2</v>
      </c>
      <c r="C23" s="2672"/>
      <c r="D23" s="2675"/>
      <c r="E23" s="2672"/>
      <c r="F23" s="2672"/>
      <c r="G23" s="2672"/>
      <c r="H23" s="2672"/>
      <c r="I23" s="2672"/>
      <c r="J23" s="2672"/>
      <c r="K23" s="2671"/>
      <c r="L23" s="2671"/>
      <c r="M23" s="2670"/>
      <c r="N23" s="2670"/>
      <c r="O23" s="2670"/>
      <c r="P23" s="2670"/>
      <c r="Q23" s="2670"/>
      <c r="R23" s="2670"/>
      <c r="S23" s="2670"/>
      <c r="T23" s="2670"/>
      <c r="U23" s="2670"/>
      <c r="V23" s="2670"/>
      <c r="W23" s="2670"/>
      <c r="X23" s="2670"/>
      <c r="Y23" s="2670"/>
      <c r="Z23" s="2670"/>
      <c r="AA23" s="2670"/>
      <c r="AB23" s="2670"/>
      <c r="AC23" s="2670"/>
      <c r="AD23" s="2670"/>
      <c r="AE23" s="2670"/>
      <c r="AF23" s="2670"/>
      <c r="AG23" s="2670"/>
      <c r="AH23" s="2670"/>
      <c r="AI23" s="2670"/>
      <c r="AJ23" s="2670"/>
      <c r="AK23" s="2670"/>
      <c r="AL23" s="2670"/>
      <c r="AM23" s="2670"/>
      <c r="AN23" s="2670"/>
      <c r="AO23" s="2670"/>
      <c r="AP23" s="2670"/>
      <c r="AQ23" s="2670"/>
      <c r="AR23" s="2670"/>
    </row>
    <row r="24" spans="1:67" ht="15" thickBot="1">
      <c r="A24" s="1725" t="s">
        <v>1216</v>
      </c>
      <c r="B24" s="106">
        <f>B20-B21</f>
        <v>0</v>
      </c>
      <c r="C24" s="2672"/>
      <c r="D24" s="2675"/>
      <c r="E24" s="2672"/>
      <c r="F24" s="2672"/>
      <c r="G24" s="2672"/>
      <c r="H24" s="2672"/>
      <c r="I24" s="2672"/>
      <c r="J24" s="2672"/>
      <c r="K24" s="2671"/>
      <c r="L24" s="2671"/>
      <c r="M24" s="2670"/>
      <c r="N24" s="2670"/>
      <c r="O24" s="2670"/>
      <c r="P24" s="2670"/>
      <c r="Q24" s="2670"/>
      <c r="R24" s="2670"/>
      <c r="S24" s="2670"/>
      <c r="T24" s="2670"/>
      <c r="U24" s="2670"/>
      <c r="V24" s="2670"/>
      <c r="W24" s="2670"/>
      <c r="X24" s="2670"/>
      <c r="Y24" s="2670"/>
      <c r="Z24" s="2670"/>
      <c r="AA24" s="2670"/>
      <c r="AB24" s="2670"/>
      <c r="AC24" s="2670"/>
      <c r="AD24" s="2670"/>
      <c r="AE24" s="2670"/>
      <c r="AF24" s="2670"/>
      <c r="AG24" s="2670"/>
      <c r="AH24" s="2670"/>
      <c r="AI24" s="2670"/>
      <c r="AJ24" s="2670"/>
      <c r="AK24" s="2670"/>
      <c r="AL24" s="2670"/>
      <c r="AM24" s="2670"/>
      <c r="AN24" s="2670"/>
      <c r="AO24" s="2670"/>
      <c r="AP24" s="2670"/>
      <c r="AQ24" s="2670"/>
      <c r="AR24" s="2670"/>
    </row>
    <row r="25" spans="1:67" ht="15" thickBot="1">
      <c r="A25" s="1557"/>
      <c r="B25" s="1687"/>
      <c r="C25" s="2672"/>
      <c r="D25" s="2675"/>
      <c r="E25" s="2672"/>
      <c r="F25" s="2672"/>
      <c r="G25" s="2672"/>
      <c r="H25" s="2672"/>
      <c r="I25" s="2672"/>
      <c r="J25" s="2672"/>
      <c r="K25" s="2671"/>
      <c r="L25" s="2671"/>
      <c r="M25" s="2670"/>
      <c r="N25" s="2670"/>
      <c r="O25" s="2670"/>
      <c r="P25" s="2670"/>
      <c r="Q25" s="2670"/>
      <c r="R25" s="2670"/>
      <c r="S25" s="2670"/>
      <c r="T25" s="2670"/>
      <c r="U25" s="2670"/>
      <c r="V25" s="2670"/>
      <c r="W25" s="2670"/>
      <c r="X25" s="2670"/>
      <c r="Y25" s="2670"/>
      <c r="Z25" s="2670"/>
      <c r="AA25" s="2670"/>
      <c r="AB25" s="2670"/>
      <c r="AC25" s="2670"/>
      <c r="AD25" s="2670"/>
      <c r="AE25" s="2670"/>
      <c r="AF25" s="2670"/>
      <c r="AG25" s="2670"/>
      <c r="AH25" s="2670"/>
      <c r="AI25" s="2670"/>
      <c r="AJ25" s="2670"/>
      <c r="AK25" s="2670"/>
      <c r="AL25" s="2670"/>
      <c r="AM25" s="2670"/>
      <c r="AN25" s="2670"/>
      <c r="AO25" s="2670"/>
      <c r="AP25" s="2670"/>
      <c r="AQ25" s="2670"/>
      <c r="AR25" s="2670"/>
    </row>
    <row r="26" spans="1:67" ht="15" thickBot="1">
      <c r="A26" s="1683" t="s">
        <v>1217</v>
      </c>
      <c r="B26" s="1726" t="s">
        <v>1218</v>
      </c>
      <c r="C26" s="2676" t="s">
        <v>1219</v>
      </c>
      <c r="D26" s="2675"/>
      <c r="E26" s="2672"/>
      <c r="F26" s="2672"/>
      <c r="G26" s="2672"/>
      <c r="H26" s="2672"/>
      <c r="I26" s="2672"/>
      <c r="J26" s="2672"/>
      <c r="K26" s="2671"/>
      <c r="L26" s="2671"/>
      <c r="M26" s="2670"/>
      <c r="N26" s="2670"/>
      <c r="O26" s="2670"/>
      <c r="P26" s="2670"/>
      <c r="Q26" s="2670"/>
      <c r="R26" s="2670"/>
      <c r="S26" s="2670"/>
      <c r="T26" s="2670"/>
      <c r="U26" s="2670"/>
      <c r="V26" s="2670"/>
      <c r="W26" s="2670"/>
      <c r="X26" s="2670"/>
      <c r="Y26" s="2670"/>
      <c r="Z26" s="2670"/>
      <c r="AA26" s="2670"/>
      <c r="AB26" s="2670"/>
      <c r="AC26" s="2670"/>
      <c r="AD26" s="2670"/>
      <c r="AE26" s="2670"/>
      <c r="AF26" s="2670"/>
      <c r="AG26" s="2670"/>
      <c r="AH26" s="2670"/>
      <c r="AI26" s="2670"/>
      <c r="AJ26" s="2670"/>
      <c r="AK26" s="2670"/>
      <c r="AL26" s="2670"/>
      <c r="AM26" s="2670"/>
      <c r="AN26" s="2670"/>
      <c r="AO26" s="2670"/>
      <c r="AP26" s="2670"/>
      <c r="AQ26" s="2670"/>
      <c r="AR26" s="2670"/>
    </row>
    <row r="27" spans="1:67" s="1728" customFormat="1" ht="27.75">
      <c r="A27" s="1727" t="s">
        <v>1220</v>
      </c>
      <c r="B27" s="107">
        <v>160</v>
      </c>
      <c r="C27" s="2800" t="s">
        <v>2307</v>
      </c>
      <c r="D27" s="2678"/>
      <c r="E27" s="2660"/>
      <c r="F27" s="2660"/>
      <c r="G27" s="2672"/>
      <c r="H27" s="2672"/>
      <c r="I27" s="2672"/>
      <c r="J27" s="2672"/>
      <c r="K27" s="2671"/>
      <c r="L27" s="2671"/>
      <c r="M27" s="2670"/>
      <c r="N27" s="2670"/>
      <c r="O27" s="2670"/>
      <c r="P27" s="2670"/>
      <c r="Q27" s="2670"/>
      <c r="R27" s="2670"/>
      <c r="S27" s="2670"/>
      <c r="T27" s="2670"/>
      <c r="U27" s="2670"/>
      <c r="V27" s="2670"/>
      <c r="W27" s="2670"/>
      <c r="X27" s="2670"/>
      <c r="Y27" s="2670"/>
      <c r="Z27" s="2670"/>
      <c r="AA27" s="2670"/>
      <c r="AB27" s="2670"/>
      <c r="AC27" s="2670"/>
      <c r="AD27" s="2670"/>
      <c r="AE27" s="2670"/>
      <c r="AF27" s="2670"/>
      <c r="AG27" s="2670"/>
      <c r="AH27" s="2670"/>
      <c r="AI27" s="2670"/>
      <c r="AJ27" s="2670"/>
      <c r="AK27" s="2670"/>
      <c r="AL27" s="2670"/>
      <c r="AM27" s="2670"/>
      <c r="AN27" s="2670"/>
      <c r="AO27" s="2670"/>
      <c r="AP27" s="2670"/>
      <c r="AQ27" s="2670"/>
      <c r="AR27" s="2670"/>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1221</v>
      </c>
      <c r="B28" s="110">
        <v>200</v>
      </c>
      <c r="C28" s="2679"/>
      <c r="D28" s="2678"/>
      <c r="E28" s="2660"/>
      <c r="F28" s="2660"/>
      <c r="G28" s="2672"/>
      <c r="H28" s="2672"/>
      <c r="I28" s="2672"/>
      <c r="J28" s="2672"/>
      <c r="K28" s="2671"/>
      <c r="L28" s="2671"/>
      <c r="M28" s="2670"/>
      <c r="N28" s="2670"/>
      <c r="O28" s="2670"/>
      <c r="P28" s="2670"/>
      <c r="Q28" s="2670"/>
      <c r="R28" s="2670"/>
      <c r="S28" s="2670"/>
      <c r="T28" s="2670"/>
      <c r="U28" s="2670"/>
      <c r="V28" s="2670"/>
      <c r="W28" s="2670"/>
      <c r="X28" s="2670"/>
      <c r="Y28" s="2670"/>
      <c r="Z28" s="2670"/>
      <c r="AA28" s="2670"/>
      <c r="AB28" s="2670"/>
      <c r="AC28" s="2670"/>
      <c r="AD28" s="2670"/>
      <c r="AE28" s="2670"/>
      <c r="AF28" s="2670"/>
      <c r="AG28" s="2670"/>
      <c r="AH28" s="2670"/>
      <c r="AI28" s="2670"/>
      <c r="AJ28" s="2670"/>
      <c r="AK28" s="2670"/>
      <c r="AL28" s="2670"/>
      <c r="AM28" s="2670"/>
      <c r="AN28" s="2670"/>
      <c r="AO28" s="2670"/>
      <c r="AP28" s="2670"/>
      <c r="AQ28" s="2670"/>
      <c r="AR28" s="2670"/>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1222</v>
      </c>
      <c r="B29" s="112">
        <f>ROUND(B28*K16/10000,0)</f>
        <v>1021</v>
      </c>
      <c r="C29" s="2801" t="s">
        <v>2294</v>
      </c>
      <c r="D29" s="2678"/>
      <c r="E29" s="2660"/>
      <c r="F29" s="2660"/>
      <c r="G29" s="2672"/>
      <c r="H29" s="2672"/>
      <c r="I29" s="2672"/>
      <c r="J29" s="2672"/>
      <c r="K29" s="2671"/>
      <c r="L29" s="2671"/>
      <c r="M29" s="2670"/>
      <c r="N29" s="2670"/>
      <c r="O29" s="2670"/>
      <c r="P29" s="2670"/>
      <c r="Q29" s="2670"/>
      <c r="R29" s="2670"/>
      <c r="S29" s="2670"/>
      <c r="T29" s="2670"/>
      <c r="U29" s="2670"/>
      <c r="V29" s="2670"/>
      <c r="W29" s="2670"/>
      <c r="X29" s="2670"/>
      <c r="Y29" s="2670"/>
      <c r="Z29" s="2670"/>
      <c r="AA29" s="2670"/>
      <c r="AB29" s="2670"/>
      <c r="AC29" s="2670"/>
      <c r="AD29" s="2670"/>
      <c r="AE29" s="2670"/>
      <c r="AF29" s="2670"/>
      <c r="AG29" s="2670"/>
      <c r="AH29" s="2670"/>
      <c r="AI29" s="2670"/>
      <c r="AJ29" s="2670"/>
      <c r="AK29" s="2670"/>
      <c r="AL29" s="2670"/>
      <c r="AM29" s="2670"/>
      <c r="AN29" s="2670"/>
      <c r="AO29" s="2670"/>
      <c r="AP29" s="2670"/>
      <c r="AQ29" s="2670"/>
      <c r="AR29" s="2670"/>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1223</v>
      </c>
      <c r="B30" s="671">
        <v>200</v>
      </c>
      <c r="C30" s="2679"/>
      <c r="D30" s="2678"/>
      <c r="E30" s="2660"/>
      <c r="F30" s="2660"/>
      <c r="G30" s="2672"/>
      <c r="H30" s="2672"/>
      <c r="I30" s="2672"/>
      <c r="J30" s="2672"/>
      <c r="K30" s="2671"/>
      <c r="L30" s="2671"/>
      <c r="M30" s="2670"/>
      <c r="N30" s="2670"/>
      <c r="O30" s="2670"/>
      <c r="P30" s="2670"/>
      <c r="Q30" s="2670"/>
      <c r="R30" s="2670"/>
      <c r="S30" s="2670"/>
      <c r="T30" s="2670"/>
      <c r="U30" s="2670"/>
      <c r="V30" s="2670"/>
      <c r="W30" s="2670"/>
      <c r="X30" s="2670"/>
      <c r="Y30" s="2670"/>
      <c r="Z30" s="2670"/>
      <c r="AA30" s="2670"/>
      <c r="AB30" s="2670"/>
      <c r="AC30" s="2670"/>
      <c r="AD30" s="2670"/>
      <c r="AE30" s="2670"/>
      <c r="AF30" s="2670"/>
      <c r="AG30" s="2670"/>
      <c r="AH30" s="2670"/>
      <c r="AI30" s="2670"/>
      <c r="AJ30" s="2670"/>
      <c r="AK30" s="2670"/>
      <c r="AL30" s="2670"/>
      <c r="AM30" s="2670"/>
      <c r="AN30" s="2670"/>
      <c r="AO30" s="2670"/>
      <c r="AP30" s="2670"/>
      <c r="AQ30" s="2670"/>
      <c r="AR30" s="2670"/>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1224</v>
      </c>
      <c r="B31" s="111">
        <f>B30-B32</f>
        <v>200</v>
      </c>
      <c r="C31" s="2677"/>
      <c r="D31" s="2678"/>
      <c r="E31" s="2660"/>
      <c r="F31" s="2660"/>
      <c r="G31" s="2672"/>
      <c r="H31" s="2672"/>
      <c r="I31" s="2672"/>
      <c r="J31" s="2672"/>
      <c r="K31" s="2671"/>
      <c r="L31" s="2671"/>
      <c r="M31" s="2670"/>
      <c r="N31" s="2670"/>
      <c r="O31" s="2670"/>
      <c r="P31" s="2670"/>
      <c r="Q31" s="2670"/>
      <c r="R31" s="2670"/>
      <c r="S31" s="2670"/>
      <c r="T31" s="2670"/>
      <c r="U31" s="2670"/>
      <c r="V31" s="2670"/>
      <c r="W31" s="2670"/>
      <c r="X31" s="2670"/>
      <c r="Y31" s="2670"/>
      <c r="Z31" s="2670"/>
      <c r="AA31" s="2670"/>
      <c r="AB31" s="2670"/>
      <c r="AC31" s="2670"/>
      <c r="AD31" s="2670"/>
      <c r="AE31" s="2670"/>
      <c r="AF31" s="2670"/>
      <c r="AG31" s="2670"/>
      <c r="AH31" s="2670"/>
      <c r="AI31" s="2670"/>
      <c r="AJ31" s="2670"/>
      <c r="AK31" s="2670"/>
      <c r="AL31" s="2670"/>
      <c r="AM31" s="2670"/>
      <c r="AN31" s="2670"/>
      <c r="AO31" s="2670"/>
      <c r="AP31" s="2670"/>
      <c r="AQ31" s="2670"/>
      <c r="AR31" s="2670"/>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1225</v>
      </c>
      <c r="B32" s="672"/>
      <c r="C32" s="2679"/>
      <c r="D32" s="2675"/>
      <c r="E32" s="2672"/>
      <c r="F32" s="2672"/>
      <c r="G32" s="2672"/>
      <c r="H32" s="2672"/>
      <c r="I32" s="2672"/>
      <c r="J32" s="2672"/>
      <c r="K32" s="2671"/>
      <c r="L32" s="2671"/>
      <c r="M32" s="2670"/>
      <c r="N32" s="2670"/>
      <c r="O32" s="2670"/>
      <c r="P32" s="2670"/>
      <c r="Q32" s="2670"/>
      <c r="R32" s="2670"/>
      <c r="S32" s="2670"/>
      <c r="T32" s="2670"/>
      <c r="U32" s="2670"/>
      <c r="V32" s="2670"/>
      <c r="W32" s="2670"/>
      <c r="X32" s="2670"/>
      <c r="Y32" s="2670"/>
      <c r="Z32" s="2670"/>
      <c r="AA32" s="2670"/>
      <c r="AB32" s="2670"/>
      <c r="AC32" s="2670"/>
      <c r="AD32" s="2670"/>
      <c r="AE32" s="2670"/>
      <c r="AF32" s="2670"/>
      <c r="AG32" s="2670"/>
      <c r="AH32" s="2670"/>
      <c r="AI32" s="2670"/>
      <c r="AJ32" s="2670"/>
      <c r="AK32" s="2670"/>
      <c r="AL32" s="2670"/>
      <c r="AM32" s="2670"/>
      <c r="AN32" s="2670"/>
      <c r="AO32" s="2670"/>
      <c r="AP32" s="2670"/>
      <c r="AQ32" s="2670"/>
      <c r="AR32" s="2670"/>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1226</v>
      </c>
      <c r="B33" s="673">
        <v>0.05</v>
      </c>
      <c r="C33" s="2802" t="s">
        <v>2295</v>
      </c>
      <c r="D33" s="2675"/>
      <c r="E33" s="2672"/>
      <c r="F33" s="2672"/>
      <c r="G33" s="2672"/>
      <c r="H33" s="2672"/>
      <c r="I33" s="2672"/>
      <c r="J33" s="2672"/>
      <c r="K33" s="2671"/>
      <c r="L33" s="2671"/>
      <c r="M33" s="2670"/>
      <c r="N33" s="2670"/>
      <c r="O33" s="2670"/>
      <c r="P33" s="2670"/>
      <c r="Q33" s="2670"/>
      <c r="R33" s="2670"/>
      <c r="S33" s="2670"/>
      <c r="T33" s="2670"/>
      <c r="U33" s="2670"/>
      <c r="V33" s="2670"/>
      <c r="W33" s="2670"/>
      <c r="X33" s="2670"/>
      <c r="Y33" s="2670"/>
      <c r="Z33" s="2670"/>
      <c r="AA33" s="2670"/>
      <c r="AB33" s="2670"/>
      <c r="AC33" s="2670"/>
      <c r="AD33" s="2670"/>
      <c r="AE33" s="2670"/>
      <c r="AF33" s="2670"/>
      <c r="AG33" s="2670"/>
      <c r="AH33" s="2670"/>
      <c r="AI33" s="2670"/>
      <c r="AJ33" s="2670"/>
      <c r="AK33" s="2670"/>
      <c r="AL33" s="2670"/>
      <c r="AM33" s="2670"/>
      <c r="AN33" s="2670"/>
      <c r="AO33" s="2670"/>
      <c r="AP33" s="2670"/>
      <c r="AQ33" s="2670"/>
      <c r="AR33" s="2670"/>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1227</v>
      </c>
      <c r="B34" s="113">
        <v>0.05</v>
      </c>
      <c r="C34" s="2802" t="s">
        <v>2296</v>
      </c>
      <c r="D34" s="2683" t="s">
        <v>2304</v>
      </c>
      <c r="E34" s="2681"/>
      <c r="F34" s="2672"/>
      <c r="G34" s="2672"/>
      <c r="H34" s="2672"/>
      <c r="I34" s="2672"/>
      <c r="J34" s="2672"/>
      <c r="K34" s="2671"/>
      <c r="L34" s="2671"/>
      <c r="M34" s="2670"/>
      <c r="N34" s="2670"/>
      <c r="O34" s="2670"/>
      <c r="P34" s="2670"/>
      <c r="Q34" s="2670"/>
      <c r="R34" s="2670"/>
      <c r="S34" s="2670"/>
      <c r="T34" s="2670"/>
      <c r="U34" s="2670"/>
      <c r="V34" s="2670"/>
      <c r="W34" s="2670"/>
      <c r="X34" s="2670"/>
      <c r="Y34" s="2670"/>
      <c r="Z34" s="2670"/>
      <c r="AA34" s="2670"/>
      <c r="AB34" s="2670"/>
      <c r="AC34" s="2670"/>
      <c r="AD34" s="2670"/>
      <c r="AE34" s="2670"/>
      <c r="AF34" s="2670"/>
      <c r="AG34" s="2670"/>
      <c r="AH34" s="2670"/>
      <c r="AI34" s="2670"/>
      <c r="AJ34" s="2670"/>
      <c r="AK34" s="2670"/>
      <c r="AL34" s="2670"/>
      <c r="AM34" s="2670"/>
      <c r="AN34" s="2670"/>
      <c r="AO34" s="2670"/>
      <c r="AP34" s="2670"/>
      <c r="AQ34" s="2670"/>
      <c r="AR34" s="2670"/>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1228</v>
      </c>
      <c r="B35" s="110">
        <v>200</v>
      </c>
      <c r="C35" s="2802" t="s">
        <v>2297</v>
      </c>
      <c r="D35" s="2678"/>
      <c r="E35" s="2660"/>
      <c r="F35" s="2660"/>
      <c r="G35" s="2672"/>
      <c r="H35" s="2672"/>
      <c r="I35" s="2672"/>
      <c r="J35" s="2672"/>
      <c r="K35" s="2671"/>
      <c r="L35" s="2671"/>
      <c r="M35" s="2670"/>
      <c r="N35" s="2670"/>
      <c r="O35" s="2670"/>
      <c r="P35" s="2670"/>
      <c r="Q35" s="2670"/>
      <c r="R35" s="2670"/>
      <c r="S35" s="2670"/>
      <c r="T35" s="2670"/>
      <c r="U35" s="2670"/>
      <c r="V35" s="2670"/>
      <c r="W35" s="2670"/>
      <c r="X35" s="2670"/>
      <c r="Y35" s="2670"/>
      <c r="Z35" s="2670"/>
      <c r="AA35" s="2670"/>
      <c r="AB35" s="2670"/>
      <c r="AC35" s="2670"/>
      <c r="AD35" s="2670"/>
      <c r="AE35" s="2670"/>
      <c r="AF35" s="2670"/>
      <c r="AG35" s="2670"/>
      <c r="AH35" s="2670"/>
      <c r="AI35" s="2670"/>
      <c r="AJ35" s="2670"/>
      <c r="AK35" s="2670"/>
      <c r="AL35" s="2670"/>
      <c r="AM35" s="2670"/>
      <c r="AN35" s="2670"/>
      <c r="AO35" s="2670"/>
      <c r="AP35" s="2670"/>
      <c r="AQ35" s="2670"/>
      <c r="AR35" s="2670"/>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1229</v>
      </c>
      <c r="B36" s="114">
        <v>1.4999999999999999E-2</v>
      </c>
      <c r="C36" s="2802" t="s">
        <v>2298</v>
      </c>
      <c r="D36" s="2675"/>
      <c r="E36" s="2672"/>
      <c r="F36" s="2672"/>
      <c r="G36" s="2672"/>
      <c r="H36" s="2672"/>
      <c r="I36" s="2672"/>
      <c r="J36" s="2672"/>
      <c r="K36" s="2671"/>
      <c r="L36" s="2671"/>
      <c r="M36" s="2670"/>
      <c r="N36" s="2670"/>
      <c r="O36" s="2670"/>
      <c r="P36" s="2670"/>
      <c r="Q36" s="2670"/>
      <c r="R36" s="2670"/>
      <c r="S36" s="2670"/>
      <c r="T36" s="2670"/>
      <c r="U36" s="2670"/>
      <c r="V36" s="2670"/>
      <c r="W36" s="2670"/>
      <c r="X36" s="2670"/>
      <c r="Y36" s="2670"/>
      <c r="Z36" s="2670"/>
      <c r="AA36" s="2670"/>
      <c r="AB36" s="2670"/>
      <c r="AC36" s="2670"/>
      <c r="AD36" s="2670"/>
      <c r="AE36" s="2670"/>
      <c r="AF36" s="2670"/>
      <c r="AG36" s="2670"/>
      <c r="AH36" s="2670"/>
      <c r="AI36" s="2670"/>
      <c r="AJ36" s="2670"/>
      <c r="AK36" s="2670"/>
      <c r="AL36" s="2670"/>
      <c r="AM36" s="2670"/>
      <c r="AN36" s="2670"/>
      <c r="AO36" s="2670"/>
      <c r="AP36" s="2670"/>
      <c r="AQ36" s="2670"/>
      <c r="AR36" s="2670"/>
    </row>
    <row r="37" spans="1:67" ht="14.25">
      <c r="A37" s="1731" t="s">
        <v>1230</v>
      </c>
      <c r="B37" s="115">
        <v>0.02</v>
      </c>
      <c r="C37" s="2802" t="s">
        <v>2299</v>
      </c>
      <c r="D37" s="2675"/>
      <c r="E37" s="2672"/>
      <c r="F37" s="2672"/>
      <c r="G37" s="2672"/>
      <c r="H37" s="2672"/>
      <c r="I37" s="2672"/>
      <c r="J37" s="2672"/>
      <c r="K37" s="2671"/>
      <c r="L37" s="2671"/>
      <c r="M37" s="2670"/>
      <c r="N37" s="2670"/>
      <c r="O37" s="2670"/>
      <c r="P37" s="2670"/>
      <c r="Q37" s="2670"/>
      <c r="R37" s="2670"/>
      <c r="S37" s="2670"/>
      <c r="T37" s="2670"/>
      <c r="U37" s="2670"/>
      <c r="V37" s="2670"/>
      <c r="W37" s="2670"/>
      <c r="X37" s="2670"/>
      <c r="Y37" s="2670"/>
      <c r="Z37" s="2670"/>
      <c r="AA37" s="2670"/>
      <c r="AB37" s="2670"/>
      <c r="AC37" s="2670"/>
      <c r="AD37" s="2670"/>
      <c r="AE37" s="2670"/>
      <c r="AF37" s="2670"/>
      <c r="AG37" s="2670"/>
      <c r="AH37" s="2670"/>
      <c r="AI37" s="2670"/>
      <c r="AJ37" s="2670"/>
      <c r="AK37" s="2670"/>
      <c r="AL37" s="2670"/>
      <c r="AM37" s="2670"/>
      <c r="AN37" s="2670"/>
      <c r="AO37" s="2670"/>
      <c r="AP37" s="2670"/>
      <c r="AQ37" s="2670"/>
      <c r="AR37" s="2670"/>
    </row>
    <row r="38" spans="1:67" ht="14.25">
      <c r="A38" s="1729" t="s">
        <v>1231</v>
      </c>
      <c r="B38" s="113">
        <v>0.02</v>
      </c>
      <c r="C38" s="2802" t="s">
        <v>2299</v>
      </c>
      <c r="D38" s="2675"/>
      <c r="E38" s="2672"/>
      <c r="F38" s="2672"/>
      <c r="G38" s="2672"/>
      <c r="H38" s="2672"/>
      <c r="I38" s="2672"/>
      <c r="J38" s="2672"/>
      <c r="K38" s="2671"/>
      <c r="L38" s="2671"/>
      <c r="M38" s="2670"/>
      <c r="N38" s="2670"/>
      <c r="O38" s="2670"/>
      <c r="P38" s="2670"/>
      <c r="Q38" s="2670"/>
      <c r="R38" s="2670"/>
      <c r="S38" s="2670"/>
      <c r="T38" s="2670"/>
      <c r="U38" s="2670"/>
      <c r="V38" s="2670"/>
      <c r="W38" s="2670"/>
      <c r="X38" s="2670"/>
      <c r="Y38" s="2670"/>
      <c r="Z38" s="2670"/>
      <c r="AA38" s="2670"/>
      <c r="AB38" s="2670"/>
      <c r="AC38" s="2670"/>
      <c r="AD38" s="2670"/>
      <c r="AE38" s="2670"/>
      <c r="AF38" s="2670"/>
      <c r="AG38" s="2670"/>
      <c r="AH38" s="2670"/>
      <c r="AI38" s="2670"/>
      <c r="AJ38" s="2670"/>
      <c r="AK38" s="2670"/>
      <c r="AL38" s="2670"/>
      <c r="AM38" s="2670"/>
      <c r="AN38" s="2670"/>
      <c r="AO38" s="2670"/>
      <c r="AP38" s="2670"/>
      <c r="AQ38" s="2670"/>
      <c r="AR38" s="2670"/>
    </row>
    <row r="39" spans="1:67" ht="14.25">
      <c r="A39" s="1732" t="s">
        <v>1232</v>
      </c>
      <c r="B39" s="317">
        <f ca="1">存贷款利率!I1</f>
        <v>1.4999999999999999E-2</v>
      </c>
      <c r="C39" s="2680"/>
      <c r="D39" s="2675"/>
      <c r="E39" s="2672"/>
      <c r="F39" s="2672"/>
      <c r="G39" s="2672"/>
      <c r="H39" s="2672"/>
      <c r="I39" s="2672"/>
      <c r="J39" s="2672"/>
      <c r="K39" s="2671"/>
      <c r="L39" s="2671"/>
      <c r="M39" s="2670"/>
      <c r="N39" s="2670"/>
      <c r="O39" s="2670"/>
      <c r="P39" s="2670"/>
      <c r="Q39" s="2670"/>
      <c r="R39" s="2670"/>
      <c r="S39" s="2670"/>
      <c r="T39" s="2670"/>
      <c r="U39" s="2670"/>
      <c r="V39" s="2670"/>
      <c r="W39" s="2670"/>
      <c r="X39" s="2670"/>
      <c r="Y39" s="2670"/>
      <c r="Z39" s="2670"/>
      <c r="AA39" s="2670"/>
      <c r="AB39" s="2670"/>
      <c r="AC39" s="2670"/>
      <c r="AD39" s="2670"/>
      <c r="AE39" s="2670"/>
      <c r="AF39" s="2670"/>
      <c r="AG39" s="2670"/>
      <c r="AH39" s="2670"/>
      <c r="AI39" s="2670"/>
      <c r="AJ39" s="2670"/>
      <c r="AK39" s="2670"/>
      <c r="AL39" s="2670"/>
      <c r="AM39" s="2670"/>
      <c r="AN39" s="2670"/>
      <c r="AO39" s="2670"/>
      <c r="AP39" s="2670"/>
      <c r="AQ39" s="2670"/>
      <c r="AR39" s="2670"/>
    </row>
    <row r="40" spans="1:67" ht="29.25" thickBot="1">
      <c r="A40" s="2814" t="s">
        <v>3407</v>
      </c>
      <c r="B40" s="1078">
        <f ca="1">IF(A40="利息：取LPR",存贷款利率!G1,存贷款利率!G1+C40)</f>
        <v>4.1499999999999995E-2</v>
      </c>
      <c r="C40" s="2813">
        <v>5.0000000000000001E-3</v>
      </c>
      <c r="D40" s="2670"/>
      <c r="E40" s="2675"/>
      <c r="F40" s="2672"/>
      <c r="G40" s="2672"/>
      <c r="H40" s="2672"/>
      <c r="I40" s="2672"/>
      <c r="J40" s="2672"/>
      <c r="K40" s="2671"/>
      <c r="L40" s="2671"/>
      <c r="M40" s="2670"/>
      <c r="N40" s="2670"/>
      <c r="O40" s="2670"/>
      <c r="P40" s="2670"/>
      <c r="Q40" s="2670"/>
      <c r="R40" s="2670"/>
      <c r="S40" s="2670"/>
      <c r="T40" s="2670"/>
      <c r="U40" s="2670"/>
      <c r="V40" s="2670"/>
      <c r="W40" s="2670"/>
      <c r="X40" s="2670"/>
      <c r="Y40" s="2670"/>
      <c r="Z40" s="2670"/>
      <c r="AA40" s="2670"/>
      <c r="AB40" s="2670"/>
      <c r="AC40" s="2670"/>
      <c r="AD40" s="2670"/>
      <c r="AE40" s="2670"/>
      <c r="AF40" s="2670"/>
      <c r="AG40" s="2670"/>
      <c r="AH40" s="2670"/>
      <c r="AI40" s="2670"/>
      <c r="AJ40" s="2670"/>
      <c r="AK40" s="2670"/>
      <c r="AL40" s="2670"/>
      <c r="AM40" s="2670"/>
      <c r="AN40" s="2670"/>
      <c r="AO40" s="2670"/>
      <c r="AP40" s="2670"/>
      <c r="AQ40" s="2670"/>
      <c r="AR40" s="2670"/>
    </row>
    <row r="41" spans="1:67" ht="14.25">
      <c r="A41" s="1727" t="s">
        <v>1233</v>
      </c>
      <c r="B41" s="116">
        <f>B42+B43</f>
        <v>5.6000000000000001E-2</v>
      </c>
      <c r="C41" s="2677"/>
      <c r="D41" s="2670"/>
      <c r="E41" s="2675"/>
      <c r="F41" s="2672"/>
      <c r="G41" s="2672"/>
      <c r="H41" s="2672"/>
      <c r="I41" s="2672"/>
      <c r="J41" s="2672"/>
      <c r="K41" s="2671"/>
      <c r="L41" s="2671"/>
      <c r="M41" s="2670"/>
      <c r="N41" s="2670"/>
      <c r="O41" s="2670"/>
      <c r="P41" s="2670"/>
      <c r="Q41" s="2670"/>
      <c r="R41" s="2670"/>
      <c r="S41" s="2670"/>
      <c r="T41" s="2670"/>
      <c r="U41" s="2670"/>
      <c r="V41" s="2670"/>
      <c r="W41" s="2670"/>
      <c r="X41" s="2670"/>
      <c r="Y41" s="2670"/>
      <c r="Z41" s="2670"/>
      <c r="AA41" s="2670"/>
      <c r="AB41" s="2670"/>
      <c r="AC41" s="2670"/>
      <c r="AD41" s="2670"/>
      <c r="AE41" s="2670"/>
      <c r="AF41" s="2670"/>
      <c r="AG41" s="2670"/>
      <c r="AH41" s="2670"/>
      <c r="AI41" s="2670"/>
      <c r="AJ41" s="2670"/>
      <c r="AK41" s="2670"/>
      <c r="AL41" s="2670"/>
      <c r="AM41" s="2670"/>
      <c r="AN41" s="2670"/>
      <c r="AO41" s="2670"/>
      <c r="AP41" s="2670"/>
      <c r="AQ41" s="2670"/>
      <c r="AR41" s="2670"/>
    </row>
    <row r="42" spans="1:67" ht="14.25">
      <c r="A42" s="1733" t="s">
        <v>1234</v>
      </c>
      <c r="B42" s="117">
        <v>0.05</v>
      </c>
      <c r="C42" s="2682">
        <f>IF(B2&lt;DATE(2016,5,1),0,B42)</f>
        <v>0.05</v>
      </c>
      <c r="D42" s="2675"/>
      <c r="E42" s="2672"/>
      <c r="F42" s="2672"/>
      <c r="G42" s="2672"/>
      <c r="H42" s="2672"/>
      <c r="I42" s="2672"/>
      <c r="J42" s="2672"/>
      <c r="K42" s="2671"/>
      <c r="L42" s="2671"/>
      <c r="M42" s="2670"/>
      <c r="N42" s="2670"/>
      <c r="O42" s="2670"/>
      <c r="P42" s="2670"/>
      <c r="Q42" s="2670"/>
      <c r="R42" s="2670"/>
      <c r="S42" s="2670"/>
      <c r="T42" s="2670"/>
      <c r="U42" s="2670"/>
      <c r="V42" s="2670"/>
      <c r="W42" s="2670"/>
      <c r="X42" s="2670"/>
      <c r="Y42" s="2670"/>
      <c r="Z42" s="2670"/>
      <c r="AA42" s="2670"/>
      <c r="AB42" s="2670"/>
      <c r="AC42" s="2670"/>
      <c r="AD42" s="2670"/>
      <c r="AE42" s="2670"/>
      <c r="AF42" s="2670"/>
      <c r="AG42" s="2670"/>
      <c r="AH42" s="2670"/>
      <c r="AI42" s="2670"/>
      <c r="AJ42" s="2670"/>
      <c r="AK42" s="2670"/>
      <c r="AL42" s="2670"/>
      <c r="AM42" s="2670"/>
      <c r="AN42" s="2670"/>
      <c r="AO42" s="2670"/>
      <c r="AP42" s="2670"/>
      <c r="AQ42" s="2670"/>
      <c r="AR42" s="2670"/>
    </row>
    <row r="43" spans="1:67" ht="14.25">
      <c r="A43" s="1733" t="s">
        <v>1235</v>
      </c>
      <c r="B43" s="118">
        <f>B42*(B44+B45+B46)+B47</f>
        <v>6.000000000000001E-3</v>
      </c>
      <c r="C43" s="2677"/>
      <c r="D43" s="2675"/>
      <c r="E43" s="2672"/>
      <c r="F43" s="2672"/>
      <c r="G43" s="2672"/>
      <c r="H43" s="2672"/>
      <c r="I43" s="2672"/>
      <c r="J43" s="2672"/>
      <c r="K43" s="2671"/>
      <c r="L43" s="2671"/>
      <c r="M43" s="2670"/>
      <c r="N43" s="2670"/>
      <c r="O43" s="2670"/>
      <c r="P43" s="2670"/>
      <c r="Q43" s="2670"/>
      <c r="R43" s="2670"/>
      <c r="S43" s="2670"/>
      <c r="T43" s="2670"/>
      <c r="U43" s="2670"/>
      <c r="V43" s="2670"/>
      <c r="W43" s="2670"/>
      <c r="X43" s="2670"/>
      <c r="Y43" s="2670"/>
      <c r="Z43" s="2670"/>
      <c r="AA43" s="2670"/>
      <c r="AB43" s="2670"/>
      <c r="AC43" s="2670"/>
      <c r="AD43" s="2670"/>
      <c r="AE43" s="2670"/>
      <c r="AF43" s="2670"/>
      <c r="AG43" s="2670"/>
      <c r="AH43" s="2670"/>
      <c r="AI43" s="2670"/>
      <c r="AJ43" s="2670"/>
      <c r="AK43" s="2670"/>
      <c r="AL43" s="2670"/>
      <c r="AM43" s="2670"/>
      <c r="AN43" s="2670"/>
      <c r="AO43" s="2670"/>
      <c r="AP43" s="2670"/>
      <c r="AQ43" s="2670"/>
      <c r="AR43" s="2670"/>
    </row>
    <row r="44" spans="1:67" ht="14.25">
      <c r="A44" s="1734" t="s">
        <v>1236</v>
      </c>
      <c r="B44" s="119">
        <v>7.0000000000000007E-2</v>
      </c>
      <c r="C44" s="2802" t="s">
        <v>2308</v>
      </c>
      <c r="D44" s="2675"/>
      <c r="E44" s="2672"/>
      <c r="F44" s="2672"/>
      <c r="G44" s="2672"/>
      <c r="H44" s="2672"/>
      <c r="I44" s="2672"/>
      <c r="J44" s="2672"/>
      <c r="K44" s="2671"/>
      <c r="L44" s="2671"/>
      <c r="M44" s="2670"/>
      <c r="N44" s="2670"/>
      <c r="O44" s="2670"/>
      <c r="P44" s="2670"/>
      <c r="Q44" s="2670"/>
      <c r="R44" s="2670"/>
      <c r="S44" s="2670"/>
      <c r="T44" s="2670"/>
      <c r="U44" s="2670"/>
      <c r="V44" s="2670"/>
      <c r="W44" s="2670"/>
      <c r="X44" s="2670"/>
      <c r="Y44" s="2670"/>
      <c r="Z44" s="2670"/>
      <c r="AA44" s="2670"/>
      <c r="AB44" s="2670"/>
      <c r="AC44" s="2670"/>
      <c r="AD44" s="2670"/>
      <c r="AE44" s="2670"/>
      <c r="AF44" s="2670"/>
      <c r="AG44" s="2670"/>
      <c r="AH44" s="2670"/>
      <c r="AI44" s="2670"/>
      <c r="AJ44" s="2670"/>
      <c r="AK44" s="2670"/>
      <c r="AL44" s="2670"/>
      <c r="AM44" s="2670"/>
      <c r="AN44" s="2670"/>
      <c r="AO44" s="2670"/>
      <c r="AP44" s="2670"/>
      <c r="AQ44" s="2670"/>
      <c r="AR44" s="2670"/>
    </row>
    <row r="45" spans="1:67" ht="14.25">
      <c r="A45" s="1734" t="s">
        <v>1237</v>
      </c>
      <c r="B45" s="117">
        <v>0.03</v>
      </c>
      <c r="C45" s="2801" t="s">
        <v>2300</v>
      </c>
      <c r="D45" s="2675"/>
      <c r="E45" s="2672"/>
      <c r="F45" s="2672"/>
      <c r="G45" s="2672"/>
      <c r="H45" s="2672"/>
      <c r="I45" s="2672"/>
      <c r="J45" s="2672"/>
      <c r="K45" s="2671"/>
      <c r="L45" s="2671"/>
      <c r="M45" s="2670"/>
      <c r="N45" s="2670"/>
      <c r="O45" s="2670"/>
      <c r="P45" s="2670"/>
      <c r="Q45" s="2670"/>
      <c r="R45" s="2670"/>
      <c r="S45" s="2670"/>
      <c r="T45" s="2670"/>
      <c r="U45" s="2670"/>
      <c r="V45" s="2670"/>
      <c r="W45" s="2670"/>
      <c r="X45" s="2670"/>
      <c r="Y45" s="2670"/>
      <c r="Z45" s="2670"/>
      <c r="AA45" s="2670"/>
      <c r="AB45" s="2670"/>
      <c r="AC45" s="2670"/>
      <c r="AD45" s="2670"/>
      <c r="AE45" s="2670"/>
      <c r="AF45" s="2670"/>
      <c r="AG45" s="2670"/>
      <c r="AH45" s="2670"/>
      <c r="AI45" s="2670"/>
      <c r="AJ45" s="2670"/>
      <c r="AK45" s="2670"/>
      <c r="AL45" s="2670"/>
      <c r="AM45" s="2670"/>
      <c r="AN45" s="2670"/>
      <c r="AO45" s="2670"/>
      <c r="AP45" s="2670"/>
      <c r="AQ45" s="2670"/>
      <c r="AR45" s="2670"/>
    </row>
    <row r="46" spans="1:67" ht="14.25">
      <c r="A46" s="1734" t="s">
        <v>1238</v>
      </c>
      <c r="B46" s="117">
        <v>0.02</v>
      </c>
      <c r="C46" s="2801" t="s">
        <v>2301</v>
      </c>
      <c r="D46" s="2675"/>
      <c r="E46" s="2672"/>
      <c r="F46" s="2672"/>
      <c r="G46" s="2672"/>
      <c r="H46" s="2672"/>
      <c r="I46" s="2672"/>
      <c r="J46" s="2672"/>
      <c r="K46" s="2671"/>
      <c r="L46" s="2671"/>
      <c r="M46" s="2670"/>
      <c r="N46" s="2670"/>
      <c r="O46" s="2670"/>
      <c r="P46" s="2670"/>
      <c r="Q46" s="2670"/>
      <c r="R46" s="2670"/>
      <c r="S46" s="2670"/>
      <c r="T46" s="2670"/>
      <c r="U46" s="2670"/>
      <c r="V46" s="2670"/>
      <c r="W46" s="2670"/>
      <c r="X46" s="2670"/>
      <c r="Y46" s="2670"/>
      <c r="Z46" s="2670"/>
      <c r="AA46" s="2670"/>
      <c r="AB46" s="2670"/>
      <c r="AC46" s="2670"/>
      <c r="AD46" s="2670"/>
      <c r="AE46" s="2670"/>
      <c r="AF46" s="2670"/>
      <c r="AG46" s="2670"/>
      <c r="AH46" s="2670"/>
      <c r="AI46" s="2670"/>
      <c r="AJ46" s="2670"/>
      <c r="AK46" s="2670"/>
      <c r="AL46" s="2670"/>
      <c r="AM46" s="2670"/>
      <c r="AN46" s="2670"/>
      <c r="AO46" s="2670"/>
      <c r="AP46" s="2670"/>
      <c r="AQ46" s="2670"/>
      <c r="AR46" s="2670"/>
    </row>
    <row r="47" spans="1:67" ht="15" thickBot="1">
      <c r="A47" s="1735" t="s">
        <v>1239</v>
      </c>
      <c r="B47" s="120"/>
      <c r="C47" s="2804" t="s">
        <v>2309</v>
      </c>
      <c r="D47" s="2675"/>
      <c r="E47" s="2672"/>
      <c r="F47" s="2672"/>
      <c r="G47" s="2672"/>
      <c r="H47" s="2672"/>
      <c r="I47" s="2672"/>
      <c r="J47" s="2672"/>
      <c r="K47" s="2671"/>
      <c r="L47" s="2671"/>
      <c r="M47" s="2670"/>
      <c r="N47" s="2670"/>
      <c r="O47" s="2670"/>
      <c r="P47" s="2670"/>
      <c r="Q47" s="2670"/>
      <c r="R47" s="2670"/>
      <c r="S47" s="2670"/>
      <c r="T47" s="2670"/>
      <c r="U47" s="2670"/>
      <c r="V47" s="2670"/>
      <c r="W47" s="2670"/>
      <c r="X47" s="2670"/>
      <c r="Y47" s="2670"/>
      <c r="Z47" s="2670"/>
      <c r="AA47" s="2670"/>
      <c r="AB47" s="2670"/>
      <c r="AC47" s="2670"/>
      <c r="AD47" s="2670"/>
      <c r="AE47" s="2670"/>
      <c r="AF47" s="2670"/>
      <c r="AG47" s="2670"/>
      <c r="AH47" s="2670"/>
      <c r="AI47" s="2670"/>
      <c r="AJ47" s="2670"/>
      <c r="AK47" s="2670"/>
      <c r="AL47" s="2670"/>
      <c r="AM47" s="2670"/>
      <c r="AN47" s="2670"/>
      <c r="AO47" s="2670"/>
      <c r="AP47" s="2670"/>
      <c r="AQ47" s="2670"/>
      <c r="AR47" s="2670"/>
    </row>
    <row r="48" spans="1:67" ht="14.25">
      <c r="A48" s="1736" t="s">
        <v>1240</v>
      </c>
      <c r="B48" s="121">
        <v>0.03</v>
      </c>
      <c r="C48" s="2801" t="s">
        <v>2300</v>
      </c>
      <c r="D48" s="2675"/>
      <c r="E48" s="2672"/>
      <c r="F48" s="2672"/>
      <c r="G48" s="2672"/>
      <c r="H48" s="2672"/>
      <c r="I48" s="2672"/>
      <c r="J48" s="2672"/>
      <c r="K48" s="2671"/>
      <c r="L48" s="2671"/>
      <c r="M48" s="2670"/>
      <c r="N48" s="2670"/>
      <c r="O48" s="2670"/>
      <c r="P48" s="2670"/>
      <c r="Q48" s="2670"/>
      <c r="R48" s="2670"/>
      <c r="S48" s="2670"/>
      <c r="T48" s="2670"/>
      <c r="U48" s="2670"/>
      <c r="V48" s="2670"/>
      <c r="W48" s="2670"/>
      <c r="X48" s="2670"/>
      <c r="Y48" s="2670"/>
      <c r="Z48" s="2670"/>
      <c r="AA48" s="2670"/>
      <c r="AB48" s="2670"/>
      <c r="AC48" s="2670"/>
      <c r="AD48" s="2670"/>
      <c r="AE48" s="2670"/>
      <c r="AF48" s="2670"/>
      <c r="AG48" s="2670"/>
      <c r="AH48" s="2670"/>
      <c r="AI48" s="2670"/>
      <c r="AJ48" s="2670"/>
      <c r="AK48" s="2670"/>
      <c r="AL48" s="2670"/>
      <c r="AM48" s="2670"/>
      <c r="AN48" s="2670"/>
      <c r="AO48" s="2670"/>
      <c r="AP48" s="2670"/>
      <c r="AQ48" s="2670"/>
      <c r="AR48" s="2670"/>
    </row>
    <row r="49" spans="1:44" ht="15" thickBot="1">
      <c r="A49" s="1732" t="s">
        <v>1241</v>
      </c>
      <c r="B49" s="117">
        <v>5.0000000000000001E-4</v>
      </c>
      <c r="C49" s="2801" t="s">
        <v>2302</v>
      </c>
      <c r="D49" s="2675"/>
      <c r="E49" s="2672"/>
      <c r="F49" s="2672"/>
      <c r="G49" s="2672"/>
      <c r="H49" s="2672"/>
      <c r="I49" s="2672"/>
      <c r="J49" s="2672"/>
      <c r="K49" s="2671"/>
      <c r="L49" s="2671"/>
      <c r="M49" s="2670"/>
      <c r="N49" s="2670"/>
      <c r="O49" s="2670"/>
      <c r="P49" s="2670"/>
      <c r="Q49" s="2670"/>
      <c r="R49" s="2670"/>
      <c r="S49" s="2670"/>
      <c r="T49" s="2670"/>
      <c r="U49" s="2670"/>
      <c r="V49" s="2670"/>
      <c r="W49" s="2670"/>
      <c r="X49" s="2670"/>
      <c r="Y49" s="2670"/>
      <c r="Z49" s="2670"/>
      <c r="AA49" s="2670"/>
      <c r="AB49" s="2670"/>
      <c r="AC49" s="2670"/>
      <c r="AD49" s="2670"/>
      <c r="AE49" s="2670"/>
      <c r="AF49" s="2670"/>
      <c r="AG49" s="2670"/>
      <c r="AH49" s="2670"/>
      <c r="AI49" s="2670"/>
      <c r="AJ49" s="2670"/>
      <c r="AK49" s="2670"/>
      <c r="AL49" s="2670"/>
      <c r="AM49" s="2670"/>
      <c r="AN49" s="2670"/>
      <c r="AO49" s="2670"/>
      <c r="AP49" s="2670"/>
      <c r="AQ49" s="2670"/>
      <c r="AR49" s="2670"/>
    </row>
    <row r="50" spans="1:44" ht="14.25">
      <c r="A50" s="1737" t="s">
        <v>1242</v>
      </c>
      <c r="B50" s="122">
        <v>1.2E-2</v>
      </c>
      <c r="C50" s="2660"/>
      <c r="D50" s="2675"/>
      <c r="E50" s="2672"/>
      <c r="F50" s="2672"/>
      <c r="G50" s="2672"/>
      <c r="H50" s="2672"/>
      <c r="I50" s="2672"/>
      <c r="J50" s="2672"/>
      <c r="K50" s="2671"/>
      <c r="L50" s="2671"/>
      <c r="M50" s="2670"/>
      <c r="N50" s="2670"/>
      <c r="O50" s="2670"/>
      <c r="P50" s="2670"/>
      <c r="Q50" s="2670"/>
      <c r="R50" s="2670"/>
      <c r="S50" s="2670"/>
      <c r="T50" s="2670"/>
      <c r="U50" s="2670"/>
      <c r="V50" s="2670"/>
      <c r="W50" s="2670"/>
      <c r="X50" s="2670"/>
      <c r="Y50" s="2670"/>
      <c r="Z50" s="2670"/>
      <c r="AA50" s="2670"/>
      <c r="AB50" s="2670"/>
      <c r="AC50" s="2670"/>
      <c r="AD50" s="2670"/>
      <c r="AE50" s="2670"/>
      <c r="AF50" s="2670"/>
      <c r="AG50" s="2670"/>
      <c r="AH50" s="2670"/>
      <c r="AI50" s="2670"/>
      <c r="AJ50" s="2670"/>
      <c r="AK50" s="2670"/>
      <c r="AL50" s="2670"/>
      <c r="AM50" s="2670"/>
      <c r="AN50" s="2670"/>
      <c r="AO50" s="2670"/>
      <c r="AP50" s="2670"/>
      <c r="AQ50" s="2670"/>
      <c r="AR50" s="2670"/>
    </row>
    <row r="51" spans="1:44" ht="15" thickBot="1">
      <c r="A51" s="1730" t="s">
        <v>1243</v>
      </c>
      <c r="B51" s="123">
        <v>0.12</v>
      </c>
      <c r="C51" s="2660"/>
      <c r="D51" s="2675"/>
      <c r="E51" s="2672"/>
      <c r="F51" s="2672"/>
      <c r="G51" s="2672"/>
      <c r="H51" s="2672"/>
      <c r="I51" s="2672"/>
      <c r="J51" s="2672"/>
      <c r="K51" s="2671"/>
      <c r="L51" s="2671"/>
      <c r="M51" s="2670"/>
      <c r="N51" s="2670"/>
      <c r="O51" s="2670"/>
      <c r="P51" s="2670"/>
      <c r="Q51" s="2670"/>
      <c r="R51" s="2670"/>
      <c r="S51" s="2670"/>
      <c r="T51" s="2670"/>
      <c r="U51" s="2670"/>
      <c r="V51" s="2670"/>
      <c r="W51" s="2670"/>
      <c r="X51" s="2670"/>
      <c r="Y51" s="2670"/>
      <c r="Z51" s="2670"/>
      <c r="AA51" s="2670"/>
      <c r="AB51" s="2670"/>
      <c r="AC51" s="2670"/>
      <c r="AD51" s="2670"/>
      <c r="AE51" s="2670"/>
      <c r="AF51" s="2670"/>
      <c r="AG51" s="2670"/>
      <c r="AH51" s="2670"/>
      <c r="AI51" s="2670"/>
      <c r="AJ51" s="2670"/>
      <c r="AK51" s="2670"/>
      <c r="AL51" s="2670"/>
      <c r="AM51" s="2670"/>
      <c r="AN51" s="2670"/>
      <c r="AO51" s="2670"/>
      <c r="AP51" s="2670"/>
      <c r="AQ51" s="2670"/>
      <c r="AR51" s="2670"/>
    </row>
    <row r="52" spans="1:44" ht="14.25">
      <c r="A52" s="1737" t="s">
        <v>1244</v>
      </c>
      <c r="B52" s="124">
        <f>SUMIF(A54:A63,B53,B54:B63)</f>
        <v>18</v>
      </c>
      <c r="C52" s="2660"/>
      <c r="D52" s="2675"/>
      <c r="E52" s="2672"/>
      <c r="F52" s="2672"/>
      <c r="G52" s="2672"/>
      <c r="H52" s="2672"/>
      <c r="I52" s="2672"/>
      <c r="J52" s="2672"/>
      <c r="K52" s="2671"/>
      <c r="L52" s="2671"/>
      <c r="M52" s="2670"/>
      <c r="N52" s="2670"/>
      <c r="O52" s="2670"/>
      <c r="P52" s="2670"/>
      <c r="Q52" s="2670"/>
      <c r="R52" s="2670"/>
      <c r="S52" s="2670"/>
      <c r="T52" s="2670"/>
      <c r="U52" s="2670"/>
      <c r="V52" s="2670"/>
      <c r="W52" s="2670"/>
      <c r="X52" s="2670"/>
      <c r="Y52" s="2670"/>
      <c r="Z52" s="2670"/>
      <c r="AA52" s="2670"/>
      <c r="AB52" s="2670"/>
      <c r="AC52" s="2670"/>
      <c r="AD52" s="2670"/>
      <c r="AE52" s="2670"/>
      <c r="AF52" s="2670"/>
      <c r="AG52" s="2670"/>
      <c r="AH52" s="2670"/>
      <c r="AI52" s="2670"/>
      <c r="AJ52" s="2670"/>
      <c r="AK52" s="2670"/>
      <c r="AL52" s="2670"/>
      <c r="AM52" s="2670"/>
      <c r="AN52" s="2670"/>
      <c r="AO52" s="2670"/>
      <c r="AP52" s="2670"/>
      <c r="AQ52" s="2670"/>
      <c r="AR52" s="2670"/>
    </row>
    <row r="53" spans="1:44" ht="27">
      <c r="A53" s="1729" t="s">
        <v>1245</v>
      </c>
      <c r="B53" s="1738" t="s">
        <v>296</v>
      </c>
      <c r="C53" s="2660" t="s">
        <v>1246</v>
      </c>
      <c r="D53" s="2803" t="s">
        <v>2306</v>
      </c>
      <c r="E53" s="2672"/>
      <c r="F53" s="2672"/>
      <c r="G53" s="2672"/>
      <c r="H53" s="2672"/>
      <c r="I53" s="2672"/>
      <c r="J53" s="2672"/>
      <c r="K53" s="2671"/>
      <c r="L53" s="2671"/>
      <c r="M53" s="2670"/>
      <c r="N53" s="2670"/>
      <c r="O53" s="2670"/>
      <c r="P53" s="2670"/>
      <c r="Q53" s="2670"/>
      <c r="R53" s="2670"/>
      <c r="S53" s="2670"/>
      <c r="T53" s="2670"/>
      <c r="U53" s="2670"/>
      <c r="V53" s="2670"/>
      <c r="W53" s="2670"/>
      <c r="X53" s="2670"/>
      <c r="Y53" s="2670"/>
      <c r="Z53" s="2670"/>
      <c r="AA53" s="2670"/>
      <c r="AB53" s="2670"/>
      <c r="AC53" s="2670"/>
      <c r="AD53" s="2670"/>
      <c r="AE53" s="2670"/>
      <c r="AF53" s="2670"/>
      <c r="AG53" s="2670"/>
      <c r="AH53" s="2670"/>
      <c r="AI53" s="2670"/>
      <c r="AJ53" s="2670"/>
      <c r="AK53" s="2670"/>
      <c r="AL53" s="2670"/>
      <c r="AM53" s="2670"/>
      <c r="AN53" s="2670"/>
      <c r="AO53" s="2670"/>
      <c r="AP53" s="2670"/>
      <c r="AQ53" s="2670"/>
      <c r="AR53" s="2670"/>
    </row>
    <row r="54" spans="1:44" ht="14.25">
      <c r="A54" s="1739" t="s">
        <v>1247</v>
      </c>
      <c r="B54" s="75"/>
      <c r="C54" s="2660">
        <v>30</v>
      </c>
      <c r="D54" s="2675"/>
      <c r="E54" s="2672"/>
      <c r="F54" s="2672"/>
      <c r="G54" s="2672"/>
      <c r="H54" s="2672"/>
      <c r="I54" s="2672"/>
      <c r="J54" s="2672"/>
      <c r="K54" s="2671"/>
      <c r="L54" s="2671"/>
      <c r="M54" s="2670"/>
      <c r="N54" s="2670"/>
      <c r="O54" s="2670"/>
      <c r="P54" s="2670"/>
      <c r="Q54" s="2670"/>
      <c r="R54" s="2670"/>
      <c r="S54" s="2670"/>
      <c r="T54" s="2670"/>
      <c r="U54" s="2670"/>
      <c r="V54" s="2670"/>
      <c r="W54" s="2670"/>
      <c r="X54" s="2670"/>
      <c r="Y54" s="2670"/>
      <c r="Z54" s="2670"/>
      <c r="AA54" s="2670"/>
      <c r="AB54" s="2670"/>
      <c r="AC54" s="2670"/>
      <c r="AD54" s="2670"/>
      <c r="AE54" s="2670"/>
      <c r="AF54" s="2670"/>
      <c r="AG54" s="2670"/>
      <c r="AH54" s="2670"/>
      <c r="AI54" s="2670"/>
      <c r="AJ54" s="2670"/>
      <c r="AK54" s="2670"/>
      <c r="AL54" s="2670"/>
      <c r="AM54" s="2670"/>
      <c r="AN54" s="2670"/>
      <c r="AO54" s="2670"/>
      <c r="AP54" s="2670"/>
      <c r="AQ54" s="2670"/>
      <c r="AR54" s="2670"/>
    </row>
    <row r="55" spans="1:44" ht="14.25">
      <c r="A55" s="1739" t="s">
        <v>1248</v>
      </c>
      <c r="B55" s="75"/>
      <c r="C55" s="2660">
        <v>24</v>
      </c>
      <c r="D55" s="2675"/>
      <c r="E55" s="2672"/>
      <c r="F55" s="2672"/>
      <c r="G55" s="2672"/>
      <c r="H55" s="2672"/>
      <c r="I55" s="2673"/>
      <c r="J55" s="2672"/>
      <c r="K55" s="2671"/>
      <c r="L55" s="2671"/>
      <c r="M55" s="2670"/>
      <c r="N55" s="2670"/>
      <c r="O55" s="2670"/>
      <c r="P55" s="2670"/>
      <c r="Q55" s="2670"/>
      <c r="R55" s="2670"/>
      <c r="S55" s="2670"/>
      <c r="T55" s="2670"/>
      <c r="U55" s="2670"/>
      <c r="V55" s="2670"/>
      <c r="W55" s="2670"/>
      <c r="X55" s="2670"/>
      <c r="Y55" s="2670"/>
      <c r="Z55" s="2670"/>
      <c r="AA55" s="2670"/>
      <c r="AB55" s="2670"/>
      <c r="AC55" s="2670"/>
      <c r="AD55" s="2670"/>
      <c r="AE55" s="2670"/>
      <c r="AF55" s="2670"/>
      <c r="AG55" s="2670"/>
      <c r="AH55" s="2670"/>
      <c r="AI55" s="2670"/>
      <c r="AJ55" s="2670"/>
      <c r="AK55" s="2670"/>
      <c r="AL55" s="2670"/>
      <c r="AM55" s="2670"/>
      <c r="AN55" s="2670"/>
      <c r="AO55" s="2670"/>
      <c r="AP55" s="2670"/>
      <c r="AQ55" s="2670"/>
      <c r="AR55" s="2670"/>
    </row>
    <row r="56" spans="1:44" ht="14.25">
      <c r="A56" s="1739" t="s">
        <v>1249</v>
      </c>
      <c r="B56" s="75">
        <v>18</v>
      </c>
      <c r="C56" s="2660">
        <v>18</v>
      </c>
      <c r="D56" s="2675"/>
      <c r="E56" s="2672"/>
      <c r="F56" s="2672"/>
      <c r="G56" s="2672"/>
      <c r="H56" s="2672"/>
      <c r="I56" s="2672"/>
      <c r="J56" s="2672"/>
      <c r="K56" s="2671"/>
      <c r="L56" s="2671"/>
      <c r="M56" s="2670"/>
      <c r="N56" s="2670"/>
      <c r="O56" s="2670"/>
      <c r="P56" s="2670"/>
      <c r="Q56" s="2670"/>
      <c r="R56" s="2670"/>
      <c r="S56" s="2670"/>
      <c r="T56" s="2670"/>
      <c r="U56" s="2670"/>
      <c r="V56" s="2670"/>
      <c r="W56" s="2670"/>
      <c r="X56" s="2670"/>
      <c r="Y56" s="2670"/>
      <c r="Z56" s="2670"/>
      <c r="AA56" s="2670"/>
      <c r="AB56" s="2670"/>
      <c r="AC56" s="2670"/>
      <c r="AD56" s="2670"/>
      <c r="AE56" s="2670"/>
      <c r="AF56" s="2670"/>
      <c r="AG56" s="2670"/>
      <c r="AH56" s="2670"/>
      <c r="AI56" s="2670"/>
      <c r="AJ56" s="2670"/>
      <c r="AK56" s="2670"/>
      <c r="AL56" s="2670"/>
      <c r="AM56" s="2670"/>
      <c r="AN56" s="2670"/>
      <c r="AO56" s="2670"/>
      <c r="AP56" s="2670"/>
      <c r="AQ56" s="2670"/>
      <c r="AR56" s="2670"/>
    </row>
    <row r="57" spans="1:44" ht="14.25">
      <c r="A57" s="1739" t="s">
        <v>1250</v>
      </c>
      <c r="B57" s="75"/>
      <c r="C57" s="2660">
        <v>12</v>
      </c>
      <c r="D57" s="2675"/>
      <c r="E57" s="2672"/>
      <c r="F57" s="2672"/>
      <c r="G57" s="2672"/>
      <c r="H57" s="2672"/>
      <c r="I57" s="2672"/>
      <c r="J57" s="2672"/>
      <c r="K57" s="2671"/>
      <c r="L57" s="2671"/>
      <c r="M57" s="2670"/>
      <c r="N57" s="2670"/>
      <c r="O57" s="2670"/>
      <c r="P57" s="2670"/>
      <c r="Q57" s="2670"/>
      <c r="R57" s="2670"/>
      <c r="S57" s="2670"/>
      <c r="T57" s="2670"/>
      <c r="U57" s="2670"/>
      <c r="V57" s="2670"/>
      <c r="W57" s="2670"/>
      <c r="X57" s="2670"/>
      <c r="Y57" s="2670"/>
      <c r="Z57" s="2670"/>
      <c r="AA57" s="2670"/>
      <c r="AB57" s="2670"/>
      <c r="AC57" s="2670"/>
      <c r="AD57" s="2670"/>
      <c r="AE57" s="2670"/>
      <c r="AF57" s="2670"/>
      <c r="AG57" s="2670"/>
      <c r="AH57" s="2670"/>
      <c r="AI57" s="2670"/>
      <c r="AJ57" s="2670"/>
      <c r="AK57" s="2670"/>
      <c r="AL57" s="2670"/>
      <c r="AM57" s="2670"/>
      <c r="AN57" s="2670"/>
      <c r="AO57" s="2670"/>
      <c r="AP57" s="2670"/>
      <c r="AQ57" s="2670"/>
      <c r="AR57" s="2670"/>
    </row>
    <row r="58" spans="1:44" ht="14.25">
      <c r="A58" s="1739" t="s">
        <v>1251</v>
      </c>
      <c r="B58" s="75"/>
      <c r="C58" s="2660">
        <v>3</v>
      </c>
      <c r="D58" s="2675"/>
      <c r="E58" s="2672"/>
      <c r="F58" s="2672"/>
      <c r="G58" s="2672"/>
      <c r="H58" s="2672"/>
      <c r="I58" s="2672"/>
      <c r="J58" s="2672"/>
      <c r="K58" s="2671"/>
      <c r="L58" s="2671"/>
      <c r="M58" s="2670"/>
      <c r="N58" s="2670"/>
      <c r="O58" s="2670"/>
      <c r="P58" s="2670"/>
      <c r="Q58" s="2670"/>
      <c r="R58" s="2670"/>
      <c r="S58" s="2670"/>
      <c r="T58" s="2670"/>
      <c r="U58" s="2670"/>
      <c r="V58" s="2670"/>
      <c r="W58" s="2670"/>
      <c r="X58" s="2670"/>
      <c r="Y58" s="2670"/>
      <c r="Z58" s="2670"/>
      <c r="AA58" s="2670"/>
      <c r="AB58" s="2670"/>
      <c r="AC58" s="2670"/>
      <c r="AD58" s="2670"/>
      <c r="AE58" s="2670"/>
      <c r="AF58" s="2670"/>
      <c r="AG58" s="2670"/>
      <c r="AH58" s="2670"/>
      <c r="AI58" s="2670"/>
      <c r="AJ58" s="2670"/>
      <c r="AK58" s="2670"/>
      <c r="AL58" s="2670"/>
      <c r="AM58" s="2670"/>
      <c r="AN58" s="2670"/>
      <c r="AO58" s="2670"/>
      <c r="AP58" s="2670"/>
      <c r="AQ58" s="2670"/>
      <c r="AR58" s="2670"/>
    </row>
    <row r="59" spans="1:44" ht="14.25">
      <c r="A59" s="1739" t="s">
        <v>1252</v>
      </c>
      <c r="B59" s="75"/>
      <c r="C59" s="2660">
        <v>1.5</v>
      </c>
      <c r="D59" s="2675"/>
      <c r="E59" s="2672"/>
      <c r="F59" s="2672"/>
      <c r="G59" s="2672"/>
      <c r="H59" s="2672"/>
      <c r="I59" s="2672"/>
      <c r="J59" s="2672"/>
      <c r="K59" s="2671"/>
      <c r="L59" s="2671"/>
      <c r="M59" s="2670"/>
      <c r="N59" s="2670"/>
      <c r="O59" s="2670"/>
      <c r="P59" s="2670"/>
      <c r="Q59" s="2670"/>
      <c r="R59" s="2670"/>
      <c r="S59" s="2670"/>
      <c r="T59" s="2670"/>
      <c r="U59" s="2670"/>
      <c r="V59" s="2670"/>
      <c r="W59" s="2670"/>
      <c r="X59" s="2670"/>
      <c r="Y59" s="2670"/>
      <c r="Z59" s="2670"/>
      <c r="AA59" s="2670"/>
      <c r="AB59" s="2670"/>
      <c r="AC59" s="2670"/>
      <c r="AD59" s="2670"/>
      <c r="AE59" s="2670"/>
      <c r="AF59" s="2670"/>
      <c r="AG59" s="2670"/>
      <c r="AH59" s="2670"/>
      <c r="AI59" s="2670"/>
      <c r="AJ59" s="2670"/>
      <c r="AK59" s="2670"/>
      <c r="AL59" s="2670"/>
      <c r="AM59" s="2670"/>
      <c r="AN59" s="2670"/>
      <c r="AO59" s="2670"/>
      <c r="AP59" s="2670"/>
      <c r="AQ59" s="2670"/>
      <c r="AR59" s="2670"/>
    </row>
    <row r="60" spans="1:44" ht="14.25">
      <c r="A60" s="1739" t="s">
        <v>1253</v>
      </c>
      <c r="B60" s="75"/>
      <c r="C60" s="2672"/>
      <c r="D60" s="2675"/>
      <c r="E60" s="2672"/>
      <c r="F60" s="2672"/>
      <c r="G60" s="2672"/>
      <c r="H60" s="2672"/>
      <c r="I60" s="2672"/>
      <c r="J60" s="2672"/>
      <c r="K60" s="2671"/>
      <c r="L60" s="2671"/>
      <c r="M60" s="2670"/>
      <c r="N60" s="2670"/>
      <c r="O60" s="2670"/>
      <c r="P60" s="2670"/>
      <c r="Q60" s="2670"/>
      <c r="R60" s="2670"/>
      <c r="S60" s="2670"/>
      <c r="T60" s="2670"/>
      <c r="U60" s="2670"/>
      <c r="V60" s="2670"/>
      <c r="W60" s="2670"/>
      <c r="X60" s="2670"/>
      <c r="Y60" s="2670"/>
      <c r="Z60" s="2670"/>
      <c r="AA60" s="2670"/>
      <c r="AB60" s="2670"/>
      <c r="AC60" s="2670"/>
      <c r="AD60" s="2670"/>
      <c r="AE60" s="2670"/>
      <c r="AF60" s="2670"/>
      <c r="AG60" s="2670"/>
      <c r="AH60" s="2670"/>
      <c r="AI60" s="2670"/>
      <c r="AJ60" s="2670"/>
      <c r="AK60" s="2670"/>
      <c r="AL60" s="2670"/>
      <c r="AM60" s="2670"/>
      <c r="AN60" s="2670"/>
      <c r="AO60" s="2670"/>
      <c r="AP60" s="2670"/>
      <c r="AQ60" s="2670"/>
      <c r="AR60" s="2670"/>
    </row>
    <row r="61" spans="1:44" ht="14.25">
      <c r="A61" s="1739" t="s">
        <v>1254</v>
      </c>
      <c r="B61" s="75"/>
      <c r="C61" s="2672"/>
      <c r="D61" s="2675"/>
      <c r="E61" s="2672"/>
      <c r="F61" s="2672"/>
      <c r="G61" s="2672"/>
      <c r="H61" s="2672"/>
      <c r="I61" s="2672"/>
      <c r="J61" s="2672"/>
      <c r="K61" s="2671"/>
      <c r="L61" s="2671"/>
      <c r="M61" s="2670"/>
      <c r="N61" s="2670"/>
      <c r="O61" s="2670"/>
      <c r="P61" s="2670"/>
      <c r="Q61" s="2670"/>
      <c r="R61" s="2670"/>
      <c r="S61" s="2670"/>
      <c r="T61" s="2670"/>
      <c r="U61" s="2670"/>
      <c r="V61" s="2670"/>
      <c r="W61" s="2670"/>
      <c r="X61" s="2670"/>
      <c r="Y61" s="2670"/>
      <c r="Z61" s="2670"/>
      <c r="AA61" s="2670"/>
      <c r="AB61" s="2670"/>
      <c r="AC61" s="2670"/>
      <c r="AD61" s="2670"/>
      <c r="AE61" s="2670"/>
      <c r="AF61" s="2670"/>
      <c r="AG61" s="2670"/>
      <c r="AH61" s="2670"/>
      <c r="AI61" s="2670"/>
      <c r="AJ61" s="2670"/>
      <c r="AK61" s="2670"/>
      <c r="AL61" s="2670"/>
      <c r="AM61" s="2670"/>
      <c r="AN61" s="2670"/>
      <c r="AO61" s="2670"/>
      <c r="AP61" s="2670"/>
      <c r="AQ61" s="2670"/>
      <c r="AR61" s="2670"/>
    </row>
    <row r="62" spans="1:44" ht="14.25">
      <c r="A62" s="1739" t="s">
        <v>1255</v>
      </c>
      <c r="B62" s="75"/>
      <c r="C62" s="2672"/>
      <c r="D62" s="2675"/>
      <c r="E62" s="2672"/>
      <c r="F62" s="2672"/>
      <c r="G62" s="2672"/>
      <c r="H62" s="2672"/>
      <c r="I62" s="2672"/>
      <c r="J62" s="2672"/>
      <c r="K62" s="2671"/>
      <c r="L62" s="2671"/>
      <c r="M62" s="2670"/>
      <c r="N62" s="2670"/>
      <c r="O62" s="2670"/>
      <c r="P62" s="2670"/>
      <c r="Q62" s="2670"/>
      <c r="R62" s="2670"/>
      <c r="S62" s="2670"/>
      <c r="T62" s="2670"/>
      <c r="U62" s="2670"/>
      <c r="V62" s="2670"/>
      <c r="W62" s="2670"/>
      <c r="X62" s="2670"/>
      <c r="Y62" s="2670"/>
      <c r="Z62" s="2670"/>
      <c r="AA62" s="2670"/>
      <c r="AB62" s="2670"/>
      <c r="AC62" s="2670"/>
      <c r="AD62" s="2670"/>
      <c r="AE62" s="2670"/>
      <c r="AF62" s="2670"/>
      <c r="AG62" s="2670"/>
      <c r="AH62" s="2670"/>
      <c r="AI62" s="2670"/>
      <c r="AJ62" s="2670"/>
      <c r="AK62" s="2670"/>
      <c r="AL62" s="2670"/>
      <c r="AM62" s="2670"/>
      <c r="AN62" s="2670"/>
      <c r="AO62" s="2670"/>
      <c r="AP62" s="2670"/>
      <c r="AQ62" s="2670"/>
      <c r="AR62" s="2670"/>
    </row>
    <row r="63" spans="1:44" ht="15" thickBot="1">
      <c r="A63" s="1740" t="s">
        <v>1256</v>
      </c>
      <c r="B63" s="125"/>
      <c r="C63" s="2672"/>
      <c r="D63" s="2675"/>
      <c r="E63" s="2672"/>
      <c r="F63" s="2672"/>
      <c r="G63" s="2672"/>
      <c r="H63" s="2672"/>
      <c r="I63" s="2672"/>
      <c r="J63" s="2672"/>
      <c r="K63" s="2671"/>
      <c r="L63" s="2671"/>
      <c r="M63" s="2670"/>
      <c r="N63" s="2670"/>
      <c r="O63" s="2670"/>
      <c r="P63" s="2670"/>
      <c r="Q63" s="2670"/>
      <c r="R63" s="2670"/>
      <c r="S63" s="2670"/>
      <c r="T63" s="2670"/>
      <c r="U63" s="2670"/>
      <c r="V63" s="2670"/>
      <c r="W63" s="2670"/>
      <c r="X63" s="2670"/>
      <c r="Y63" s="2670"/>
      <c r="Z63" s="2670"/>
      <c r="AA63" s="2670"/>
      <c r="AB63" s="2670"/>
      <c r="AC63" s="2670"/>
      <c r="AD63" s="2670"/>
      <c r="AE63" s="2670"/>
      <c r="AF63" s="2670"/>
      <c r="AG63" s="2670"/>
      <c r="AH63" s="2670"/>
      <c r="AI63" s="2670"/>
      <c r="AJ63" s="2670"/>
      <c r="AK63" s="2670"/>
      <c r="AL63" s="2670"/>
      <c r="AM63" s="2670"/>
      <c r="AN63" s="2670"/>
      <c r="AO63" s="2670"/>
      <c r="AP63" s="2670"/>
      <c r="AQ63" s="2670"/>
      <c r="AR63" s="2670"/>
    </row>
    <row r="64" spans="1:44" s="793" customFormat="1">
      <c r="A64" s="2663"/>
      <c r="B64" s="2670"/>
      <c r="C64" s="2670"/>
      <c r="D64" s="2674"/>
      <c r="E64" s="2670"/>
      <c r="F64" s="2670"/>
      <c r="G64" s="2670"/>
      <c r="H64" s="2670"/>
      <c r="I64" s="2670"/>
      <c r="J64" s="2670"/>
      <c r="K64" s="2671"/>
      <c r="L64" s="2671"/>
      <c r="M64" s="2670"/>
      <c r="N64" s="2670"/>
      <c r="O64" s="2670"/>
      <c r="P64" s="2670"/>
      <c r="Q64" s="2670"/>
      <c r="R64" s="2670"/>
      <c r="S64" s="2670"/>
      <c r="T64" s="2670"/>
      <c r="U64" s="2670"/>
      <c r="V64" s="2670"/>
      <c r="W64" s="2670"/>
      <c r="X64" s="2670"/>
      <c r="Y64" s="2670"/>
      <c r="Z64" s="2670"/>
      <c r="AA64" s="2670"/>
      <c r="AB64" s="2670"/>
      <c r="AC64" s="2670"/>
      <c r="AD64" s="2670"/>
      <c r="AE64" s="2670"/>
      <c r="AF64" s="2670"/>
      <c r="AG64" s="2670"/>
      <c r="AH64" s="2670"/>
      <c r="AI64" s="2670"/>
      <c r="AJ64" s="2670"/>
      <c r="AK64" s="2670"/>
      <c r="AL64" s="2670"/>
      <c r="AM64" s="2670"/>
      <c r="AN64" s="2670"/>
      <c r="AO64" s="2670"/>
      <c r="AP64" s="2670"/>
      <c r="AQ64" s="2670"/>
      <c r="AR64" s="2670"/>
    </row>
    <row r="65" spans="1:44" s="793" customFormat="1">
      <c r="A65" s="2663"/>
      <c r="B65" s="2670"/>
      <c r="C65" s="2670"/>
      <c r="D65" s="2674"/>
      <c r="E65" s="2670"/>
      <c r="F65" s="2670"/>
      <c r="G65" s="2670"/>
      <c r="H65" s="2670"/>
      <c r="I65" s="2670"/>
      <c r="J65" s="2670"/>
      <c r="K65" s="2671"/>
      <c r="L65" s="2671"/>
      <c r="M65" s="2670"/>
      <c r="N65" s="2670"/>
      <c r="O65" s="2670"/>
      <c r="P65" s="2670"/>
      <c r="Q65" s="2670"/>
      <c r="R65" s="2670"/>
      <c r="S65" s="2670"/>
      <c r="T65" s="2670"/>
      <c r="U65" s="2670"/>
      <c r="V65" s="2670"/>
      <c r="W65" s="2670"/>
      <c r="X65" s="2670"/>
      <c r="Y65" s="2670"/>
      <c r="Z65" s="2670"/>
      <c r="AA65" s="2670"/>
      <c r="AB65" s="2670"/>
      <c r="AC65" s="2670"/>
      <c r="AD65" s="2670"/>
      <c r="AE65" s="2670"/>
      <c r="AF65" s="2670"/>
      <c r="AG65" s="2670"/>
      <c r="AH65" s="2670"/>
      <c r="AI65" s="2670"/>
      <c r="AJ65" s="2670"/>
      <c r="AK65" s="2670"/>
      <c r="AL65" s="2670"/>
      <c r="AM65" s="2670"/>
      <c r="AN65" s="2670"/>
      <c r="AO65" s="2670"/>
      <c r="AP65" s="2670"/>
      <c r="AQ65" s="2670"/>
      <c r="AR65" s="2670"/>
    </row>
    <row r="66" spans="1:44" s="793" customFormat="1">
      <c r="A66" s="2663"/>
      <c r="B66" s="2670"/>
      <c r="C66" s="2670"/>
      <c r="D66" s="2674"/>
      <c r="E66" s="2670"/>
      <c r="F66" s="2670"/>
      <c r="G66" s="2670"/>
      <c r="H66" s="2670"/>
      <c r="I66" s="2670"/>
      <c r="J66" s="2670"/>
      <c r="K66" s="2671"/>
      <c r="L66" s="2671"/>
      <c r="M66" s="2670"/>
      <c r="N66" s="2670"/>
      <c r="O66" s="2670"/>
      <c r="P66" s="2670"/>
      <c r="Q66" s="2670"/>
      <c r="R66" s="2670"/>
      <c r="S66" s="2670"/>
      <c r="T66" s="2670"/>
      <c r="U66" s="2670"/>
      <c r="V66" s="2670"/>
      <c r="W66" s="2670"/>
      <c r="X66" s="2670"/>
      <c r="Y66" s="2670"/>
      <c r="Z66" s="2670"/>
      <c r="AA66" s="2670"/>
      <c r="AB66" s="2670"/>
      <c r="AC66" s="2670"/>
      <c r="AD66" s="2670"/>
      <c r="AE66" s="2670"/>
      <c r="AF66" s="2670"/>
      <c r="AG66" s="2670"/>
      <c r="AH66" s="2670"/>
      <c r="AI66" s="2670"/>
      <c r="AJ66" s="2670"/>
      <c r="AK66" s="2670"/>
      <c r="AL66" s="2670"/>
      <c r="AM66" s="2670"/>
      <c r="AN66" s="2670"/>
      <c r="AO66" s="2670"/>
      <c r="AP66" s="2670"/>
      <c r="AQ66" s="2670"/>
      <c r="AR66" s="2670"/>
    </row>
    <row r="67" spans="1:44" s="793" customFormat="1">
      <c r="A67" s="2663"/>
      <c r="B67" s="2670"/>
      <c r="C67" s="2670"/>
      <c r="D67" s="2674"/>
      <c r="E67" s="2670"/>
      <c r="F67" s="2670"/>
      <c r="G67" s="2670"/>
      <c r="H67" s="2670"/>
      <c r="I67" s="2670"/>
      <c r="J67" s="2670"/>
      <c r="K67" s="2671"/>
      <c r="L67" s="2671"/>
      <c r="M67" s="2670"/>
      <c r="N67" s="2670"/>
      <c r="O67" s="2670"/>
      <c r="P67" s="2670"/>
      <c r="Q67" s="2670"/>
      <c r="R67" s="2670"/>
      <c r="S67" s="2670"/>
      <c r="T67" s="2670"/>
      <c r="U67" s="2670"/>
      <c r="V67" s="2670"/>
      <c r="W67" s="2670"/>
      <c r="X67" s="2670"/>
      <c r="Y67" s="2670"/>
      <c r="Z67" s="2670"/>
      <c r="AA67" s="2670"/>
      <c r="AB67" s="2670"/>
      <c r="AC67" s="2670"/>
      <c r="AD67" s="2670"/>
      <c r="AE67" s="2670"/>
      <c r="AF67" s="2670"/>
      <c r="AG67" s="2670"/>
      <c r="AH67" s="2670"/>
      <c r="AI67" s="2670"/>
      <c r="AJ67" s="2670"/>
      <c r="AK67" s="2670"/>
      <c r="AL67" s="2670"/>
      <c r="AM67" s="2670"/>
      <c r="AN67" s="2670"/>
      <c r="AO67" s="2670"/>
      <c r="AP67" s="2670"/>
      <c r="AQ67" s="2670"/>
      <c r="AR67" s="2670"/>
    </row>
    <row r="68" spans="1:44" s="793" customFormat="1">
      <c r="A68" s="2663"/>
      <c r="B68" s="2670"/>
      <c r="C68" s="2670"/>
      <c r="D68" s="2674"/>
      <c r="E68" s="2670"/>
      <c r="F68" s="2670"/>
      <c r="G68" s="2670"/>
      <c r="H68" s="2670"/>
      <c r="I68" s="2670"/>
      <c r="J68" s="2670"/>
      <c r="K68" s="2671"/>
      <c r="L68" s="2671"/>
      <c r="M68" s="2670"/>
      <c r="N68" s="2670"/>
      <c r="O68" s="2670"/>
      <c r="P68" s="2670"/>
      <c r="Q68" s="2670"/>
      <c r="R68" s="2670"/>
      <c r="S68" s="2670"/>
      <c r="T68" s="2670"/>
      <c r="U68" s="2670"/>
      <c r="V68" s="2670"/>
      <c r="W68" s="2670"/>
      <c r="X68" s="2670"/>
      <c r="Y68" s="2670"/>
      <c r="Z68" s="2670"/>
      <c r="AA68" s="2670"/>
      <c r="AB68" s="2670"/>
      <c r="AC68" s="2670"/>
      <c r="AD68" s="2670"/>
      <c r="AE68" s="2670"/>
      <c r="AF68" s="2670"/>
      <c r="AG68" s="2670"/>
      <c r="AH68" s="2670"/>
      <c r="AI68" s="2670"/>
      <c r="AJ68" s="2670"/>
      <c r="AK68" s="2670"/>
      <c r="AL68" s="2670"/>
      <c r="AM68" s="2670"/>
      <c r="AN68" s="2670"/>
      <c r="AO68" s="2670"/>
      <c r="AP68" s="2670"/>
      <c r="AQ68" s="2670"/>
      <c r="AR68" s="2670"/>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C7" sqref="C7"/>
    </sheetView>
  </sheetViews>
  <sheetFormatPr defaultColWidth="9" defaultRowHeight="14.25"/>
  <cols>
    <col min="1" max="1" width="9.5" style="1686" customWidth="1"/>
    <col min="2" max="2" width="24.5" style="1572" customWidth="1"/>
    <col min="3" max="3" width="24.5" style="2509" customWidth="1"/>
    <col min="4" max="4" width="2.625" style="2509" customWidth="1"/>
    <col min="5" max="5" width="5.875" style="2509" customWidth="1"/>
    <col min="6" max="6" width="27" style="1572" customWidth="1"/>
    <col min="7" max="7" width="27" style="2510" customWidth="1"/>
    <col min="8" max="8" width="11.875" style="2490" customWidth="1"/>
    <col min="9" max="9" width="16.75" style="2491" customWidth="1"/>
    <col min="10" max="10" width="2.625" style="2490" customWidth="1"/>
    <col min="11" max="11" width="11.875" style="2490" customWidth="1"/>
    <col min="12" max="12" width="16.75" style="2491" customWidth="1"/>
    <col min="13" max="13" width="2.625" style="2490" customWidth="1"/>
    <col min="14" max="14" width="11.875" style="2490" customWidth="1"/>
    <col min="15" max="15" width="16.75" style="2491" customWidth="1"/>
    <col min="16" max="16" width="2.625" style="2490" customWidth="1"/>
    <col min="17" max="17" width="11.875" style="2490" customWidth="1"/>
    <col min="18" max="18" width="16.75" style="2492" customWidth="1"/>
    <col min="19" max="29" width="9" style="799"/>
    <col min="30" max="16384" width="9" style="1686"/>
  </cols>
  <sheetData>
    <row r="1" spans="1:29" s="2456" customFormat="1" ht="18.75" thickBot="1">
      <c r="A1" s="3648" t="s">
        <v>2286</v>
      </c>
      <c r="B1" s="3649"/>
      <c r="C1" s="3649"/>
      <c r="D1" s="3649"/>
      <c r="E1" s="3649"/>
      <c r="F1" s="3649"/>
      <c r="G1" s="3649"/>
      <c r="H1" s="2451"/>
      <c r="I1" s="2452"/>
      <c r="J1" s="2451"/>
      <c r="K1" s="2451"/>
      <c r="L1" s="2452"/>
      <c r="M1" s="2451"/>
      <c r="N1" s="2451"/>
      <c r="O1" s="2452"/>
      <c r="P1" s="2451"/>
      <c r="Q1" s="2453"/>
      <c r="R1" s="2454"/>
      <c r="S1" s="2455"/>
      <c r="T1" s="2455"/>
      <c r="U1" s="2455"/>
      <c r="V1" s="2455"/>
      <c r="W1" s="2455"/>
      <c r="X1" s="2455"/>
      <c r="Y1" s="2455"/>
      <c r="Z1" s="2455"/>
      <c r="AA1" s="2455"/>
      <c r="AB1" s="2455"/>
      <c r="AC1" s="2455"/>
    </row>
    <row r="2" spans="1:29" ht="15" thickBot="1">
      <c r="A2" s="2457"/>
      <c r="B2" s="2458"/>
      <c r="C2" s="2459" t="s">
        <v>2281</v>
      </c>
      <c r="D2" s="2460"/>
      <c r="E2" s="2457"/>
      <c r="F2" s="2461"/>
      <c r="G2" s="2459" t="s">
        <v>2282</v>
      </c>
      <c r="H2" s="799"/>
      <c r="I2" s="799"/>
      <c r="J2" s="799"/>
      <c r="K2" s="799"/>
      <c r="L2" s="799"/>
      <c r="M2" s="799"/>
      <c r="N2" s="799"/>
      <c r="O2" s="799"/>
      <c r="P2" s="799"/>
      <c r="Q2" s="799"/>
      <c r="R2" s="799"/>
    </row>
    <row r="3" spans="1:29" ht="48">
      <c r="A3" s="2440" t="s">
        <v>2283</v>
      </c>
      <c r="B3" s="2462" t="s">
        <v>2252</v>
      </c>
      <c r="C3" s="2463" t="s">
        <v>2284</v>
      </c>
      <c r="D3" s="2464"/>
      <c r="E3" s="2441" t="s">
        <v>2283</v>
      </c>
      <c r="F3" s="2465" t="s">
        <v>2253</v>
      </c>
      <c r="G3" s="2466" t="s">
        <v>2285</v>
      </c>
      <c r="H3" s="799"/>
      <c r="I3" s="799"/>
      <c r="J3" s="799"/>
      <c r="K3" s="799"/>
      <c r="L3" s="799"/>
      <c r="M3" s="799"/>
      <c r="N3" s="799"/>
      <c r="O3" s="799"/>
      <c r="P3" s="799"/>
      <c r="Q3" s="799"/>
      <c r="R3" s="799"/>
    </row>
    <row r="4" spans="1:29" ht="36.75">
      <c r="A4" s="2441"/>
      <c r="B4" s="323" t="s">
        <v>2254</v>
      </c>
      <c r="C4" s="2467" t="s">
        <v>2255</v>
      </c>
      <c r="D4" s="2464"/>
      <c r="E4" s="2468"/>
      <c r="F4" s="1373" t="s">
        <v>2256</v>
      </c>
      <c r="G4" s="2469" t="s">
        <v>2257</v>
      </c>
      <c r="H4" s="799"/>
      <c r="I4" s="799"/>
      <c r="J4" s="799"/>
      <c r="K4" s="799"/>
      <c r="L4" s="799"/>
      <c r="M4" s="799"/>
      <c r="N4" s="799"/>
      <c r="O4" s="799"/>
      <c r="P4" s="799"/>
      <c r="Q4" s="799"/>
      <c r="R4" s="799"/>
    </row>
    <row r="5" spans="1:29" ht="36.75">
      <c r="A5" s="2441"/>
      <c r="B5" s="323" t="s">
        <v>2258</v>
      </c>
      <c r="C5" s="2467" t="s">
        <v>2259</v>
      </c>
      <c r="D5" s="2464"/>
      <c r="E5" s="2468"/>
      <c r="F5" s="323" t="s">
        <v>2260</v>
      </c>
      <c r="G5" s="2469" t="s">
        <v>2261</v>
      </c>
      <c r="H5" s="799"/>
      <c r="I5" s="799"/>
      <c r="J5" s="799"/>
      <c r="K5" s="799"/>
      <c r="L5" s="799"/>
      <c r="M5" s="799"/>
      <c r="N5" s="799"/>
      <c r="O5" s="799"/>
      <c r="P5" s="799"/>
      <c r="Q5" s="799"/>
      <c r="R5" s="799"/>
    </row>
    <row r="6" spans="1:29">
      <c r="A6" s="2441"/>
      <c r="B6" s="323" t="s">
        <v>2262</v>
      </c>
      <c r="C6" s="3533" t="s">
        <v>4030</v>
      </c>
      <c r="D6" s="2464"/>
      <c r="E6" s="2468"/>
      <c r="F6" s="323" t="s">
        <v>2263</v>
      </c>
      <c r="G6" s="2469" t="s">
        <v>2264</v>
      </c>
      <c r="H6" s="799"/>
      <c r="I6" s="799"/>
      <c r="J6" s="799"/>
      <c r="K6" s="799"/>
      <c r="L6" s="799"/>
      <c r="M6" s="799"/>
      <c r="N6" s="799"/>
      <c r="O6" s="799"/>
      <c r="P6" s="799"/>
      <c r="Q6" s="799"/>
      <c r="R6" s="799"/>
    </row>
    <row r="7" spans="1:29" ht="24.75" thickBot="1">
      <c r="A7" s="2441"/>
      <c r="B7" s="323" t="s">
        <v>2260</v>
      </c>
      <c r="C7" s="2469" t="s">
        <v>2261</v>
      </c>
      <c r="D7" s="2470"/>
      <c r="E7" s="2471"/>
      <c r="F7" s="2472" t="s">
        <v>2265</v>
      </c>
      <c r="G7" s="2473" t="s">
        <v>2266</v>
      </c>
      <c r="H7" s="799"/>
      <c r="I7" s="799"/>
      <c r="J7" s="799"/>
      <c r="K7" s="799"/>
      <c r="L7" s="799"/>
      <c r="M7" s="799"/>
      <c r="N7" s="799"/>
      <c r="O7" s="799"/>
      <c r="P7" s="799"/>
      <c r="Q7" s="799"/>
      <c r="R7" s="799"/>
    </row>
    <row r="8" spans="1:29">
      <c r="A8" s="2441"/>
      <c r="B8" s="323" t="s">
        <v>2263</v>
      </c>
      <c r="C8" s="2469" t="s">
        <v>2264</v>
      </c>
      <c r="D8" s="2470"/>
      <c r="E8" s="2470"/>
      <c r="F8" s="2474"/>
      <c r="G8" s="2474"/>
      <c r="H8" s="799"/>
      <c r="I8" s="799"/>
      <c r="J8" s="799"/>
      <c r="K8" s="799"/>
      <c r="L8" s="799"/>
      <c r="M8" s="799"/>
      <c r="N8" s="799"/>
      <c r="O8" s="799"/>
      <c r="P8" s="799"/>
      <c r="Q8" s="799"/>
      <c r="R8" s="799"/>
    </row>
    <row r="9" spans="1:29" ht="24">
      <c r="A9" s="2441"/>
      <c r="B9" s="323" t="s">
        <v>2267</v>
      </c>
      <c r="C9" s="2467" t="s">
        <v>2268</v>
      </c>
      <c r="D9" s="2464"/>
      <c r="E9" s="2470"/>
      <c r="F9" s="2474"/>
      <c r="G9" s="2474"/>
      <c r="H9" s="799"/>
      <c r="I9" s="799"/>
      <c r="J9" s="799"/>
      <c r="K9" s="799"/>
      <c r="L9" s="799"/>
      <c r="M9" s="799"/>
      <c r="N9" s="799"/>
      <c r="O9" s="799"/>
      <c r="P9" s="799"/>
      <c r="Q9" s="799"/>
      <c r="R9" s="799"/>
    </row>
    <row r="10" spans="1:29" s="2480" customFormat="1" ht="15" thickBot="1">
      <c r="A10" s="2442"/>
      <c r="B10" s="2475" t="s">
        <v>2269</v>
      </c>
      <c r="C10" s="2476"/>
      <c r="D10" s="2464"/>
      <c r="E10" s="2464"/>
      <c r="F10" s="2474"/>
      <c r="G10" s="2474"/>
      <c r="H10" s="2477"/>
      <c r="I10" s="2478"/>
      <c r="J10" s="2479"/>
      <c r="K10" s="2477"/>
      <c r="L10" s="2478"/>
      <c r="M10" s="2479"/>
      <c r="N10" s="2477"/>
      <c r="O10" s="2478"/>
      <c r="P10" s="2479"/>
      <c r="Q10" s="2477"/>
      <c r="R10" s="2478"/>
      <c r="S10" s="799"/>
      <c r="T10" s="799"/>
      <c r="U10" s="799"/>
      <c r="V10" s="799"/>
      <c r="W10" s="799"/>
      <c r="X10" s="799"/>
      <c r="Y10" s="799"/>
      <c r="Z10" s="799"/>
      <c r="AA10" s="799"/>
      <c r="AB10" s="799"/>
      <c r="AC10" s="799"/>
    </row>
    <row r="11" spans="1:29" s="2480" customFormat="1">
      <c r="A11" s="2481"/>
      <c r="B11" s="2470"/>
      <c r="C11" s="2464"/>
      <c r="D11" s="2464"/>
      <c r="E11" s="2464"/>
      <c r="F11" s="2470"/>
      <c r="G11" s="2482"/>
      <c r="H11" s="2477"/>
      <c r="I11" s="2478"/>
      <c r="J11" s="2479"/>
      <c r="K11" s="2477"/>
      <c r="L11" s="2478"/>
      <c r="M11" s="2479"/>
      <c r="N11" s="2477"/>
      <c r="O11" s="2478"/>
      <c r="P11" s="2479"/>
      <c r="Q11" s="2477"/>
      <c r="R11" s="2478"/>
      <c r="S11" s="799"/>
      <c r="T11" s="799"/>
      <c r="U11" s="799"/>
      <c r="V11" s="799"/>
      <c r="W11" s="799"/>
      <c r="X11" s="799"/>
      <c r="Y11" s="799"/>
      <c r="Z11" s="799"/>
      <c r="AA11" s="799"/>
      <c r="AB11" s="799"/>
      <c r="AC11" s="799"/>
    </row>
    <row r="12" spans="1:29" s="2456" customFormat="1" ht="18">
      <c r="A12" s="2481"/>
      <c r="B12" s="2470"/>
      <c r="C12" s="2464"/>
      <c r="D12" s="2483"/>
      <c r="E12" s="2464"/>
      <c r="F12" s="2470"/>
      <c r="G12" s="2482"/>
      <c r="H12" s="2484"/>
      <c r="I12" s="2485"/>
      <c r="J12" s="2484"/>
      <c r="K12" s="2484"/>
      <c r="L12" s="2486"/>
      <c r="M12" s="2484"/>
      <c r="N12" s="2487"/>
      <c r="O12" s="2488"/>
      <c r="P12" s="2487"/>
      <c r="Q12" s="2487"/>
      <c r="R12" s="2454"/>
      <c r="S12" s="2455"/>
      <c r="T12" s="2455"/>
      <c r="U12" s="2455"/>
      <c r="V12" s="2455"/>
      <c r="W12" s="2455"/>
      <c r="X12" s="2455"/>
      <c r="Y12" s="2455"/>
      <c r="Z12" s="2455"/>
      <c r="AA12" s="2455"/>
      <c r="AB12" s="2455"/>
      <c r="AC12" s="2455"/>
    </row>
    <row r="13" spans="1:29" ht="15.75" thickBot="1">
      <c r="A13" s="2489" t="s">
        <v>2287</v>
      </c>
      <c r="B13" s="2483"/>
      <c r="C13" s="2483"/>
      <c r="D13" s="2481"/>
      <c r="E13" s="2483"/>
      <c r="F13" s="2483"/>
      <c r="G13" s="2483"/>
    </row>
    <row r="14" spans="1:29" ht="15" thickBot="1">
      <c r="A14" s="2493"/>
      <c r="B14" s="2493"/>
      <c r="C14" s="2494" t="s">
        <v>2270</v>
      </c>
      <c r="D14" s="2464"/>
      <c r="E14" s="2495"/>
      <c r="F14" s="2495"/>
      <c r="G14" s="2459" t="s">
        <v>2271</v>
      </c>
    </row>
    <row r="15" spans="1:29" ht="51">
      <c r="A15" s="2443" t="s">
        <v>2272</v>
      </c>
      <c r="B15" s="2496" t="s">
        <v>2252</v>
      </c>
      <c r="C15" s="2497" t="str">
        <f>C3</f>
        <v>估价对象周边居住用地比例、居住小区规模和社区发展完善程度，综合评价居住社区成熟度一般</v>
      </c>
      <c r="D15" s="2464"/>
      <c r="E15" s="2444" t="s">
        <v>2273</v>
      </c>
      <c r="F15" s="2496" t="s">
        <v>2274</v>
      </c>
      <c r="G15" s="2498" t="str">
        <f>G3</f>
        <v>估价对象位于XX开发区，园区建设成熟度XX，产业集聚程度XX</v>
      </c>
    </row>
    <row r="16" spans="1:29" ht="38.25">
      <c r="A16" s="2445"/>
      <c r="B16" s="2499" t="s">
        <v>2254</v>
      </c>
      <c r="C16" s="2500" t="str">
        <f>C4</f>
        <v>估价对象位于XX商圈，周边商业氛围成熟，人流量大，商业繁华度好</v>
      </c>
      <c r="D16" s="2464"/>
      <c r="E16" s="2446"/>
      <c r="F16" s="2501" t="s">
        <v>2256</v>
      </c>
      <c r="G16" s="2502" t="str">
        <f>G4</f>
        <v>估价对象周边道路状况、公共交通通达情况、停车便捷程度，综合评价交通便捷度较好</v>
      </c>
    </row>
    <row r="17" spans="1:18" ht="38.25">
      <c r="A17" s="2445"/>
      <c r="B17" s="2499" t="s">
        <v>2258</v>
      </c>
      <c r="C17" s="2500" t="str">
        <f>C5</f>
        <v>估价对象位于XX商圈，周边办公楼项目较多，入驻率高，办公集聚程度较好</v>
      </c>
      <c r="D17" s="2470"/>
      <c r="E17" s="2446"/>
      <c r="F17" s="2501" t="s">
        <v>2275</v>
      </c>
      <c r="G17" s="2503"/>
    </row>
    <row r="18" spans="1:18" ht="25.5">
      <c r="A18" s="2445"/>
      <c r="B18" s="2501" t="s">
        <v>2262</v>
      </c>
      <c r="C18" s="2502" t="str">
        <f>C6</f>
        <v>光熙门536米</v>
      </c>
      <c r="D18" s="2470"/>
      <c r="E18" s="2446"/>
      <c r="F18" s="2501" t="s">
        <v>2265</v>
      </c>
      <c r="G18" s="2502" t="str">
        <f>G7</f>
        <v>该园区内是否有污染型企业，绿化情况，卫生条件，整体环境状况判断</v>
      </c>
    </row>
    <row r="19" spans="1:18" ht="25.5">
      <c r="A19" s="2445"/>
      <c r="B19" s="2501" t="s">
        <v>2276</v>
      </c>
      <c r="C19" s="2503"/>
      <c r="D19" s="2464"/>
      <c r="E19" s="2446"/>
      <c r="F19" s="323" t="s">
        <v>2260</v>
      </c>
      <c r="G19" s="2502" t="str">
        <f>G5</f>
        <v>估价对象所在区域公共配套设施齐备情况</v>
      </c>
    </row>
    <row r="20" spans="1:18" ht="25.5">
      <c r="A20" s="2445"/>
      <c r="B20" s="2501" t="s">
        <v>2277</v>
      </c>
      <c r="C20" s="2500" t="str">
        <f>C9</f>
        <v>区域自然环境：；人文环境；综合评价环境状况一般</v>
      </c>
      <c r="D20" s="2470"/>
      <c r="E20" s="2446"/>
      <c r="F20" s="323" t="s">
        <v>2263</v>
      </c>
      <c r="G20" s="2502" t="str">
        <f>G6</f>
        <v>估价对象所在区域基础设施水平</v>
      </c>
    </row>
    <row r="21" spans="1:18" ht="25.5">
      <c r="A21" s="2445"/>
      <c r="B21" s="323" t="s">
        <v>2260</v>
      </c>
      <c r="C21" s="2502" t="str">
        <f>C7</f>
        <v>估价对象所在区域公共配套设施齐备情况</v>
      </c>
      <c r="D21" s="2464"/>
      <c r="E21" s="2446"/>
      <c r="F21" s="2501" t="s">
        <v>2278</v>
      </c>
      <c r="G21" s="2504"/>
    </row>
    <row r="22" spans="1:18" ht="13.5" customHeight="1">
      <c r="A22" s="2445"/>
      <c r="B22" s="323" t="s">
        <v>2263</v>
      </c>
      <c r="C22" s="2502" t="str">
        <f>C8</f>
        <v>估价对象所在区域基础设施水平</v>
      </c>
      <c r="D22" s="2464"/>
      <c r="E22" s="2446"/>
      <c r="F22" s="2501" t="s">
        <v>2269</v>
      </c>
      <c r="G22" s="2503"/>
    </row>
    <row r="23" spans="1:18" s="799" customFormat="1" ht="15" thickBot="1">
      <c r="A23" s="2445"/>
      <c r="B23" s="2501" t="s">
        <v>2278</v>
      </c>
      <c r="C23" s="2504"/>
      <c r="D23" s="1741"/>
      <c r="E23" s="2447"/>
      <c r="F23" s="2505" t="s">
        <v>2279</v>
      </c>
      <c r="G23" s="2506"/>
      <c r="H23" s="2490"/>
      <c r="I23" s="2491"/>
      <c r="J23" s="2490"/>
      <c r="K23" s="2490"/>
      <c r="L23" s="2491"/>
      <c r="M23" s="2490"/>
      <c r="N23" s="2490"/>
      <c r="O23" s="2491"/>
      <c r="P23" s="2490"/>
      <c r="Q23" s="2490"/>
      <c r="R23" s="2492"/>
    </row>
    <row r="24" spans="1:18" s="799" customFormat="1" ht="15" thickBot="1">
      <c r="A24" s="2448"/>
      <c r="B24" s="2505" t="s">
        <v>2280</v>
      </c>
      <c r="C24" s="2507">
        <f>C10</f>
        <v>0</v>
      </c>
      <c r="D24" s="1741"/>
      <c r="E24" s="2438"/>
      <c r="F24" s="2438"/>
      <c r="G24" s="2508"/>
      <c r="H24" s="2490"/>
      <c r="I24" s="2491"/>
      <c r="J24" s="2490"/>
      <c r="K24" s="2490"/>
      <c r="L24" s="2491"/>
      <c r="M24" s="2490"/>
      <c r="N24" s="2490"/>
      <c r="O24" s="2491"/>
      <c r="P24" s="2490"/>
      <c r="Q24" s="2490"/>
      <c r="R24" s="2492"/>
    </row>
    <row r="25" spans="1:18" s="799" customFormat="1">
      <c r="B25" s="2490"/>
      <c r="C25" s="2490"/>
      <c r="D25" s="2490"/>
      <c r="H25" s="2490"/>
      <c r="I25" s="2491"/>
      <c r="J25" s="2490"/>
      <c r="K25" s="2490"/>
      <c r="L25" s="2491"/>
      <c r="M25" s="2490"/>
      <c r="N25" s="2490"/>
      <c r="O25" s="2491"/>
      <c r="P25" s="2490"/>
      <c r="Q25" s="2490"/>
      <c r="R25" s="2492"/>
    </row>
    <row r="26" spans="1:18" s="799" customFormat="1">
      <c r="B26" s="2490"/>
      <c r="C26" s="2490"/>
      <c r="D26" s="2490"/>
      <c r="H26" s="2490"/>
      <c r="I26" s="2491"/>
      <c r="J26" s="2490"/>
      <c r="K26" s="2490"/>
      <c r="L26" s="2491"/>
      <c r="M26" s="2490"/>
      <c r="N26" s="2490"/>
      <c r="O26" s="2491"/>
      <c r="P26" s="2490"/>
      <c r="Q26" s="2490"/>
      <c r="R26" s="2492"/>
    </row>
    <row r="27" spans="1:18" s="799" customFormat="1">
      <c r="B27" s="2490"/>
      <c r="C27" s="2490"/>
      <c r="D27" s="2490"/>
      <c r="H27" s="2490"/>
      <c r="I27" s="2491"/>
      <c r="J27" s="2490"/>
      <c r="K27" s="2490"/>
      <c r="L27" s="2491"/>
      <c r="M27" s="2490"/>
      <c r="N27" s="2490"/>
      <c r="O27" s="2491"/>
      <c r="P27" s="2490"/>
      <c r="Q27" s="2490"/>
      <c r="R27" s="2492"/>
    </row>
    <row r="28" spans="1:18" s="799" customFormat="1">
      <c r="B28" s="2490"/>
      <c r="C28" s="2490"/>
      <c r="D28" s="2490"/>
      <c r="H28" s="2490"/>
      <c r="I28" s="2491"/>
      <c r="J28" s="2490"/>
      <c r="K28" s="2490"/>
      <c r="L28" s="2491"/>
      <c r="M28" s="2490"/>
      <c r="N28" s="2490"/>
      <c r="O28" s="2491"/>
      <c r="P28" s="2490"/>
      <c r="Q28" s="2490"/>
      <c r="R28" s="2492"/>
    </row>
    <row r="29" spans="1:18" s="799" customFormat="1">
      <c r="B29" s="2490"/>
      <c r="C29" s="2490"/>
      <c r="D29" s="2490"/>
      <c r="H29" s="2490"/>
      <c r="I29" s="2491"/>
      <c r="J29" s="2490"/>
      <c r="K29" s="2490"/>
      <c r="L29" s="2491"/>
      <c r="M29" s="2490"/>
      <c r="N29" s="2490"/>
      <c r="O29" s="2491"/>
      <c r="P29" s="2490"/>
      <c r="Q29" s="2490"/>
      <c r="R29" s="2492"/>
    </row>
    <row r="30" spans="1:18" s="799" customFormat="1">
      <c r="B30" s="2490"/>
      <c r="C30" s="2490"/>
      <c r="D30" s="2490"/>
      <c r="H30" s="2490"/>
      <c r="I30" s="2491"/>
      <c r="J30" s="2490"/>
      <c r="K30" s="2490"/>
      <c r="L30" s="2491"/>
      <c r="M30" s="2490"/>
      <c r="N30" s="2490"/>
      <c r="O30" s="2491"/>
      <c r="P30" s="2490"/>
      <c r="Q30" s="2490"/>
      <c r="R30" s="2492"/>
    </row>
    <row r="31" spans="1:18" s="799" customFormat="1">
      <c r="B31" s="2490"/>
      <c r="C31" s="2490"/>
      <c r="D31" s="2490"/>
      <c r="H31" s="2490"/>
      <c r="I31" s="2491"/>
      <c r="J31" s="2490"/>
      <c r="K31" s="2490"/>
      <c r="L31" s="2491"/>
      <c r="M31" s="2490"/>
      <c r="N31" s="2490"/>
      <c r="O31" s="2491"/>
      <c r="P31" s="2490"/>
      <c r="Q31" s="2490"/>
      <c r="R31" s="2492"/>
    </row>
    <row r="32" spans="1:18" s="799" customFormat="1">
      <c r="B32" s="2490"/>
      <c r="C32" s="2490"/>
      <c r="D32" s="2490"/>
      <c r="H32" s="2490"/>
      <c r="I32" s="2491"/>
      <c r="J32" s="2490"/>
      <c r="K32" s="2490"/>
      <c r="L32" s="2491"/>
      <c r="M32" s="2490"/>
      <c r="N32" s="2490"/>
      <c r="O32" s="2491"/>
      <c r="P32" s="2490"/>
      <c r="Q32" s="2490"/>
      <c r="R32" s="2492"/>
    </row>
    <row r="33" spans="2:18" s="799" customFormat="1">
      <c r="B33" s="2490"/>
      <c r="C33" s="2490"/>
      <c r="D33" s="2490"/>
      <c r="H33" s="2490"/>
      <c r="I33" s="2491"/>
      <c r="J33" s="2490"/>
      <c r="K33" s="2490"/>
      <c r="L33" s="2491"/>
      <c r="M33" s="2490"/>
      <c r="N33" s="2490"/>
      <c r="O33" s="2491"/>
      <c r="P33" s="2490"/>
      <c r="Q33" s="2490"/>
      <c r="R33" s="2492"/>
    </row>
    <row r="34" spans="2:18" s="799" customFormat="1">
      <c r="B34" s="2490"/>
      <c r="C34" s="2490"/>
      <c r="D34" s="2490"/>
      <c r="H34" s="2490"/>
      <c r="I34" s="2491"/>
      <c r="J34" s="2490"/>
      <c r="K34" s="2490"/>
      <c r="L34" s="2491"/>
      <c r="M34" s="2490"/>
      <c r="N34" s="2490"/>
      <c r="O34" s="2491"/>
      <c r="P34" s="2490"/>
      <c r="Q34" s="2490"/>
      <c r="R34" s="2492"/>
    </row>
    <row r="35" spans="2:18" s="799" customFormat="1">
      <c r="B35" s="2490"/>
      <c r="C35" s="2490"/>
      <c r="D35" s="2490"/>
      <c r="H35" s="2490"/>
      <c r="I35" s="2491"/>
      <c r="J35" s="2490"/>
      <c r="K35" s="2490"/>
      <c r="L35" s="2491"/>
      <c r="M35" s="2490"/>
      <c r="N35" s="2490"/>
      <c r="O35" s="2491"/>
      <c r="P35" s="2490"/>
      <c r="Q35" s="2490"/>
      <c r="R35" s="2492"/>
    </row>
    <row r="36" spans="2:18" s="799" customFormat="1">
      <c r="B36" s="2490"/>
      <c r="C36" s="2490"/>
      <c r="D36" s="2490"/>
      <c r="H36" s="2490"/>
      <c r="I36" s="2491"/>
      <c r="J36" s="2490"/>
      <c r="K36" s="2490"/>
      <c r="L36" s="2491"/>
      <c r="M36" s="2490"/>
      <c r="N36" s="2490"/>
      <c r="O36" s="2491"/>
      <c r="P36" s="2490"/>
      <c r="Q36" s="2490"/>
      <c r="R36" s="2492"/>
    </row>
    <row r="37" spans="2:18" s="799" customFormat="1">
      <c r="B37" s="2490"/>
      <c r="C37" s="2490"/>
      <c r="D37" s="2490"/>
      <c r="H37" s="2490"/>
      <c r="I37" s="2491"/>
      <c r="J37" s="2490"/>
      <c r="K37" s="2490"/>
      <c r="L37" s="2491"/>
      <c r="M37" s="2490"/>
      <c r="N37" s="2490"/>
      <c r="O37" s="2491"/>
      <c r="P37" s="2490"/>
      <c r="Q37" s="2490"/>
      <c r="R37" s="2492"/>
    </row>
    <row r="38" spans="2:18" s="799" customFormat="1">
      <c r="B38" s="2490"/>
      <c r="C38" s="2490"/>
      <c r="D38" s="2490"/>
      <c r="E38" s="2490"/>
      <c r="F38" s="2490"/>
      <c r="G38" s="2491"/>
      <c r="H38" s="2490"/>
      <c r="I38" s="2491"/>
      <c r="J38" s="2490"/>
      <c r="K38" s="2490"/>
      <c r="L38" s="2491"/>
      <c r="M38" s="2490"/>
      <c r="N38" s="2490"/>
      <c r="O38" s="2491"/>
      <c r="P38" s="2490"/>
      <c r="Q38" s="2490"/>
      <c r="R38" s="2492"/>
    </row>
    <row r="39" spans="2:18" s="799" customFormat="1">
      <c r="B39" s="2490"/>
      <c r="C39" s="2490"/>
      <c r="D39" s="2490"/>
      <c r="E39" s="2490"/>
      <c r="F39" s="2490"/>
      <c r="G39" s="2491"/>
      <c r="H39" s="2490"/>
      <c r="I39" s="2491"/>
      <c r="J39" s="2490"/>
      <c r="K39" s="2490"/>
      <c r="L39" s="2491"/>
      <c r="M39" s="2490"/>
      <c r="N39" s="2490"/>
      <c r="O39" s="2491"/>
      <c r="P39" s="2490"/>
      <c r="Q39" s="2490"/>
      <c r="R39" s="2492"/>
    </row>
    <row r="40" spans="2:18" s="799" customFormat="1">
      <c r="B40" s="2490"/>
      <c r="C40" s="2490"/>
      <c r="D40" s="2490"/>
      <c r="E40" s="2490"/>
      <c r="F40" s="2490"/>
      <c r="G40" s="2491"/>
      <c r="H40" s="2490"/>
      <c r="I40" s="2491"/>
      <c r="J40" s="2490"/>
      <c r="K40" s="2490"/>
      <c r="L40" s="2491"/>
      <c r="M40" s="2490"/>
      <c r="N40" s="2490"/>
      <c r="O40" s="2491"/>
      <c r="P40" s="2490"/>
      <c r="Q40" s="2490"/>
      <c r="R40" s="2492"/>
    </row>
    <row r="41" spans="2:18" s="799" customFormat="1">
      <c r="B41" s="2490"/>
      <c r="C41" s="2490"/>
      <c r="D41" s="2490"/>
      <c r="E41" s="2490"/>
      <c r="F41" s="2490"/>
      <c r="G41" s="2491"/>
      <c r="H41" s="2490"/>
      <c r="I41" s="2491"/>
      <c r="J41" s="2490"/>
      <c r="K41" s="2490"/>
      <c r="L41" s="2491"/>
      <c r="M41" s="2490"/>
      <c r="N41" s="2490"/>
      <c r="O41" s="2491"/>
      <c r="P41" s="2490"/>
      <c r="Q41" s="2490"/>
      <c r="R41" s="2492"/>
    </row>
    <row r="42" spans="2:18" s="799" customFormat="1">
      <c r="B42" s="2490"/>
      <c r="C42" s="2490"/>
      <c r="D42" s="2490"/>
      <c r="E42" s="2490"/>
      <c r="F42" s="2490"/>
      <c r="G42" s="2491"/>
      <c r="H42" s="2490"/>
      <c r="I42" s="2491"/>
      <c r="J42" s="2490"/>
      <c r="K42" s="2490"/>
      <c r="L42" s="2491"/>
      <c r="M42" s="2490"/>
      <c r="N42" s="2490"/>
      <c r="O42" s="2491"/>
      <c r="P42" s="2490"/>
      <c r="Q42" s="2490"/>
      <c r="R42" s="2492"/>
    </row>
    <row r="43" spans="2:18" s="799" customFormat="1">
      <c r="B43" s="2490"/>
      <c r="C43" s="2490"/>
      <c r="D43" s="2490"/>
      <c r="E43" s="2490"/>
      <c r="F43" s="2490"/>
      <c r="G43" s="2491"/>
      <c r="H43" s="2490"/>
      <c r="I43" s="2491"/>
      <c r="J43" s="2490"/>
      <c r="K43" s="2490"/>
      <c r="L43" s="2491"/>
      <c r="M43" s="2490"/>
      <c r="N43" s="2490"/>
      <c r="O43" s="2491"/>
      <c r="P43" s="2490"/>
      <c r="Q43" s="2490"/>
      <c r="R43" s="2492"/>
    </row>
    <row r="44" spans="2:18" s="799" customFormat="1">
      <c r="B44" s="2490"/>
      <c r="C44" s="2490"/>
      <c r="D44" s="2490"/>
      <c r="E44" s="2490"/>
      <c r="F44" s="2490"/>
      <c r="G44" s="2491"/>
      <c r="H44" s="2490"/>
      <c r="I44" s="2491"/>
      <c r="J44" s="2490"/>
      <c r="K44" s="2490"/>
      <c r="L44" s="2491"/>
      <c r="M44" s="2490"/>
      <c r="N44" s="2490"/>
      <c r="O44" s="2491"/>
      <c r="P44" s="2490"/>
      <c r="Q44" s="2490"/>
      <c r="R44" s="2492"/>
    </row>
    <row r="45" spans="2:18" s="799" customFormat="1">
      <c r="B45" s="2490"/>
      <c r="C45" s="2490"/>
      <c r="D45" s="2490"/>
      <c r="E45" s="2490"/>
      <c r="F45" s="2490"/>
      <c r="G45" s="2491"/>
      <c r="H45" s="2490"/>
      <c r="I45" s="2491"/>
      <c r="J45" s="2490"/>
      <c r="K45" s="2490"/>
      <c r="L45" s="2491"/>
      <c r="M45" s="2490"/>
      <c r="N45" s="2490"/>
      <c r="O45" s="2491"/>
      <c r="P45" s="2490"/>
      <c r="Q45" s="2490"/>
      <c r="R45" s="2492"/>
    </row>
    <row r="46" spans="2:18" s="799" customFormat="1">
      <c r="B46" s="2490"/>
      <c r="C46" s="2490"/>
      <c r="D46" s="2490"/>
      <c r="E46" s="2490"/>
      <c r="F46" s="2490"/>
      <c r="G46" s="2491"/>
      <c r="H46" s="2490"/>
      <c r="I46" s="2491"/>
      <c r="J46" s="2490"/>
      <c r="K46" s="2490"/>
      <c r="L46" s="2491"/>
      <c r="M46" s="2490"/>
      <c r="N46" s="2490"/>
      <c r="O46" s="2491"/>
      <c r="P46" s="2490"/>
      <c r="Q46" s="2490"/>
      <c r="R46" s="2492"/>
    </row>
    <row r="47" spans="2:18" s="799" customFormat="1">
      <c r="B47" s="2490"/>
      <c r="C47" s="2490"/>
      <c r="D47" s="2490"/>
      <c r="E47" s="2490"/>
      <c r="F47" s="2490"/>
      <c r="G47" s="2491"/>
      <c r="H47" s="2490"/>
      <c r="I47" s="2491"/>
      <c r="J47" s="2490"/>
      <c r="K47" s="2490"/>
      <c r="L47" s="2491"/>
      <c r="M47" s="2490"/>
      <c r="N47" s="2490"/>
      <c r="O47" s="2491"/>
      <c r="P47" s="2490"/>
      <c r="Q47" s="2490"/>
      <c r="R47" s="2492"/>
    </row>
    <row r="48" spans="2:18" s="799" customFormat="1">
      <c r="B48" s="2490"/>
      <c r="C48" s="2490"/>
      <c r="D48" s="2490"/>
      <c r="E48" s="2490"/>
      <c r="F48" s="2490"/>
      <c r="G48" s="2491"/>
      <c r="H48" s="2490"/>
      <c r="I48" s="2491"/>
      <c r="J48" s="2490"/>
      <c r="K48" s="2490"/>
      <c r="L48" s="2491"/>
      <c r="M48" s="2490"/>
      <c r="N48" s="2490"/>
      <c r="O48" s="2491"/>
      <c r="P48" s="2490"/>
      <c r="Q48" s="2490"/>
      <c r="R48" s="2492"/>
    </row>
    <row r="49" spans="2:18" s="799" customFormat="1">
      <c r="B49" s="2490"/>
      <c r="C49" s="2490"/>
      <c r="D49" s="2490"/>
      <c r="E49" s="2490"/>
      <c r="F49" s="2490"/>
      <c r="G49" s="2491"/>
      <c r="H49" s="2490"/>
      <c r="I49" s="2491"/>
      <c r="J49" s="2490"/>
      <c r="K49" s="2490"/>
      <c r="L49" s="2491"/>
      <c r="M49" s="2490"/>
      <c r="N49" s="2490"/>
      <c r="O49" s="2491"/>
      <c r="P49" s="2490"/>
      <c r="Q49" s="2490"/>
      <c r="R49" s="2492"/>
    </row>
    <row r="50" spans="2:18" s="799" customFormat="1">
      <c r="B50" s="2490"/>
      <c r="C50" s="2490"/>
      <c r="D50" s="2490"/>
      <c r="E50" s="2490"/>
      <c r="F50" s="2490"/>
      <c r="G50" s="2491"/>
      <c r="H50" s="2490"/>
      <c r="I50" s="2491"/>
      <c r="J50" s="2490"/>
      <c r="K50" s="2490"/>
      <c r="L50" s="2491"/>
      <c r="M50" s="2490"/>
      <c r="N50" s="2490"/>
      <c r="O50" s="2491"/>
      <c r="P50" s="2490"/>
      <c r="Q50" s="2490"/>
      <c r="R50" s="2492"/>
    </row>
    <row r="51" spans="2:18" s="799" customFormat="1">
      <c r="B51" s="2490"/>
      <c r="C51" s="2490"/>
      <c r="D51" s="2490"/>
      <c r="E51" s="2490"/>
      <c r="F51" s="2490"/>
      <c r="G51" s="2491"/>
      <c r="H51" s="2490"/>
      <c r="I51" s="2491"/>
      <c r="J51" s="2490"/>
      <c r="K51" s="2490"/>
      <c r="L51" s="2491"/>
      <c r="M51" s="2490"/>
      <c r="N51" s="2490"/>
      <c r="O51" s="2491"/>
      <c r="P51" s="2490"/>
      <c r="Q51" s="2490"/>
      <c r="R51" s="2492"/>
    </row>
    <row r="52" spans="2:18" s="799" customFormat="1">
      <c r="B52" s="2490"/>
      <c r="C52" s="2490"/>
      <c r="D52" s="2490"/>
      <c r="E52" s="2490"/>
      <c r="F52" s="2490"/>
      <c r="G52" s="2491"/>
      <c r="H52" s="2490"/>
      <c r="I52" s="2491"/>
      <c r="J52" s="2490"/>
      <c r="K52" s="2490"/>
      <c r="L52" s="2491"/>
      <c r="M52" s="2490"/>
      <c r="N52" s="2490"/>
      <c r="O52" s="2491"/>
      <c r="P52" s="2490"/>
      <c r="Q52" s="2490"/>
      <c r="R52" s="2492"/>
    </row>
    <row r="53" spans="2:18" s="799" customFormat="1">
      <c r="B53" s="2490"/>
      <c r="C53" s="2490"/>
      <c r="D53" s="2490"/>
      <c r="E53" s="2490"/>
      <c r="F53" s="2490"/>
      <c r="G53" s="2491"/>
      <c r="H53" s="2490"/>
      <c r="I53" s="2491"/>
      <c r="J53" s="2490"/>
      <c r="K53" s="2490"/>
      <c r="L53" s="2491"/>
      <c r="M53" s="2490"/>
      <c r="N53" s="2490"/>
      <c r="O53" s="2491"/>
      <c r="P53" s="2490"/>
      <c r="Q53" s="2490"/>
      <c r="R53" s="2492"/>
    </row>
    <row r="54" spans="2:18" s="799" customFormat="1">
      <c r="B54" s="2490"/>
      <c r="C54" s="2490"/>
      <c r="D54" s="2490"/>
      <c r="E54" s="2490"/>
      <c r="F54" s="2490"/>
      <c r="G54" s="2491"/>
      <c r="H54" s="2490"/>
      <c r="I54" s="2491"/>
      <c r="J54" s="2490"/>
      <c r="K54" s="2490"/>
      <c r="L54" s="2491"/>
      <c r="M54" s="2490"/>
      <c r="N54" s="2490"/>
      <c r="O54" s="2491"/>
      <c r="P54" s="2490"/>
      <c r="Q54" s="2490"/>
      <c r="R54" s="2492"/>
    </row>
    <row r="55" spans="2:18" s="799" customFormat="1">
      <c r="B55" s="2490"/>
      <c r="C55" s="2490"/>
      <c r="D55" s="2490"/>
      <c r="E55" s="2490"/>
      <c r="F55" s="2490"/>
      <c r="G55" s="2491"/>
      <c r="H55" s="2490"/>
      <c r="I55" s="2491"/>
      <c r="J55" s="2490"/>
      <c r="K55" s="2490"/>
      <c r="L55" s="2491"/>
      <c r="M55" s="2490"/>
      <c r="N55" s="2490"/>
      <c r="O55" s="2491"/>
      <c r="P55" s="2490"/>
      <c r="Q55" s="2490"/>
      <c r="R55" s="2492"/>
    </row>
    <row r="56" spans="2:18" s="799" customFormat="1">
      <c r="B56" s="2490"/>
      <c r="C56" s="2490"/>
      <c r="D56" s="2490"/>
      <c r="E56" s="2490"/>
      <c r="F56" s="2490"/>
      <c r="G56" s="2491"/>
      <c r="H56" s="2490"/>
      <c r="I56" s="2491"/>
      <c r="J56" s="2490"/>
      <c r="K56" s="2490"/>
      <c r="L56" s="2491"/>
      <c r="M56" s="2490"/>
      <c r="N56" s="2490"/>
      <c r="O56" s="2491"/>
      <c r="P56" s="2490"/>
      <c r="Q56" s="2490"/>
      <c r="R56" s="2492"/>
    </row>
    <row r="57" spans="2:18" s="799" customFormat="1">
      <c r="B57" s="2490"/>
      <c r="C57" s="2490"/>
      <c r="D57" s="2490"/>
      <c r="E57" s="2490"/>
      <c r="F57" s="2490"/>
      <c r="G57" s="2491"/>
      <c r="H57" s="2490"/>
      <c r="I57" s="2491"/>
      <c r="J57" s="2490"/>
      <c r="K57" s="2490"/>
      <c r="L57" s="2491"/>
      <c r="M57" s="2490"/>
      <c r="N57" s="2490"/>
      <c r="O57" s="2491"/>
      <c r="P57" s="2490"/>
      <c r="Q57" s="2490"/>
      <c r="R57" s="2492"/>
    </row>
    <row r="58" spans="2:18" s="799" customFormat="1">
      <c r="B58" s="2490"/>
      <c r="C58" s="2490"/>
      <c r="D58" s="2490"/>
      <c r="E58" s="2490"/>
      <c r="F58" s="2490"/>
      <c r="G58" s="2491"/>
      <c r="H58" s="2490"/>
      <c r="I58" s="2491"/>
      <c r="J58" s="2490"/>
      <c r="K58" s="2490"/>
      <c r="L58" s="2491"/>
      <c r="M58" s="2490"/>
      <c r="N58" s="2490"/>
      <c r="O58" s="2491"/>
      <c r="P58" s="2490"/>
      <c r="Q58" s="2490"/>
      <c r="R58" s="2492"/>
    </row>
    <row r="59" spans="2:18" s="799" customFormat="1">
      <c r="B59" s="2490"/>
      <c r="C59" s="2490"/>
      <c r="D59" s="2490"/>
      <c r="E59" s="2490"/>
      <c r="F59" s="2490"/>
      <c r="G59" s="2491"/>
      <c r="H59" s="2490"/>
      <c r="I59" s="2491"/>
      <c r="J59" s="2490"/>
      <c r="K59" s="2490"/>
      <c r="L59" s="2491"/>
      <c r="M59" s="2490"/>
      <c r="N59" s="2490"/>
      <c r="O59" s="2491"/>
      <c r="P59" s="2490"/>
      <c r="Q59" s="2490"/>
      <c r="R59" s="2492"/>
    </row>
    <row r="60" spans="2:18" s="799" customFormat="1">
      <c r="B60" s="2490"/>
      <c r="C60" s="2490"/>
      <c r="D60" s="2490"/>
      <c r="E60" s="2490"/>
      <c r="F60" s="2490"/>
      <c r="G60" s="2491"/>
      <c r="H60" s="2490"/>
      <c r="I60" s="2491"/>
      <c r="J60" s="2490"/>
      <c r="K60" s="2490"/>
      <c r="L60" s="2491"/>
      <c r="M60" s="2490"/>
      <c r="N60" s="2490"/>
      <c r="O60" s="2491"/>
      <c r="P60" s="2490"/>
      <c r="Q60" s="2490"/>
      <c r="R60" s="2492"/>
    </row>
    <row r="61" spans="2:18" s="799" customFormat="1">
      <c r="B61" s="2490"/>
      <c r="C61" s="2490"/>
      <c r="D61" s="2490"/>
      <c r="E61" s="2490"/>
      <c r="F61" s="2490"/>
      <c r="G61" s="2491"/>
      <c r="H61" s="2490"/>
      <c r="I61" s="2491"/>
      <c r="J61" s="2490"/>
      <c r="K61" s="2490"/>
      <c r="L61" s="2491"/>
      <c r="M61" s="2490"/>
      <c r="N61" s="2490"/>
      <c r="O61" s="2491"/>
      <c r="P61" s="2490"/>
      <c r="Q61" s="2490"/>
      <c r="R61" s="2492"/>
    </row>
    <row r="62" spans="2:18" s="799" customFormat="1">
      <c r="B62" s="2490"/>
      <c r="C62" s="2490"/>
      <c r="D62" s="2490"/>
      <c r="E62" s="2490"/>
      <c r="F62" s="2490"/>
      <c r="G62" s="2491"/>
      <c r="H62" s="2490"/>
      <c r="I62" s="2491"/>
      <c r="J62" s="2490"/>
      <c r="K62" s="2490"/>
      <c r="L62" s="2491"/>
      <c r="M62" s="2490"/>
      <c r="N62" s="2490"/>
      <c r="O62" s="2491"/>
      <c r="P62" s="2490"/>
      <c r="Q62" s="2490"/>
      <c r="R62" s="2492"/>
    </row>
    <row r="63" spans="2:18" s="799" customFormat="1">
      <c r="B63" s="2490"/>
      <c r="C63" s="2490"/>
      <c r="D63" s="2490"/>
      <c r="E63" s="2490"/>
      <c r="F63" s="2490"/>
      <c r="G63" s="2491"/>
      <c r="H63" s="2490"/>
      <c r="I63" s="2491"/>
      <c r="J63" s="2490"/>
      <c r="K63" s="2490"/>
      <c r="L63" s="2491"/>
      <c r="M63" s="2490"/>
      <c r="N63" s="2490"/>
      <c r="O63" s="2491"/>
      <c r="P63" s="2490"/>
      <c r="Q63" s="2490"/>
      <c r="R63" s="2492"/>
    </row>
    <row r="64" spans="2:18" s="799" customFormat="1">
      <c r="B64" s="2490"/>
      <c r="C64" s="2490"/>
      <c r="D64" s="2490"/>
      <c r="E64" s="2490"/>
      <c r="F64" s="2490"/>
      <c r="G64" s="2491"/>
      <c r="H64" s="2490"/>
      <c r="I64" s="2491"/>
      <c r="J64" s="2490"/>
      <c r="K64" s="2490"/>
      <c r="L64" s="2491"/>
      <c r="M64" s="2490"/>
      <c r="N64" s="2490"/>
      <c r="O64" s="2491"/>
      <c r="P64" s="2490"/>
      <c r="Q64" s="2490"/>
      <c r="R64" s="2492"/>
    </row>
    <row r="65" spans="2:18" s="799" customFormat="1">
      <c r="B65" s="2490"/>
      <c r="C65" s="2490"/>
      <c r="D65" s="2490"/>
      <c r="E65" s="2490"/>
      <c r="F65" s="2490"/>
      <c r="G65" s="2491"/>
      <c r="H65" s="2490"/>
      <c r="I65" s="2491"/>
      <c r="J65" s="2490"/>
      <c r="K65" s="2490"/>
      <c r="L65" s="2491"/>
      <c r="M65" s="2490"/>
      <c r="N65" s="2490"/>
      <c r="O65" s="2491"/>
      <c r="P65" s="2490"/>
      <c r="Q65" s="2490"/>
      <c r="R65" s="2492"/>
    </row>
    <row r="66" spans="2:18" s="799" customFormat="1">
      <c r="B66" s="2490"/>
      <c r="C66" s="2490"/>
      <c r="D66" s="2490"/>
      <c r="E66" s="2490"/>
      <c r="F66" s="2490"/>
      <c r="G66" s="2491"/>
      <c r="H66" s="2490"/>
      <c r="I66" s="2491"/>
      <c r="J66" s="2490"/>
      <c r="K66" s="2490"/>
      <c r="L66" s="2491"/>
      <c r="M66" s="2490"/>
      <c r="N66" s="2490"/>
      <c r="O66" s="2491"/>
      <c r="P66" s="2490"/>
      <c r="Q66" s="2490"/>
      <c r="R66" s="2492"/>
    </row>
    <row r="67" spans="2:18" s="799" customFormat="1">
      <c r="B67" s="2490"/>
      <c r="C67" s="2490"/>
      <c r="D67" s="2490"/>
      <c r="E67" s="2490"/>
      <c r="F67" s="2490"/>
      <c r="G67" s="2491"/>
      <c r="H67" s="2490"/>
      <c r="I67" s="2491"/>
      <c r="J67" s="2490"/>
      <c r="K67" s="2490"/>
      <c r="L67" s="2491"/>
      <c r="M67" s="2490"/>
      <c r="N67" s="2490"/>
      <c r="O67" s="2491"/>
      <c r="P67" s="2490"/>
      <c r="Q67" s="2490"/>
      <c r="R67" s="2492"/>
    </row>
    <row r="68" spans="2:18" s="799" customFormat="1">
      <c r="B68" s="2490"/>
      <c r="C68" s="2490"/>
      <c r="D68" s="2490"/>
      <c r="E68" s="2490"/>
      <c r="F68" s="2490"/>
      <c r="G68" s="2491"/>
      <c r="H68" s="2490"/>
      <c r="I68" s="2491"/>
      <c r="J68" s="2490"/>
      <c r="K68" s="2490"/>
      <c r="L68" s="2491"/>
      <c r="M68" s="2490"/>
      <c r="N68" s="2490"/>
      <c r="O68" s="2491"/>
      <c r="P68" s="2490"/>
      <c r="Q68" s="2490"/>
      <c r="R68" s="2492"/>
    </row>
    <row r="69" spans="2:18" s="799" customFormat="1">
      <c r="B69" s="2490"/>
      <c r="C69" s="2490"/>
      <c r="D69" s="2490"/>
      <c r="E69" s="2490"/>
      <c r="F69" s="2490"/>
      <c r="G69" s="2491"/>
      <c r="H69" s="2490"/>
      <c r="I69" s="2491"/>
      <c r="J69" s="2490"/>
      <c r="K69" s="2490"/>
      <c r="L69" s="2491"/>
      <c r="M69" s="2490"/>
      <c r="N69" s="2490"/>
      <c r="O69" s="2491"/>
      <c r="P69" s="2490"/>
      <c r="Q69" s="2490"/>
      <c r="R69" s="2492"/>
    </row>
    <row r="70" spans="2:18" s="799" customFormat="1">
      <c r="B70" s="2490"/>
      <c r="C70" s="2490"/>
      <c r="D70" s="2490"/>
      <c r="E70" s="2490"/>
      <c r="F70" s="2490"/>
      <c r="G70" s="2491"/>
      <c r="H70" s="2490"/>
      <c r="I70" s="2491"/>
      <c r="J70" s="2490"/>
      <c r="K70" s="2490"/>
      <c r="L70" s="2491"/>
      <c r="M70" s="2490"/>
      <c r="N70" s="2490"/>
      <c r="O70" s="2491"/>
      <c r="P70" s="2490"/>
      <c r="Q70" s="2490"/>
      <c r="R70" s="2492"/>
    </row>
    <row r="71" spans="2:18" s="799" customFormat="1">
      <c r="B71" s="2490"/>
      <c r="C71" s="2490"/>
      <c r="D71" s="2490"/>
      <c r="E71" s="2490"/>
      <c r="F71" s="2490"/>
      <c r="G71" s="2491"/>
      <c r="H71" s="2490"/>
      <c r="I71" s="2491"/>
      <c r="J71" s="2490"/>
      <c r="K71" s="2490"/>
      <c r="L71" s="2491"/>
      <c r="M71" s="2490"/>
      <c r="N71" s="2490"/>
      <c r="O71" s="2491"/>
      <c r="P71" s="2490"/>
      <c r="Q71" s="2490"/>
      <c r="R71" s="2492"/>
    </row>
    <row r="72" spans="2:18" s="799" customFormat="1">
      <c r="B72" s="2490"/>
      <c r="C72" s="2490"/>
      <c r="D72" s="2490"/>
      <c r="E72" s="2490"/>
      <c r="F72" s="2490"/>
      <c r="G72" s="2491"/>
      <c r="H72" s="2490"/>
      <c r="I72" s="2491"/>
      <c r="J72" s="2490"/>
      <c r="K72" s="2490"/>
      <c r="L72" s="2491"/>
      <c r="M72" s="2490"/>
      <c r="N72" s="2490"/>
      <c r="O72" s="2491"/>
      <c r="P72" s="2490"/>
      <c r="Q72" s="2490"/>
      <c r="R72" s="2492"/>
    </row>
    <row r="73" spans="2:18" s="799" customFormat="1">
      <c r="B73" s="2490"/>
      <c r="C73" s="2490"/>
      <c r="D73" s="2490"/>
      <c r="E73" s="2490"/>
      <c r="F73" s="2490"/>
      <c r="G73" s="2491"/>
      <c r="H73" s="2490"/>
      <c r="I73" s="2491"/>
      <c r="J73" s="2490"/>
      <c r="K73" s="2490"/>
      <c r="L73" s="2491"/>
      <c r="M73" s="2490"/>
      <c r="N73" s="2490"/>
      <c r="O73" s="2491"/>
      <c r="P73" s="2490"/>
      <c r="Q73" s="2490"/>
      <c r="R73" s="2492"/>
    </row>
    <row r="74" spans="2:18" s="799" customFormat="1">
      <c r="B74" s="2490"/>
      <c r="C74" s="2490"/>
      <c r="D74" s="2490"/>
      <c r="E74" s="2490"/>
      <c r="F74" s="2490"/>
      <c r="G74" s="2491"/>
      <c r="H74" s="2490"/>
      <c r="I74" s="2491"/>
      <c r="J74" s="2490"/>
      <c r="K74" s="2490"/>
      <c r="L74" s="2491"/>
      <c r="M74" s="2490"/>
      <c r="N74" s="2490"/>
      <c r="O74" s="2491"/>
      <c r="P74" s="2490"/>
      <c r="Q74" s="2490"/>
      <c r="R74" s="2492"/>
    </row>
    <row r="75" spans="2:18" s="799" customFormat="1">
      <c r="B75" s="2490"/>
      <c r="C75" s="2490"/>
      <c r="D75" s="2490"/>
      <c r="E75" s="2490"/>
      <c r="F75" s="2490"/>
      <c r="G75" s="2491"/>
      <c r="H75" s="2490"/>
      <c r="I75" s="2491"/>
      <c r="J75" s="2490"/>
      <c r="K75" s="2490"/>
      <c r="L75" s="2491"/>
      <c r="M75" s="2490"/>
      <c r="N75" s="2490"/>
      <c r="O75" s="2491"/>
      <c r="P75" s="2490"/>
      <c r="Q75" s="2490"/>
      <c r="R75" s="2492"/>
    </row>
    <row r="76" spans="2:18" s="799" customFormat="1">
      <c r="B76" s="2490"/>
      <c r="C76" s="2490"/>
      <c r="D76" s="2490"/>
      <c r="E76" s="2490"/>
      <c r="F76" s="2490"/>
      <c r="G76" s="2491"/>
      <c r="H76" s="2490"/>
      <c r="I76" s="2491"/>
      <c r="J76" s="2490"/>
      <c r="K76" s="2490"/>
      <c r="L76" s="2491"/>
      <c r="M76" s="2490"/>
      <c r="N76" s="2490"/>
      <c r="O76" s="2491"/>
      <c r="P76" s="2490"/>
      <c r="Q76" s="2490"/>
      <c r="R76" s="2492"/>
    </row>
    <row r="77" spans="2:18" s="799" customFormat="1">
      <c r="B77" s="2490"/>
      <c r="C77" s="2490"/>
      <c r="D77" s="2490"/>
      <c r="E77" s="2490"/>
      <c r="F77" s="2490"/>
      <c r="G77" s="2491"/>
      <c r="H77" s="2490"/>
      <c r="I77" s="2491"/>
      <c r="J77" s="2490"/>
      <c r="K77" s="2490"/>
      <c r="L77" s="2491"/>
      <c r="M77" s="2490"/>
      <c r="N77" s="2490"/>
      <c r="O77" s="2491"/>
      <c r="P77" s="2490"/>
      <c r="Q77" s="2490"/>
      <c r="R77" s="2492"/>
    </row>
    <row r="78" spans="2:18" s="799" customFormat="1">
      <c r="B78" s="2490"/>
      <c r="C78" s="2490"/>
      <c r="D78" s="2490"/>
      <c r="E78" s="2490"/>
      <c r="F78" s="2490"/>
      <c r="G78" s="2491"/>
      <c r="H78" s="2490"/>
      <c r="I78" s="2491"/>
      <c r="J78" s="2490"/>
      <c r="K78" s="2490"/>
      <c r="L78" s="2491"/>
      <c r="M78" s="2490"/>
      <c r="N78" s="2490"/>
      <c r="O78" s="2491"/>
      <c r="P78" s="2490"/>
      <c r="Q78" s="2490"/>
      <c r="R78" s="2492"/>
    </row>
    <row r="79" spans="2:18" s="799" customFormat="1">
      <c r="B79" s="2490"/>
      <c r="C79" s="2490"/>
      <c r="D79" s="2490"/>
      <c r="E79" s="2490"/>
      <c r="F79" s="2490"/>
      <c r="G79" s="2491"/>
      <c r="H79" s="2490"/>
      <c r="I79" s="2491"/>
      <c r="J79" s="2490"/>
      <c r="K79" s="2490"/>
      <c r="L79" s="2491"/>
      <c r="M79" s="2490"/>
      <c r="N79" s="2490"/>
      <c r="O79" s="2491"/>
      <c r="P79" s="2490"/>
      <c r="Q79" s="2490"/>
      <c r="R79" s="2492"/>
    </row>
    <row r="80" spans="2:18" s="799" customFormat="1">
      <c r="B80" s="2490"/>
      <c r="C80" s="2490"/>
      <c r="D80" s="2490"/>
      <c r="E80" s="2490"/>
      <c r="F80" s="2490"/>
      <c r="G80" s="2491"/>
      <c r="H80" s="2490"/>
      <c r="I80" s="2491"/>
      <c r="J80" s="2490"/>
      <c r="K80" s="2490"/>
      <c r="L80" s="2491"/>
      <c r="M80" s="2490"/>
      <c r="N80" s="2490"/>
      <c r="O80" s="2491"/>
      <c r="P80" s="2490"/>
      <c r="Q80" s="2490"/>
      <c r="R80" s="2492"/>
    </row>
    <row r="81" spans="2:18" s="799" customFormat="1">
      <c r="B81" s="2490"/>
      <c r="C81" s="2490"/>
      <c r="D81" s="2490"/>
      <c r="E81" s="2490"/>
      <c r="F81" s="2490"/>
      <c r="G81" s="2491"/>
      <c r="H81" s="2490"/>
      <c r="I81" s="2491"/>
      <c r="J81" s="2490"/>
      <c r="K81" s="2490"/>
      <c r="L81" s="2491"/>
      <c r="M81" s="2490"/>
      <c r="N81" s="2490"/>
      <c r="O81" s="2491"/>
      <c r="P81" s="2490"/>
      <c r="Q81" s="2490"/>
      <c r="R81" s="2492"/>
    </row>
    <row r="82" spans="2:18" s="799" customFormat="1">
      <c r="B82" s="2490"/>
      <c r="C82" s="2490"/>
      <c r="D82" s="2490"/>
      <c r="E82" s="2490"/>
      <c r="F82" s="2490"/>
      <c r="G82" s="2491"/>
      <c r="H82" s="2490"/>
      <c r="I82" s="2491"/>
      <c r="J82" s="2490"/>
      <c r="K82" s="2490"/>
      <c r="L82" s="2491"/>
      <c r="M82" s="2490"/>
      <c r="N82" s="2490"/>
      <c r="O82" s="2491"/>
      <c r="P82" s="2490"/>
      <c r="Q82" s="2490"/>
      <c r="R82" s="2492"/>
    </row>
    <row r="83" spans="2:18" s="799" customFormat="1">
      <c r="B83" s="2490"/>
      <c r="C83" s="2490"/>
      <c r="D83" s="2490"/>
      <c r="E83" s="2490"/>
      <c r="F83" s="2490"/>
      <c r="G83" s="2491"/>
      <c r="H83" s="2490"/>
      <c r="I83" s="2491"/>
      <c r="J83" s="2490"/>
      <c r="K83" s="2490"/>
      <c r="L83" s="2491"/>
      <c r="M83" s="2490"/>
      <c r="N83" s="2490"/>
      <c r="O83" s="2491"/>
      <c r="P83" s="2490"/>
      <c r="Q83" s="2490"/>
      <c r="R83" s="2492"/>
    </row>
    <row r="84" spans="2:18" s="799" customFormat="1">
      <c r="B84" s="2490"/>
      <c r="C84" s="2490"/>
      <c r="D84" s="2490"/>
      <c r="E84" s="2490"/>
      <c r="F84" s="2490"/>
      <c r="G84" s="2491"/>
      <c r="H84" s="2490"/>
      <c r="I84" s="2491"/>
      <c r="J84" s="2490"/>
      <c r="K84" s="2490"/>
      <c r="L84" s="2491"/>
      <c r="M84" s="2490"/>
      <c r="N84" s="2490"/>
      <c r="O84" s="2491"/>
      <c r="P84" s="2490"/>
      <c r="Q84" s="2490"/>
      <c r="R84" s="2492"/>
    </row>
    <row r="85" spans="2:18" s="799" customFormat="1">
      <c r="B85" s="2490"/>
      <c r="C85" s="2490"/>
      <c r="D85" s="2490"/>
      <c r="E85" s="2490"/>
      <c r="F85" s="2490"/>
      <c r="G85" s="2491"/>
      <c r="H85" s="2490"/>
      <c r="I85" s="2491"/>
      <c r="J85" s="2490"/>
      <c r="K85" s="2490"/>
      <c r="L85" s="2491"/>
      <c r="M85" s="2490"/>
      <c r="N85" s="2490"/>
      <c r="O85" s="2491"/>
      <c r="P85" s="2490"/>
      <c r="Q85" s="2490"/>
      <c r="R85" s="2492"/>
    </row>
    <row r="86" spans="2:18" s="799" customFormat="1">
      <c r="B86" s="2490"/>
      <c r="C86" s="2490"/>
      <c r="D86" s="2490"/>
      <c r="E86" s="2490"/>
      <c r="F86" s="2490"/>
      <c r="G86" s="2491"/>
      <c r="H86" s="2490"/>
      <c r="I86" s="2491"/>
      <c r="J86" s="2490"/>
      <c r="K86" s="2490"/>
      <c r="L86" s="2491"/>
      <c r="M86" s="2490"/>
      <c r="N86" s="2490"/>
      <c r="O86" s="2491"/>
      <c r="P86" s="2490"/>
      <c r="Q86" s="2490"/>
      <c r="R86" s="2492"/>
    </row>
    <row r="87" spans="2:18" s="799" customFormat="1">
      <c r="B87" s="2490"/>
      <c r="C87" s="2490"/>
      <c r="D87" s="2490"/>
      <c r="E87" s="2490"/>
      <c r="F87" s="2490"/>
      <c r="G87" s="2491"/>
      <c r="H87" s="2490"/>
      <c r="I87" s="2491"/>
      <c r="J87" s="2490"/>
      <c r="K87" s="2490"/>
      <c r="L87" s="2491"/>
      <c r="M87" s="2490"/>
      <c r="N87" s="2490"/>
      <c r="O87" s="2491"/>
      <c r="P87" s="2490"/>
      <c r="Q87" s="2490"/>
      <c r="R87" s="2492"/>
    </row>
    <row r="88" spans="2:18" s="799" customFormat="1">
      <c r="B88" s="2490"/>
      <c r="C88" s="2490"/>
      <c r="D88" s="2490"/>
      <c r="E88" s="2490"/>
      <c r="F88" s="2490"/>
      <c r="G88" s="2491"/>
      <c r="H88" s="2490"/>
      <c r="I88" s="2491"/>
      <c r="J88" s="2490"/>
      <c r="K88" s="2490"/>
      <c r="L88" s="2491"/>
      <c r="M88" s="2490"/>
      <c r="N88" s="2490"/>
      <c r="O88" s="2491"/>
      <c r="P88" s="2490"/>
      <c r="Q88" s="2490"/>
      <c r="R88" s="2492"/>
    </row>
    <row r="89" spans="2:18" s="799" customFormat="1">
      <c r="B89" s="2490"/>
      <c r="C89" s="2490"/>
      <c r="D89" s="2490"/>
      <c r="E89" s="2490"/>
      <c r="F89" s="2490"/>
      <c r="G89" s="2491"/>
      <c r="H89" s="2490"/>
      <c r="I89" s="2491"/>
      <c r="J89" s="2490"/>
      <c r="K89" s="2490"/>
      <c r="L89" s="2491"/>
      <c r="M89" s="2490"/>
      <c r="N89" s="2490"/>
      <c r="O89" s="2491"/>
      <c r="P89" s="2490"/>
      <c r="Q89" s="2490"/>
      <c r="R89" s="2492"/>
    </row>
    <row r="90" spans="2:18" s="799" customFormat="1">
      <c r="B90" s="2490"/>
      <c r="C90" s="2490"/>
      <c r="D90" s="2490"/>
      <c r="E90" s="2490"/>
      <c r="F90" s="2490"/>
      <c r="G90" s="2491"/>
      <c r="H90" s="2490"/>
      <c r="I90" s="2491"/>
      <c r="J90" s="2490"/>
      <c r="K90" s="2490"/>
      <c r="L90" s="2491"/>
      <c r="M90" s="2490"/>
      <c r="N90" s="2490"/>
      <c r="O90" s="2491"/>
      <c r="P90" s="2490"/>
      <c r="Q90" s="2490"/>
      <c r="R90" s="2492"/>
    </row>
    <row r="91" spans="2:18" s="799" customFormat="1">
      <c r="B91" s="2490"/>
      <c r="C91" s="2490"/>
      <c r="D91" s="2490"/>
      <c r="E91" s="2490"/>
      <c r="F91" s="2490"/>
      <c r="G91" s="2491"/>
      <c r="H91" s="2490"/>
      <c r="I91" s="2491"/>
      <c r="J91" s="2490"/>
      <c r="K91" s="2490"/>
      <c r="L91" s="2491"/>
      <c r="M91" s="2490"/>
      <c r="N91" s="2490"/>
      <c r="O91" s="2491"/>
      <c r="P91" s="2490"/>
      <c r="Q91" s="2490"/>
      <c r="R91" s="2492"/>
    </row>
    <row r="92" spans="2:18" s="799" customFormat="1">
      <c r="B92" s="2490"/>
      <c r="C92" s="2490"/>
      <c r="D92" s="2490"/>
      <c r="E92" s="2490"/>
      <c r="F92" s="2490"/>
      <c r="G92" s="2491"/>
      <c r="H92" s="2490"/>
      <c r="I92" s="2491"/>
      <c r="J92" s="2490"/>
      <c r="K92" s="2490"/>
      <c r="L92" s="2491"/>
      <c r="M92" s="2490"/>
      <c r="N92" s="2490"/>
      <c r="O92" s="2491"/>
      <c r="P92" s="2490"/>
      <c r="Q92" s="2490"/>
      <c r="R92" s="2492"/>
    </row>
    <row r="93" spans="2:18" s="799" customFormat="1">
      <c r="B93" s="2490"/>
      <c r="C93" s="2490"/>
      <c r="D93" s="2490"/>
      <c r="E93" s="2490"/>
      <c r="F93" s="2490"/>
      <c r="G93" s="2491"/>
      <c r="H93" s="2490"/>
      <c r="I93" s="2491"/>
      <c r="J93" s="2490"/>
      <c r="K93" s="2490"/>
      <c r="L93" s="2491"/>
      <c r="M93" s="2490"/>
      <c r="N93" s="2490"/>
      <c r="O93" s="2491"/>
      <c r="P93" s="2490"/>
      <c r="Q93" s="2490"/>
      <c r="R93" s="2492"/>
    </row>
    <row r="94" spans="2:18" s="799" customFormat="1">
      <c r="B94" s="2490"/>
      <c r="C94" s="2490"/>
      <c r="D94" s="2490"/>
      <c r="E94" s="2490"/>
      <c r="F94" s="2490"/>
      <c r="G94" s="2491"/>
      <c r="H94" s="2490"/>
      <c r="I94" s="2491"/>
      <c r="J94" s="2490"/>
      <c r="K94" s="2490"/>
      <c r="L94" s="2491"/>
      <c r="M94" s="2490"/>
      <c r="N94" s="2490"/>
      <c r="O94" s="2491"/>
      <c r="P94" s="2490"/>
      <c r="Q94" s="2490"/>
      <c r="R94" s="2492"/>
    </row>
    <row r="95" spans="2:18" s="799" customFormat="1">
      <c r="B95" s="2490"/>
      <c r="C95" s="2490"/>
      <c r="D95" s="2490"/>
      <c r="E95" s="2490"/>
      <c r="F95" s="2490"/>
      <c r="G95" s="2491"/>
      <c r="H95" s="2490"/>
      <c r="I95" s="2491"/>
      <c r="J95" s="2490"/>
      <c r="K95" s="2490"/>
      <c r="L95" s="2491"/>
      <c r="M95" s="2490"/>
      <c r="N95" s="2490"/>
      <c r="O95" s="2491"/>
      <c r="P95" s="2490"/>
      <c r="Q95" s="2490"/>
      <c r="R95" s="2492"/>
    </row>
    <row r="96" spans="2:18" s="799" customFormat="1">
      <c r="B96" s="2490"/>
      <c r="C96" s="2490"/>
      <c r="D96" s="2490"/>
      <c r="E96" s="2490"/>
      <c r="F96" s="2490"/>
      <c r="G96" s="2491"/>
      <c r="H96" s="2490"/>
      <c r="I96" s="2491"/>
      <c r="J96" s="2490"/>
      <c r="K96" s="2490"/>
      <c r="L96" s="2491"/>
      <c r="M96" s="2490"/>
      <c r="N96" s="2490"/>
      <c r="O96" s="2491"/>
      <c r="P96" s="2490"/>
      <c r="Q96" s="2490"/>
      <c r="R96" s="2492"/>
    </row>
    <row r="97" spans="2:18" s="799" customFormat="1">
      <c r="B97" s="2490"/>
      <c r="C97" s="2490"/>
      <c r="D97" s="2490"/>
      <c r="E97" s="2490"/>
      <c r="F97" s="2490"/>
      <c r="G97" s="2491"/>
      <c r="H97" s="2490"/>
      <c r="I97" s="2491"/>
      <c r="J97" s="2490"/>
      <c r="K97" s="2490"/>
      <c r="L97" s="2491"/>
      <c r="M97" s="2490"/>
      <c r="N97" s="2490"/>
      <c r="O97" s="2491"/>
      <c r="P97" s="2490"/>
      <c r="Q97" s="2490"/>
      <c r="R97" s="2492"/>
    </row>
    <row r="98" spans="2:18" s="799" customFormat="1">
      <c r="B98" s="2490"/>
      <c r="C98" s="2490"/>
      <c r="D98" s="2490"/>
      <c r="E98" s="2490"/>
      <c r="F98" s="2490"/>
      <c r="G98" s="2491"/>
      <c r="H98" s="2490"/>
      <c r="I98" s="2491"/>
      <c r="J98" s="2490"/>
      <c r="K98" s="2490"/>
      <c r="L98" s="2491"/>
      <c r="M98" s="2490"/>
      <c r="N98" s="2490"/>
      <c r="O98" s="2491"/>
      <c r="P98" s="2490"/>
      <c r="Q98" s="2490"/>
      <c r="R98" s="2492"/>
    </row>
    <row r="99" spans="2:18" s="799" customFormat="1">
      <c r="B99" s="2490"/>
      <c r="C99" s="2490"/>
      <c r="D99" s="2490"/>
      <c r="E99" s="2490"/>
      <c r="F99" s="2490"/>
      <c r="G99" s="2491"/>
      <c r="H99" s="2490"/>
      <c r="I99" s="2491"/>
      <c r="J99" s="2490"/>
      <c r="K99" s="2490"/>
      <c r="L99" s="2491"/>
      <c r="M99" s="2490"/>
      <c r="N99" s="2490"/>
      <c r="O99" s="2491"/>
      <c r="P99" s="2490"/>
      <c r="Q99" s="2490"/>
      <c r="R99" s="2492"/>
    </row>
    <row r="100" spans="2:18" s="799" customFormat="1">
      <c r="B100" s="2490"/>
      <c r="C100" s="2490"/>
      <c r="D100" s="2490"/>
      <c r="E100" s="2490"/>
      <c r="F100" s="2490"/>
      <c r="G100" s="2491"/>
      <c r="H100" s="2490"/>
      <c r="I100" s="2491"/>
      <c r="J100" s="2490"/>
      <c r="K100" s="2490"/>
      <c r="L100" s="2491"/>
      <c r="M100" s="2490"/>
      <c r="N100" s="2490"/>
      <c r="O100" s="2491"/>
      <c r="P100" s="2490"/>
      <c r="Q100" s="2490"/>
      <c r="R100" s="2492"/>
    </row>
    <row r="101" spans="2:18" s="799" customFormat="1">
      <c r="B101" s="2490"/>
      <c r="C101" s="2490"/>
      <c r="D101" s="2490"/>
      <c r="E101" s="2490"/>
      <c r="F101" s="2490"/>
      <c r="G101" s="2491"/>
      <c r="H101" s="2490"/>
      <c r="I101" s="2491"/>
      <c r="J101" s="2490"/>
      <c r="K101" s="2490"/>
      <c r="L101" s="2491"/>
      <c r="M101" s="2490"/>
      <c r="N101" s="2490"/>
      <c r="O101" s="2491"/>
      <c r="P101" s="2490"/>
      <c r="Q101" s="2490"/>
      <c r="R101" s="2492"/>
    </row>
    <row r="102" spans="2:18" s="799" customFormat="1">
      <c r="B102" s="2490"/>
      <c r="C102" s="2490"/>
      <c r="D102" s="2490"/>
      <c r="E102" s="2490"/>
      <c r="F102" s="2490"/>
      <c r="G102" s="2491"/>
      <c r="H102" s="2490"/>
      <c r="I102" s="2491"/>
      <c r="J102" s="2490"/>
      <c r="K102" s="2490"/>
      <c r="L102" s="2491"/>
      <c r="M102" s="2490"/>
      <c r="N102" s="2490"/>
      <c r="O102" s="2491"/>
      <c r="P102" s="2490"/>
      <c r="Q102" s="2490"/>
      <c r="R102" s="2492"/>
    </row>
    <row r="103" spans="2:18" s="799" customFormat="1">
      <c r="B103" s="2490"/>
      <c r="C103" s="2490"/>
      <c r="D103" s="2490"/>
      <c r="E103" s="2490"/>
      <c r="F103" s="2490"/>
      <c r="G103" s="2491"/>
      <c r="H103" s="2490"/>
      <c r="I103" s="2491"/>
      <c r="J103" s="2490"/>
      <c r="K103" s="2490"/>
      <c r="L103" s="2491"/>
      <c r="M103" s="2490"/>
      <c r="N103" s="2490"/>
      <c r="O103" s="2491"/>
      <c r="P103" s="2490"/>
      <c r="Q103" s="2490"/>
      <c r="R103" s="2492"/>
    </row>
    <row r="104" spans="2:18" s="799" customFormat="1">
      <c r="B104" s="2490"/>
      <c r="C104" s="2490"/>
      <c r="D104" s="2490"/>
      <c r="E104" s="2490"/>
      <c r="F104" s="2490"/>
      <c r="G104" s="2491"/>
      <c r="H104" s="2490"/>
      <c r="I104" s="2491"/>
      <c r="J104" s="2490"/>
      <c r="K104" s="2490"/>
      <c r="L104" s="2491"/>
      <c r="M104" s="2490"/>
      <c r="N104" s="2490"/>
      <c r="O104" s="2491"/>
      <c r="P104" s="2490"/>
      <c r="Q104" s="2490"/>
      <c r="R104" s="2492"/>
    </row>
    <row r="105" spans="2:18" s="799" customFormat="1">
      <c r="B105" s="2490"/>
      <c r="C105" s="2490"/>
      <c r="D105" s="2490"/>
      <c r="E105" s="2490"/>
      <c r="F105" s="2490"/>
      <c r="G105" s="2491"/>
      <c r="H105" s="2490"/>
      <c r="I105" s="2491"/>
      <c r="J105" s="2490"/>
      <c r="K105" s="2490"/>
      <c r="L105" s="2491"/>
      <c r="M105" s="2490"/>
      <c r="N105" s="2490"/>
      <c r="O105" s="2491"/>
      <c r="P105" s="2490"/>
      <c r="Q105" s="2490"/>
      <c r="R105" s="2492"/>
    </row>
    <row r="106" spans="2:18" s="799" customFormat="1">
      <c r="B106" s="2490"/>
      <c r="C106" s="2490"/>
      <c r="D106" s="2490"/>
      <c r="E106" s="2490"/>
      <c r="F106" s="2490"/>
      <c r="G106" s="2491"/>
      <c r="H106" s="2490"/>
      <c r="I106" s="2491"/>
      <c r="J106" s="2490"/>
      <c r="K106" s="2490"/>
      <c r="L106" s="2491"/>
      <c r="M106" s="2490"/>
      <c r="N106" s="2490"/>
      <c r="O106" s="2491"/>
      <c r="P106" s="2490"/>
      <c r="Q106" s="2490"/>
      <c r="R106" s="2492"/>
    </row>
    <row r="107" spans="2:18" s="799" customFormat="1">
      <c r="B107" s="2490"/>
      <c r="C107" s="2490"/>
      <c r="D107" s="2490"/>
      <c r="E107" s="2490"/>
      <c r="F107" s="2490"/>
      <c r="G107" s="2491"/>
      <c r="H107" s="2490"/>
      <c r="I107" s="2491"/>
      <c r="J107" s="2490"/>
      <c r="K107" s="2490"/>
      <c r="L107" s="2491"/>
      <c r="M107" s="2490"/>
      <c r="N107" s="2490"/>
      <c r="O107" s="2491"/>
      <c r="P107" s="2490"/>
      <c r="Q107" s="2490"/>
      <c r="R107" s="2492"/>
    </row>
    <row r="108" spans="2:18" s="799" customFormat="1">
      <c r="B108" s="2490"/>
      <c r="C108" s="2490"/>
      <c r="D108" s="2490"/>
      <c r="E108" s="2490"/>
      <c r="F108" s="2490"/>
      <c r="G108" s="2491"/>
      <c r="H108" s="2490"/>
      <c r="I108" s="2491"/>
      <c r="J108" s="2490"/>
      <c r="K108" s="2490"/>
      <c r="L108" s="2491"/>
      <c r="M108" s="2490"/>
      <c r="N108" s="2490"/>
      <c r="O108" s="2491"/>
      <c r="P108" s="2490"/>
      <c r="Q108" s="2490"/>
      <c r="R108" s="2492"/>
    </row>
    <row r="109" spans="2:18" s="799" customFormat="1">
      <c r="B109" s="2490"/>
      <c r="C109" s="2490"/>
      <c r="D109" s="2490"/>
      <c r="E109" s="2490"/>
      <c r="F109" s="2490"/>
      <c r="G109" s="2491"/>
      <c r="H109" s="2490"/>
      <c r="I109" s="2491"/>
      <c r="J109" s="2490"/>
      <c r="K109" s="2490"/>
      <c r="L109" s="2491"/>
      <c r="M109" s="2490"/>
      <c r="N109" s="2490"/>
      <c r="O109" s="2491"/>
      <c r="P109" s="2490"/>
      <c r="Q109" s="2490"/>
      <c r="R109" s="2492"/>
    </row>
    <row r="110" spans="2:18" s="799" customFormat="1">
      <c r="B110" s="2490"/>
      <c r="C110" s="2490"/>
      <c r="D110" s="2490"/>
      <c r="E110" s="2490"/>
      <c r="F110" s="2490"/>
      <c r="G110" s="2491"/>
      <c r="H110" s="2490"/>
      <c r="I110" s="2491"/>
      <c r="J110" s="2490"/>
      <c r="K110" s="2490"/>
      <c r="L110" s="2491"/>
      <c r="M110" s="2490"/>
      <c r="N110" s="2490"/>
      <c r="O110" s="2491"/>
      <c r="P110" s="2490"/>
      <c r="Q110" s="2490"/>
      <c r="R110" s="2492"/>
    </row>
    <row r="111" spans="2:18" s="799" customFormat="1">
      <c r="B111" s="2490"/>
      <c r="C111" s="2490"/>
      <c r="D111" s="2490"/>
      <c r="E111" s="2490"/>
      <c r="F111" s="2490"/>
      <c r="G111" s="2491"/>
      <c r="H111" s="2490"/>
      <c r="I111" s="2491"/>
      <c r="J111" s="2490"/>
      <c r="K111" s="2490"/>
      <c r="L111" s="2491"/>
      <c r="M111" s="2490"/>
      <c r="N111" s="2490"/>
      <c r="O111" s="2491"/>
      <c r="P111" s="2490"/>
      <c r="Q111" s="2490"/>
      <c r="R111" s="2492"/>
    </row>
    <row r="112" spans="2:18" s="799" customFormat="1">
      <c r="B112" s="2490"/>
      <c r="C112" s="2490"/>
      <c r="D112" s="2490"/>
      <c r="E112" s="2490"/>
      <c r="F112" s="2490"/>
      <c r="G112" s="2491"/>
      <c r="H112" s="2490"/>
      <c r="I112" s="2491"/>
      <c r="J112" s="2490"/>
      <c r="K112" s="2490"/>
      <c r="L112" s="2491"/>
      <c r="M112" s="2490"/>
      <c r="N112" s="2490"/>
      <c r="O112" s="2491"/>
      <c r="P112" s="2490"/>
      <c r="Q112" s="2490"/>
      <c r="R112" s="2492"/>
    </row>
    <row r="113" spans="2:18" s="799" customFormat="1">
      <c r="B113" s="2490"/>
      <c r="C113" s="2490"/>
      <c r="D113" s="2490"/>
      <c r="E113" s="2490"/>
      <c r="F113" s="2490"/>
      <c r="G113" s="2491"/>
      <c r="H113" s="2490"/>
      <c r="I113" s="2491"/>
      <c r="J113" s="2490"/>
      <c r="K113" s="2490"/>
      <c r="L113" s="2491"/>
      <c r="M113" s="2490"/>
      <c r="N113" s="2490"/>
      <c r="O113" s="2491"/>
      <c r="P113" s="2490"/>
      <c r="Q113" s="2490"/>
      <c r="R113" s="2492"/>
    </row>
    <row r="114" spans="2:18" s="799" customFormat="1">
      <c r="B114" s="2490"/>
      <c r="C114" s="2490"/>
      <c r="D114" s="2490"/>
      <c r="E114" s="2490"/>
      <c r="F114" s="2490"/>
      <c r="G114" s="2491"/>
      <c r="H114" s="2490"/>
      <c r="I114" s="2491"/>
      <c r="J114" s="2490"/>
      <c r="K114" s="2490"/>
      <c r="L114" s="2491"/>
      <c r="M114" s="2490"/>
      <c r="N114" s="2490"/>
      <c r="O114" s="2491"/>
      <c r="P114" s="2490"/>
      <c r="Q114" s="2490"/>
      <c r="R114" s="2492"/>
    </row>
    <row r="115" spans="2:18" s="799" customFormat="1">
      <c r="B115" s="2490"/>
      <c r="C115" s="2490"/>
      <c r="D115" s="2490"/>
      <c r="E115" s="2490"/>
      <c r="F115" s="2490"/>
      <c r="G115" s="2491"/>
      <c r="H115" s="2490"/>
      <c r="I115" s="2491"/>
      <c r="J115" s="2490"/>
      <c r="K115" s="2490"/>
      <c r="L115" s="2491"/>
      <c r="M115" s="2490"/>
      <c r="N115" s="2490"/>
      <c r="O115" s="2491"/>
      <c r="P115" s="2490"/>
      <c r="Q115" s="2490"/>
      <c r="R115" s="2492"/>
    </row>
    <row r="116" spans="2:18" s="799" customFormat="1">
      <c r="B116" s="2490"/>
      <c r="C116" s="2490"/>
      <c r="D116" s="2490"/>
      <c r="E116" s="2490"/>
      <c r="F116" s="2490"/>
      <c r="G116" s="2491"/>
      <c r="H116" s="2490"/>
      <c r="I116" s="2491"/>
      <c r="J116" s="2490"/>
      <c r="K116" s="2490"/>
      <c r="L116" s="2491"/>
      <c r="M116" s="2490"/>
      <c r="N116" s="2490"/>
      <c r="O116" s="2491"/>
      <c r="P116" s="2490"/>
      <c r="Q116" s="2490"/>
      <c r="R116" s="2492"/>
    </row>
    <row r="117" spans="2:18" s="799" customFormat="1">
      <c r="B117" s="2490"/>
      <c r="C117" s="2490"/>
      <c r="D117" s="2490"/>
      <c r="E117" s="2490"/>
      <c r="F117" s="2490"/>
      <c r="G117" s="2491"/>
      <c r="H117" s="2490"/>
      <c r="I117" s="2491"/>
      <c r="J117" s="2490"/>
      <c r="K117" s="2490"/>
      <c r="L117" s="2491"/>
      <c r="M117" s="2490"/>
      <c r="N117" s="2490"/>
      <c r="O117" s="2491"/>
      <c r="P117" s="2490"/>
      <c r="Q117" s="2490"/>
      <c r="R117" s="2492"/>
    </row>
    <row r="118" spans="2:18" s="799" customFormat="1">
      <c r="B118" s="2490"/>
      <c r="C118" s="2490"/>
      <c r="D118" s="2490"/>
      <c r="E118" s="2490"/>
      <c r="F118" s="2490"/>
      <c r="G118" s="2491"/>
      <c r="H118" s="2490"/>
      <c r="I118" s="2491"/>
      <c r="J118" s="2490"/>
      <c r="K118" s="2490"/>
      <c r="L118" s="2491"/>
      <c r="M118" s="2490"/>
      <c r="N118" s="2490"/>
      <c r="O118" s="2491"/>
      <c r="P118" s="2490"/>
      <c r="Q118" s="2490"/>
      <c r="R118" s="2492"/>
    </row>
    <row r="119" spans="2:18" s="799" customFormat="1">
      <c r="B119" s="2490"/>
      <c r="C119" s="2490"/>
      <c r="D119" s="2490"/>
      <c r="E119" s="2490"/>
      <c r="F119" s="2490"/>
      <c r="G119" s="2491"/>
      <c r="H119" s="2490"/>
      <c r="I119" s="2491"/>
      <c r="J119" s="2490"/>
      <c r="K119" s="2490"/>
      <c r="L119" s="2491"/>
      <c r="M119" s="2490"/>
      <c r="N119" s="2490"/>
      <c r="O119" s="2491"/>
      <c r="P119" s="2490"/>
      <c r="Q119" s="2490"/>
      <c r="R119" s="2492"/>
    </row>
    <row r="120" spans="2:18" s="799" customFormat="1">
      <c r="B120" s="2490"/>
      <c r="C120" s="2490"/>
      <c r="D120" s="2490"/>
      <c r="E120" s="2490"/>
      <c r="F120" s="2490"/>
      <c r="G120" s="2491"/>
      <c r="H120" s="2490"/>
      <c r="I120" s="2491"/>
      <c r="J120" s="2490"/>
      <c r="K120" s="2490"/>
      <c r="L120" s="2491"/>
      <c r="M120" s="2490"/>
      <c r="N120" s="2490"/>
      <c r="O120" s="2491"/>
      <c r="P120" s="2490"/>
      <c r="Q120" s="2490"/>
      <c r="R120" s="2492"/>
    </row>
    <row r="121" spans="2:18" s="799" customFormat="1">
      <c r="B121" s="2490"/>
      <c r="C121" s="2490"/>
      <c r="D121" s="2490"/>
      <c r="E121" s="2490"/>
      <c r="F121" s="2490"/>
      <c r="G121" s="2491"/>
      <c r="H121" s="2490"/>
      <c r="I121" s="2491"/>
      <c r="J121" s="2490"/>
      <c r="K121" s="2490"/>
      <c r="L121" s="2491"/>
      <c r="M121" s="2490"/>
      <c r="N121" s="2490"/>
      <c r="O121" s="2491"/>
      <c r="P121" s="2490"/>
      <c r="Q121" s="2490"/>
      <c r="R121" s="2492"/>
    </row>
    <row r="122" spans="2:18" s="799" customFormat="1">
      <c r="B122" s="2490"/>
      <c r="C122" s="2490"/>
      <c r="D122" s="2490"/>
      <c r="E122" s="2490"/>
      <c r="F122" s="2490"/>
      <c r="G122" s="2491"/>
      <c r="H122" s="2490"/>
      <c r="I122" s="2491"/>
      <c r="J122" s="2490"/>
      <c r="K122" s="2490"/>
      <c r="L122" s="2491"/>
      <c r="M122" s="2490"/>
      <c r="N122" s="2490"/>
      <c r="O122" s="2491"/>
      <c r="P122" s="2490"/>
      <c r="Q122" s="2490"/>
      <c r="R122" s="2492"/>
    </row>
    <row r="123" spans="2:18" s="799" customFormat="1">
      <c r="B123" s="2490"/>
      <c r="C123" s="2490"/>
      <c r="D123" s="2490"/>
      <c r="E123" s="2490"/>
      <c r="F123" s="2490"/>
      <c r="G123" s="2491"/>
      <c r="H123" s="2490"/>
      <c r="I123" s="2491"/>
      <c r="J123" s="2490"/>
      <c r="K123" s="2490"/>
      <c r="L123" s="2491"/>
      <c r="M123" s="2490"/>
      <c r="N123" s="2490"/>
      <c r="O123" s="2491"/>
      <c r="P123" s="2490"/>
      <c r="Q123" s="2490"/>
      <c r="R123" s="2492"/>
    </row>
    <row r="124" spans="2:18" s="799" customFormat="1">
      <c r="B124" s="2490"/>
      <c r="C124" s="2490"/>
      <c r="D124" s="2490"/>
      <c r="E124" s="2490"/>
      <c r="F124" s="2490"/>
      <c r="G124" s="2491"/>
      <c r="H124" s="2490"/>
      <c r="I124" s="2491"/>
      <c r="J124" s="2490"/>
      <c r="K124" s="2490"/>
      <c r="L124" s="2491"/>
      <c r="M124" s="2490"/>
      <c r="N124" s="2490"/>
      <c r="O124" s="2491"/>
      <c r="P124" s="2490"/>
      <c r="Q124" s="2490"/>
      <c r="R124" s="2492"/>
    </row>
    <row r="125" spans="2:18" s="799" customFormat="1">
      <c r="B125" s="2490"/>
      <c r="C125" s="2490"/>
      <c r="D125" s="2490"/>
      <c r="E125" s="2490"/>
      <c r="F125" s="2490"/>
      <c r="G125" s="2491"/>
      <c r="H125" s="2490"/>
      <c r="I125" s="2491"/>
      <c r="J125" s="2490"/>
      <c r="K125" s="2490"/>
      <c r="L125" s="2491"/>
      <c r="M125" s="2490"/>
      <c r="N125" s="2490"/>
      <c r="O125" s="2491"/>
      <c r="P125" s="2490"/>
      <c r="Q125" s="2490"/>
      <c r="R125" s="2492"/>
    </row>
    <row r="126" spans="2:18" s="799" customFormat="1">
      <c r="B126" s="2490"/>
      <c r="C126" s="2490"/>
      <c r="D126" s="2490"/>
      <c r="E126" s="2490"/>
      <c r="F126" s="2490"/>
      <c r="G126" s="2491"/>
      <c r="H126" s="2490"/>
      <c r="I126" s="2491"/>
      <c r="J126" s="2490"/>
      <c r="K126" s="2490"/>
      <c r="L126" s="2491"/>
      <c r="M126" s="2490"/>
      <c r="N126" s="2490"/>
      <c r="O126" s="2491"/>
      <c r="P126" s="2490"/>
      <c r="Q126" s="2490"/>
      <c r="R126" s="2492"/>
    </row>
    <row r="127" spans="2:18" s="799" customFormat="1">
      <c r="B127" s="2490"/>
      <c r="C127" s="2490"/>
      <c r="D127" s="2490"/>
      <c r="E127" s="2490"/>
      <c r="F127" s="2490"/>
      <c r="G127" s="2491"/>
      <c r="H127" s="2490"/>
      <c r="I127" s="2491"/>
      <c r="J127" s="2490"/>
      <c r="K127" s="2490"/>
      <c r="L127" s="2491"/>
      <c r="M127" s="2490"/>
      <c r="N127" s="2490"/>
      <c r="O127" s="2491"/>
      <c r="P127" s="2490"/>
      <c r="Q127" s="2490"/>
      <c r="R127" s="2492"/>
    </row>
    <row r="128" spans="2:18" s="799" customFormat="1">
      <c r="B128" s="2490"/>
      <c r="C128" s="2490"/>
      <c r="D128" s="2490"/>
      <c r="E128" s="2490"/>
      <c r="F128" s="2490"/>
      <c r="G128" s="2491"/>
      <c r="H128" s="2490"/>
      <c r="I128" s="2491"/>
      <c r="J128" s="2490"/>
      <c r="K128" s="2490"/>
      <c r="L128" s="2491"/>
      <c r="M128" s="2490"/>
      <c r="N128" s="2490"/>
      <c r="O128" s="2491"/>
      <c r="P128" s="2490"/>
      <c r="Q128" s="2490"/>
      <c r="R128" s="2492"/>
    </row>
    <row r="129" spans="2:18" s="799" customFormat="1">
      <c r="B129" s="2490"/>
      <c r="C129" s="2490"/>
      <c r="D129" s="2490"/>
      <c r="E129" s="2490"/>
      <c r="F129" s="2490"/>
      <c r="G129" s="2491"/>
      <c r="H129" s="2490"/>
      <c r="I129" s="2491"/>
      <c r="J129" s="2490"/>
      <c r="K129" s="2490"/>
      <c r="L129" s="2491"/>
      <c r="M129" s="2490"/>
      <c r="N129" s="2490"/>
      <c r="O129" s="2491"/>
      <c r="P129" s="2490"/>
      <c r="Q129" s="2490"/>
      <c r="R129" s="2492"/>
    </row>
    <row r="130" spans="2:18" s="799" customFormat="1">
      <c r="B130" s="2490"/>
      <c r="C130" s="2490"/>
      <c r="D130" s="2490"/>
      <c r="E130" s="2490"/>
      <c r="F130" s="2490"/>
      <c r="G130" s="2491"/>
      <c r="H130" s="2490"/>
      <c r="I130" s="2491"/>
      <c r="J130" s="2490"/>
      <c r="K130" s="2490"/>
      <c r="L130" s="2491"/>
      <c r="M130" s="2490"/>
      <c r="N130" s="2490"/>
      <c r="O130" s="2491"/>
      <c r="P130" s="2490"/>
      <c r="Q130" s="2490"/>
      <c r="R130" s="2492"/>
    </row>
    <row r="131" spans="2:18" s="799" customFormat="1">
      <c r="B131" s="2490"/>
      <c r="C131" s="2490"/>
      <c r="D131" s="2490"/>
      <c r="E131" s="2490"/>
      <c r="F131" s="2490"/>
      <c r="G131" s="2491"/>
      <c r="H131" s="2490"/>
      <c r="I131" s="2491"/>
      <c r="J131" s="2490"/>
      <c r="K131" s="2490"/>
      <c r="L131" s="2491"/>
      <c r="M131" s="2490"/>
      <c r="N131" s="2490"/>
      <c r="O131" s="2491"/>
      <c r="P131" s="2490"/>
      <c r="Q131" s="2490"/>
      <c r="R131" s="2492"/>
    </row>
    <row r="132" spans="2:18" s="799" customFormat="1">
      <c r="B132" s="2490"/>
      <c r="C132" s="2490"/>
      <c r="D132" s="2490"/>
      <c r="E132" s="2490"/>
      <c r="F132" s="2490"/>
      <c r="G132" s="2491"/>
      <c r="H132" s="2490"/>
      <c r="I132" s="2491"/>
      <c r="J132" s="2490"/>
      <c r="K132" s="2490"/>
      <c r="L132" s="2491"/>
      <c r="M132" s="2490"/>
      <c r="N132" s="2490"/>
      <c r="O132" s="2491"/>
      <c r="P132" s="2490"/>
      <c r="Q132" s="2490"/>
      <c r="R132" s="2492"/>
    </row>
    <row r="133" spans="2:18" s="799" customFormat="1">
      <c r="B133" s="2490"/>
      <c r="C133" s="2490"/>
      <c r="D133" s="2490"/>
      <c r="E133" s="2490"/>
      <c r="F133" s="2490"/>
      <c r="G133" s="2491"/>
      <c r="H133" s="2490"/>
      <c r="I133" s="2491"/>
      <c r="J133" s="2490"/>
      <c r="K133" s="2490"/>
      <c r="L133" s="2491"/>
      <c r="M133" s="2490"/>
      <c r="N133" s="2490"/>
      <c r="O133" s="2491"/>
      <c r="P133" s="2490"/>
      <c r="Q133" s="2490"/>
      <c r="R133" s="2492"/>
    </row>
    <row r="134" spans="2:18" s="799" customFormat="1">
      <c r="B134" s="2490"/>
      <c r="C134" s="2490"/>
      <c r="D134" s="2490"/>
      <c r="E134" s="2490"/>
      <c r="F134" s="2490"/>
      <c r="G134" s="2491"/>
      <c r="H134" s="2490"/>
      <c r="I134" s="2491"/>
      <c r="J134" s="2490"/>
      <c r="K134" s="2490"/>
      <c r="L134" s="2491"/>
      <c r="M134" s="2490"/>
      <c r="N134" s="2490"/>
      <c r="O134" s="2491"/>
      <c r="P134" s="2490"/>
      <c r="Q134" s="2490"/>
      <c r="R134" s="2492"/>
    </row>
    <row r="135" spans="2:18" s="799" customFormat="1">
      <c r="B135" s="2490"/>
      <c r="C135" s="2490"/>
      <c r="D135" s="2490"/>
      <c r="E135" s="2490"/>
      <c r="F135" s="2490"/>
      <c r="G135" s="2491"/>
      <c r="H135" s="2490"/>
      <c r="I135" s="2491"/>
      <c r="J135" s="2490"/>
      <c r="K135" s="2490"/>
      <c r="L135" s="2491"/>
      <c r="M135" s="2490"/>
      <c r="N135" s="2490"/>
      <c r="O135" s="2491"/>
      <c r="P135" s="2490"/>
      <c r="Q135" s="2490"/>
      <c r="R135" s="2492"/>
    </row>
    <row r="136" spans="2:18" s="799" customFormat="1">
      <c r="B136" s="2490"/>
      <c r="C136" s="2490"/>
      <c r="D136" s="2490"/>
      <c r="E136" s="2490"/>
      <c r="F136" s="2490"/>
      <c r="G136" s="2491"/>
      <c r="H136" s="2490"/>
      <c r="I136" s="2491"/>
      <c r="J136" s="2490"/>
      <c r="K136" s="2490"/>
      <c r="L136" s="2491"/>
      <c r="M136" s="2490"/>
      <c r="N136" s="2490"/>
      <c r="O136" s="2491"/>
      <c r="P136" s="2490"/>
      <c r="Q136" s="2490"/>
      <c r="R136" s="2492"/>
    </row>
    <row r="137" spans="2:18" s="799" customFormat="1">
      <c r="B137" s="2490"/>
      <c r="C137" s="2490"/>
      <c r="D137" s="2490"/>
      <c r="E137" s="2490"/>
      <c r="F137" s="2490"/>
      <c r="G137" s="2491"/>
      <c r="H137" s="2490"/>
      <c r="I137" s="2491"/>
      <c r="J137" s="2490"/>
      <c r="K137" s="2490"/>
      <c r="L137" s="2491"/>
      <c r="M137" s="2490"/>
      <c r="N137" s="2490"/>
      <c r="O137" s="2491"/>
      <c r="P137" s="2490"/>
      <c r="Q137" s="2490"/>
      <c r="R137" s="2492"/>
    </row>
    <row r="138" spans="2:18" s="799" customFormat="1">
      <c r="B138" s="2490"/>
      <c r="C138" s="2490"/>
      <c r="D138" s="2490"/>
      <c r="E138" s="2490"/>
      <c r="F138" s="2490"/>
      <c r="G138" s="2491"/>
      <c r="H138" s="2490"/>
      <c r="I138" s="2491"/>
      <c r="J138" s="2490"/>
      <c r="K138" s="2490"/>
      <c r="L138" s="2491"/>
      <c r="M138" s="2490"/>
      <c r="N138" s="2490"/>
      <c r="O138" s="2491"/>
      <c r="P138" s="2490"/>
      <c r="Q138" s="2490"/>
      <c r="R138" s="2492"/>
    </row>
    <row r="139" spans="2:18" s="799" customFormat="1">
      <c r="B139" s="2490"/>
      <c r="C139" s="2490"/>
      <c r="D139" s="2490"/>
      <c r="E139" s="2490"/>
      <c r="F139" s="2490"/>
      <c r="G139" s="2491"/>
      <c r="H139" s="2490"/>
      <c r="I139" s="2491"/>
      <c r="J139" s="2490"/>
      <c r="K139" s="2490"/>
      <c r="L139" s="2491"/>
      <c r="M139" s="2490"/>
      <c r="N139" s="2490"/>
      <c r="O139" s="2491"/>
      <c r="P139" s="2490"/>
      <c r="Q139" s="2490"/>
      <c r="R139" s="2492"/>
    </row>
    <row r="140" spans="2:18" s="799" customFormat="1">
      <c r="B140" s="2490"/>
      <c r="C140" s="2490"/>
      <c r="D140" s="2490"/>
      <c r="E140" s="2490"/>
      <c r="F140" s="2490"/>
      <c r="G140" s="2491"/>
      <c r="H140" s="2490"/>
      <c r="I140" s="2491"/>
      <c r="J140" s="2490"/>
      <c r="K140" s="2490"/>
      <c r="L140" s="2491"/>
      <c r="M140" s="2490"/>
      <c r="N140" s="2490"/>
      <c r="O140" s="2491"/>
      <c r="P140" s="2490"/>
      <c r="Q140" s="2490"/>
      <c r="R140" s="2492"/>
    </row>
    <row r="141" spans="2:18" s="799" customFormat="1">
      <c r="B141" s="2490"/>
      <c r="C141" s="2490"/>
      <c r="D141" s="2490"/>
      <c r="E141" s="2490"/>
      <c r="F141" s="2490"/>
      <c r="G141" s="2491"/>
      <c r="H141" s="2490"/>
      <c r="I141" s="2491"/>
      <c r="J141" s="2490"/>
      <c r="K141" s="2490"/>
      <c r="L141" s="2491"/>
      <c r="M141" s="2490"/>
      <c r="N141" s="2490"/>
      <c r="O141" s="2491"/>
      <c r="P141" s="2490"/>
      <c r="Q141" s="2490"/>
      <c r="R141" s="2492"/>
    </row>
    <row r="142" spans="2:18" s="799" customFormat="1">
      <c r="B142" s="2490"/>
      <c r="C142" s="2490"/>
      <c r="D142" s="2490"/>
      <c r="E142" s="2490"/>
      <c r="F142" s="2490"/>
      <c r="G142" s="2491"/>
      <c r="H142" s="2490"/>
      <c r="I142" s="2491"/>
      <c r="J142" s="2490"/>
      <c r="K142" s="2490"/>
      <c r="L142" s="2491"/>
      <c r="M142" s="2490"/>
      <c r="N142" s="2490"/>
      <c r="O142" s="2491"/>
      <c r="P142" s="2490"/>
      <c r="Q142" s="2490"/>
      <c r="R142" s="2492"/>
    </row>
    <row r="143" spans="2:18" s="799" customFormat="1">
      <c r="B143" s="2490"/>
      <c r="C143" s="2490"/>
      <c r="D143" s="2490"/>
      <c r="E143" s="2490"/>
      <c r="F143" s="2490"/>
      <c r="G143" s="2491"/>
      <c r="H143" s="2490"/>
      <c r="I143" s="2491"/>
      <c r="J143" s="2490"/>
      <c r="K143" s="2490"/>
      <c r="L143" s="2491"/>
      <c r="M143" s="2490"/>
      <c r="N143" s="2490"/>
      <c r="O143" s="2491"/>
      <c r="P143" s="2490"/>
      <c r="Q143" s="2490"/>
      <c r="R143" s="2492"/>
    </row>
    <row r="144" spans="2:18" s="799" customFormat="1">
      <c r="B144" s="2490"/>
      <c r="C144" s="2490"/>
      <c r="D144" s="2490"/>
      <c r="E144" s="2490"/>
      <c r="F144" s="2490"/>
      <c r="G144" s="2491"/>
      <c r="H144" s="2490"/>
      <c r="I144" s="2491"/>
      <c r="J144" s="2490"/>
      <c r="K144" s="2490"/>
      <c r="L144" s="2491"/>
      <c r="M144" s="2490"/>
      <c r="N144" s="2490"/>
      <c r="O144" s="2491"/>
      <c r="P144" s="2490"/>
      <c r="Q144" s="2490"/>
      <c r="R144" s="2492"/>
    </row>
    <row r="145" spans="2:18" s="799" customFormat="1">
      <c r="B145" s="2490"/>
      <c r="C145" s="2490"/>
      <c r="D145" s="2490"/>
      <c r="E145" s="2490"/>
      <c r="F145" s="2490"/>
      <c r="G145" s="2491"/>
      <c r="H145" s="2490"/>
      <c r="I145" s="2491"/>
      <c r="J145" s="2490"/>
      <c r="K145" s="2490"/>
      <c r="L145" s="2491"/>
      <c r="M145" s="2490"/>
      <c r="N145" s="2490"/>
      <c r="O145" s="2491"/>
      <c r="P145" s="2490"/>
      <c r="Q145" s="2490"/>
      <c r="R145" s="2492"/>
    </row>
    <row r="146" spans="2:18" s="799" customFormat="1">
      <c r="B146" s="2490"/>
      <c r="C146" s="2490"/>
      <c r="D146" s="2490"/>
      <c r="E146" s="2490"/>
      <c r="F146" s="2490"/>
      <c r="G146" s="2491"/>
      <c r="H146" s="2490"/>
      <c r="I146" s="2491"/>
      <c r="J146" s="2490"/>
      <c r="K146" s="2490"/>
      <c r="L146" s="2491"/>
      <c r="M146" s="2490"/>
      <c r="N146" s="2490"/>
      <c r="O146" s="2491"/>
      <c r="P146" s="2490"/>
      <c r="Q146" s="2490"/>
      <c r="R146" s="2492"/>
    </row>
    <row r="147" spans="2:18" s="799" customFormat="1">
      <c r="B147" s="2490"/>
      <c r="C147" s="2490"/>
      <c r="D147" s="2490"/>
      <c r="E147" s="2490"/>
      <c r="F147" s="2490"/>
      <c r="G147" s="2491"/>
      <c r="H147" s="2490"/>
      <c r="I147" s="2491"/>
      <c r="J147" s="2490"/>
      <c r="K147" s="2490"/>
      <c r="L147" s="2491"/>
      <c r="M147" s="2490"/>
      <c r="N147" s="2490"/>
      <c r="O147" s="2491"/>
      <c r="P147" s="2490"/>
      <c r="Q147" s="2490"/>
      <c r="R147" s="2492"/>
    </row>
    <row r="148" spans="2:18" s="799" customFormat="1">
      <c r="B148" s="2490"/>
      <c r="C148" s="2490"/>
      <c r="D148" s="2490"/>
      <c r="E148" s="2490"/>
      <c r="F148" s="2490"/>
      <c r="G148" s="2491"/>
      <c r="H148" s="2490"/>
      <c r="I148" s="2491"/>
      <c r="J148" s="2490"/>
      <c r="K148" s="2490"/>
      <c r="L148" s="2491"/>
      <c r="M148" s="2490"/>
      <c r="N148" s="2490"/>
      <c r="O148" s="2491"/>
      <c r="P148" s="2490"/>
      <c r="Q148" s="2490"/>
      <c r="R148" s="2492"/>
    </row>
    <row r="149" spans="2:18" s="799" customFormat="1">
      <c r="B149" s="2490"/>
      <c r="C149" s="2490"/>
      <c r="D149" s="2490"/>
      <c r="E149" s="2490"/>
      <c r="F149" s="2490"/>
      <c r="G149" s="2491"/>
      <c r="H149" s="2490"/>
      <c r="I149" s="2491"/>
      <c r="J149" s="2490"/>
      <c r="K149" s="2490"/>
      <c r="L149" s="2491"/>
      <c r="M149" s="2490"/>
      <c r="N149" s="2490"/>
      <c r="O149" s="2491"/>
      <c r="P149" s="2490"/>
      <c r="Q149" s="2490"/>
      <c r="R149" s="2492"/>
    </row>
    <row r="150" spans="2:18" s="799" customFormat="1">
      <c r="B150" s="2490"/>
      <c r="C150" s="2490"/>
      <c r="D150" s="2490"/>
      <c r="E150" s="2490"/>
      <c r="F150" s="2490"/>
      <c r="G150" s="2491"/>
      <c r="H150" s="2490"/>
      <c r="I150" s="2491"/>
      <c r="J150" s="2490"/>
      <c r="K150" s="2490"/>
      <c r="L150" s="2491"/>
      <c r="M150" s="2490"/>
      <c r="N150" s="2490"/>
      <c r="O150" s="2491"/>
      <c r="P150" s="2490"/>
      <c r="Q150" s="2490"/>
      <c r="R150" s="2492"/>
    </row>
    <row r="151" spans="2:18" s="799" customFormat="1">
      <c r="B151" s="2490"/>
      <c r="C151" s="2490"/>
      <c r="D151" s="2490"/>
      <c r="E151" s="2490"/>
      <c r="F151" s="2490"/>
      <c r="G151" s="2491"/>
      <c r="H151" s="2490"/>
      <c r="I151" s="2491"/>
      <c r="J151" s="2490"/>
      <c r="K151" s="2490"/>
      <c r="L151" s="2491"/>
      <c r="M151" s="2490"/>
      <c r="N151" s="2490"/>
      <c r="O151" s="2491"/>
      <c r="P151" s="2490"/>
      <c r="Q151" s="2490"/>
      <c r="R151" s="2492"/>
    </row>
    <row r="152" spans="2:18" s="799" customFormat="1">
      <c r="B152" s="2490"/>
      <c r="C152" s="2490"/>
      <c r="D152" s="2490"/>
      <c r="E152" s="2490"/>
      <c r="F152" s="2490"/>
      <c r="G152" s="2491"/>
      <c r="H152" s="2490"/>
      <c r="I152" s="2491"/>
      <c r="J152" s="2490"/>
      <c r="K152" s="2490"/>
      <c r="L152" s="2491"/>
      <c r="M152" s="2490"/>
      <c r="N152" s="2490"/>
      <c r="O152" s="2491"/>
      <c r="P152" s="2490"/>
      <c r="Q152" s="2490"/>
      <c r="R152" s="2492"/>
    </row>
    <row r="153" spans="2:18" s="799" customFormat="1">
      <c r="B153" s="2490"/>
      <c r="C153" s="2490"/>
      <c r="D153" s="2490"/>
      <c r="E153" s="2490"/>
      <c r="F153" s="2490"/>
      <c r="G153" s="2491"/>
      <c r="H153" s="2490"/>
      <c r="I153" s="2491"/>
      <c r="J153" s="2490"/>
      <c r="K153" s="2490"/>
      <c r="L153" s="2491"/>
      <c r="M153" s="2490"/>
      <c r="N153" s="2490"/>
      <c r="O153" s="2491"/>
      <c r="P153" s="2490"/>
      <c r="Q153" s="2490"/>
      <c r="R153" s="2492"/>
    </row>
    <row r="154" spans="2:18" s="799" customFormat="1">
      <c r="B154" s="2490"/>
      <c r="C154" s="2490"/>
      <c r="D154" s="2490"/>
      <c r="E154" s="2490"/>
      <c r="F154" s="2490"/>
      <c r="G154" s="2491"/>
      <c r="H154" s="2490"/>
      <c r="I154" s="2491"/>
      <c r="J154" s="2490"/>
      <c r="K154" s="2490"/>
      <c r="L154" s="2491"/>
      <c r="M154" s="2490"/>
      <c r="N154" s="2490"/>
      <c r="O154" s="2491"/>
      <c r="P154" s="2490"/>
      <c r="Q154" s="2490"/>
      <c r="R154" s="2492"/>
    </row>
    <row r="155" spans="2:18" s="799" customFormat="1">
      <c r="B155" s="2490"/>
      <c r="C155" s="2490"/>
      <c r="D155" s="2490"/>
      <c r="E155" s="2490"/>
      <c r="F155" s="2490"/>
      <c r="G155" s="2491"/>
      <c r="H155" s="2490"/>
      <c r="I155" s="2491"/>
      <c r="J155" s="2490"/>
      <c r="K155" s="2490"/>
      <c r="L155" s="2491"/>
      <c r="M155" s="2490"/>
      <c r="N155" s="2490"/>
      <c r="O155" s="2491"/>
      <c r="P155" s="2490"/>
      <c r="Q155" s="2490"/>
      <c r="R155" s="2492"/>
    </row>
    <row r="156" spans="2:18" s="799" customFormat="1">
      <c r="B156" s="2490"/>
      <c r="C156" s="2490"/>
      <c r="D156" s="2490"/>
      <c r="E156" s="2490"/>
      <c r="F156" s="2490"/>
      <c r="G156" s="2491"/>
      <c r="H156" s="2490"/>
      <c r="I156" s="2491"/>
      <c r="J156" s="2490"/>
      <c r="K156" s="2490"/>
      <c r="L156" s="2491"/>
      <c r="M156" s="2490"/>
      <c r="N156" s="2490"/>
      <c r="O156" s="2491"/>
      <c r="P156" s="2490"/>
      <c r="Q156" s="2490"/>
      <c r="R156" s="2492"/>
    </row>
    <row r="157" spans="2:18" s="799" customFormat="1">
      <c r="B157" s="2490"/>
      <c r="C157" s="2490"/>
      <c r="D157" s="2490"/>
      <c r="E157" s="2490"/>
      <c r="F157" s="2490"/>
      <c r="G157" s="2491"/>
      <c r="H157" s="2490"/>
      <c r="I157" s="2491"/>
      <c r="J157" s="2490"/>
      <c r="K157" s="2490"/>
      <c r="L157" s="2491"/>
      <c r="M157" s="2490"/>
      <c r="N157" s="2490"/>
      <c r="O157" s="2491"/>
      <c r="P157" s="2490"/>
      <c r="Q157" s="2490"/>
      <c r="R157" s="2492"/>
    </row>
    <row r="158" spans="2:18" s="799" customFormat="1">
      <c r="B158" s="2490"/>
      <c r="C158" s="2490"/>
      <c r="D158" s="2490"/>
      <c r="E158" s="2490"/>
      <c r="F158" s="2490"/>
      <c r="G158" s="2491"/>
      <c r="H158" s="2490"/>
      <c r="I158" s="2491"/>
      <c r="J158" s="2490"/>
      <c r="K158" s="2490"/>
      <c r="L158" s="2491"/>
      <c r="M158" s="2490"/>
      <c r="N158" s="2490"/>
      <c r="O158" s="2491"/>
      <c r="P158" s="2490"/>
      <c r="Q158" s="2490"/>
      <c r="R158" s="2492"/>
    </row>
    <row r="159" spans="2:18" s="799" customFormat="1">
      <c r="B159" s="2490"/>
      <c r="C159" s="2490"/>
      <c r="D159" s="2490"/>
      <c r="E159" s="2490"/>
      <c r="F159" s="2490"/>
      <c r="G159" s="2491"/>
      <c r="H159" s="2490"/>
      <c r="I159" s="2491"/>
      <c r="J159" s="2490"/>
      <c r="K159" s="2490"/>
      <c r="L159" s="2491"/>
      <c r="M159" s="2490"/>
      <c r="N159" s="2490"/>
      <c r="O159" s="2491"/>
      <c r="P159" s="2490"/>
      <c r="Q159" s="2490"/>
      <c r="R159" s="2492"/>
    </row>
    <row r="160" spans="2:18" s="799" customFormat="1">
      <c r="B160" s="2490"/>
      <c r="C160" s="2490"/>
      <c r="D160" s="2490"/>
      <c r="E160" s="2490"/>
      <c r="F160" s="2490"/>
      <c r="G160" s="2491"/>
      <c r="H160" s="2490"/>
      <c r="I160" s="2491"/>
      <c r="J160" s="2490"/>
      <c r="K160" s="2490"/>
      <c r="L160" s="2491"/>
      <c r="M160" s="2490"/>
      <c r="N160" s="2490"/>
      <c r="O160" s="2491"/>
      <c r="P160" s="2490"/>
      <c r="Q160" s="2490"/>
      <c r="R160" s="2492"/>
    </row>
    <row r="161" spans="2:18" s="799" customFormat="1">
      <c r="B161" s="2490"/>
      <c r="C161" s="2490"/>
      <c r="D161" s="2490"/>
      <c r="E161" s="2490"/>
      <c r="F161" s="2490"/>
      <c r="G161" s="2491"/>
      <c r="H161" s="2490"/>
      <c r="I161" s="2491"/>
      <c r="J161" s="2490"/>
      <c r="K161" s="2490"/>
      <c r="L161" s="2491"/>
      <c r="M161" s="2490"/>
      <c r="N161" s="2490"/>
      <c r="O161" s="2491"/>
      <c r="P161" s="2490"/>
      <c r="Q161" s="2490"/>
      <c r="R161" s="2492"/>
    </row>
    <row r="162" spans="2:18" s="799" customFormat="1">
      <c r="B162" s="2490"/>
      <c r="C162" s="2490"/>
      <c r="D162" s="2490"/>
      <c r="E162" s="2490"/>
      <c r="F162" s="2490"/>
      <c r="G162" s="2491"/>
      <c r="H162" s="2490"/>
      <c r="I162" s="2491"/>
      <c r="J162" s="2490"/>
      <c r="K162" s="2490"/>
      <c r="L162" s="2491"/>
      <c r="M162" s="2490"/>
      <c r="N162" s="2490"/>
      <c r="O162" s="2491"/>
      <c r="P162" s="2490"/>
      <c r="Q162" s="2490"/>
      <c r="R162" s="2492"/>
    </row>
    <row r="163" spans="2:18" s="799" customFormat="1">
      <c r="B163" s="2490"/>
      <c r="C163" s="2490"/>
      <c r="D163" s="2490"/>
      <c r="E163" s="2490"/>
      <c r="F163" s="2490"/>
      <c r="G163" s="2491"/>
      <c r="H163" s="2490"/>
      <c r="I163" s="2491"/>
      <c r="J163" s="2490"/>
      <c r="K163" s="2490"/>
      <c r="L163" s="2491"/>
      <c r="M163" s="2490"/>
      <c r="N163" s="2490"/>
      <c r="O163" s="2491"/>
      <c r="P163" s="2490"/>
      <c r="Q163" s="2490"/>
      <c r="R163" s="2492"/>
    </row>
    <row r="164" spans="2:18" s="799" customFormat="1">
      <c r="B164" s="2490"/>
      <c r="C164" s="2490"/>
      <c r="D164" s="2490"/>
      <c r="E164" s="2490"/>
      <c r="F164" s="2490"/>
      <c r="G164" s="2491"/>
      <c r="H164" s="2490"/>
      <c r="I164" s="2491"/>
      <c r="J164" s="2490"/>
      <c r="K164" s="2490"/>
      <c r="L164" s="2491"/>
      <c r="M164" s="2490"/>
      <c r="N164" s="2490"/>
      <c r="O164" s="2491"/>
      <c r="P164" s="2490"/>
      <c r="Q164" s="2490"/>
      <c r="R164" s="2492"/>
    </row>
    <row r="165" spans="2:18" s="799" customFormat="1">
      <c r="B165" s="2490"/>
      <c r="C165" s="2490"/>
      <c r="D165" s="2490"/>
      <c r="E165" s="2490"/>
      <c r="F165" s="2490"/>
      <c r="G165" s="2491"/>
      <c r="H165" s="2490"/>
      <c r="I165" s="2491"/>
      <c r="J165" s="2490"/>
      <c r="K165" s="2490"/>
      <c r="L165" s="2491"/>
      <c r="M165" s="2490"/>
      <c r="N165" s="2490"/>
      <c r="O165" s="2491"/>
      <c r="P165" s="2490"/>
      <c r="Q165" s="2490"/>
      <c r="R165" s="2492"/>
    </row>
    <row r="166" spans="2:18" s="799" customFormat="1">
      <c r="B166" s="2490"/>
      <c r="C166" s="2490"/>
      <c r="D166" s="2490"/>
      <c r="E166" s="2490"/>
      <c r="F166" s="2490"/>
      <c r="G166" s="2491"/>
      <c r="H166" s="2490"/>
      <c r="I166" s="2491"/>
      <c r="J166" s="2490"/>
      <c r="K166" s="2490"/>
      <c r="L166" s="2491"/>
      <c r="M166" s="2490"/>
      <c r="N166" s="2490"/>
      <c r="O166" s="2491"/>
      <c r="P166" s="2490"/>
      <c r="Q166" s="2490"/>
      <c r="R166" s="2492"/>
    </row>
    <row r="167" spans="2:18" s="799" customFormat="1">
      <c r="B167" s="2490"/>
      <c r="C167" s="2490"/>
      <c r="D167" s="2490"/>
      <c r="E167" s="2490"/>
      <c r="F167" s="2490"/>
      <c r="G167" s="2491"/>
      <c r="H167" s="2490"/>
      <c r="I167" s="2491"/>
      <c r="J167" s="2490"/>
      <c r="K167" s="2490"/>
      <c r="L167" s="2491"/>
      <c r="M167" s="2490"/>
      <c r="N167" s="2490"/>
      <c r="O167" s="2491"/>
      <c r="P167" s="2490"/>
      <c r="Q167" s="2490"/>
      <c r="R167" s="2492"/>
    </row>
    <row r="168" spans="2:18" s="799" customFormat="1">
      <c r="B168" s="2490"/>
      <c r="C168" s="2490"/>
      <c r="D168" s="2490"/>
      <c r="E168" s="2490"/>
      <c r="F168" s="2490"/>
      <c r="G168" s="2491"/>
      <c r="H168" s="2490"/>
      <c r="I168" s="2491"/>
      <c r="J168" s="2490"/>
      <c r="K168" s="2490"/>
      <c r="L168" s="2491"/>
      <c r="M168" s="2490"/>
      <c r="N168" s="2490"/>
      <c r="O168" s="2491"/>
      <c r="P168" s="2490"/>
      <c r="Q168" s="2490"/>
      <c r="R168" s="2492"/>
    </row>
    <row r="169" spans="2:18" s="799" customFormat="1">
      <c r="B169" s="2490"/>
      <c r="C169" s="2490"/>
      <c r="D169" s="2490"/>
      <c r="E169" s="2490"/>
      <c r="F169" s="2490"/>
      <c r="G169" s="2491"/>
      <c r="H169" s="2490"/>
      <c r="I169" s="2491"/>
      <c r="J169" s="2490"/>
      <c r="K169" s="2490"/>
      <c r="L169" s="2491"/>
      <c r="M169" s="2490"/>
      <c r="N169" s="2490"/>
      <c r="O169" s="2491"/>
      <c r="P169" s="2490"/>
      <c r="Q169" s="2490"/>
      <c r="R169" s="2492"/>
    </row>
    <row r="170" spans="2:18" s="799" customFormat="1">
      <c r="B170" s="2490"/>
      <c r="C170" s="2490"/>
      <c r="D170" s="2490"/>
      <c r="E170" s="2490"/>
      <c r="F170" s="2490"/>
      <c r="G170" s="2491"/>
      <c r="H170" s="2490"/>
      <c r="I170" s="2491"/>
      <c r="J170" s="2490"/>
      <c r="K170" s="2490"/>
      <c r="L170" s="2491"/>
      <c r="M170" s="2490"/>
      <c r="N170" s="2490"/>
      <c r="O170" s="2491"/>
      <c r="P170" s="2490"/>
      <c r="Q170" s="2490"/>
      <c r="R170" s="2492"/>
    </row>
    <row r="171" spans="2:18" s="799" customFormat="1">
      <c r="B171" s="2490"/>
      <c r="C171" s="2490"/>
      <c r="D171" s="2490"/>
      <c r="E171" s="2490"/>
      <c r="F171" s="2490"/>
      <c r="G171" s="2491"/>
      <c r="H171" s="2490"/>
      <c r="I171" s="2491"/>
      <c r="J171" s="2490"/>
      <c r="K171" s="2490"/>
      <c r="L171" s="2491"/>
      <c r="M171" s="2490"/>
      <c r="N171" s="2490"/>
      <c r="O171" s="2491"/>
      <c r="P171" s="2490"/>
      <c r="Q171" s="2490"/>
      <c r="R171" s="2492"/>
    </row>
    <row r="172" spans="2:18" s="799" customFormat="1">
      <c r="B172" s="2490"/>
      <c r="C172" s="2490"/>
      <c r="D172" s="2490"/>
      <c r="E172" s="2490"/>
      <c r="F172" s="2490"/>
      <c r="G172" s="2491"/>
      <c r="H172" s="2490"/>
      <c r="I172" s="2491"/>
      <c r="J172" s="2490"/>
      <c r="K172" s="2490"/>
      <c r="L172" s="2491"/>
      <c r="M172" s="2490"/>
      <c r="N172" s="2490"/>
      <c r="O172" s="2491"/>
      <c r="P172" s="2490"/>
      <c r="Q172" s="2490"/>
      <c r="R172" s="2492"/>
    </row>
    <row r="173" spans="2:18" s="799" customFormat="1">
      <c r="B173" s="2490"/>
      <c r="C173" s="2490"/>
      <c r="D173" s="2490"/>
      <c r="E173" s="2490"/>
      <c r="F173" s="2490"/>
      <c r="G173" s="2491"/>
      <c r="H173" s="2490"/>
      <c r="I173" s="2491"/>
      <c r="J173" s="2490"/>
      <c r="K173" s="2490"/>
      <c r="L173" s="2491"/>
      <c r="M173" s="2490"/>
      <c r="N173" s="2490"/>
      <c r="O173" s="2491"/>
      <c r="P173" s="2490"/>
      <c r="Q173" s="2490"/>
      <c r="R173" s="2492"/>
    </row>
    <row r="174" spans="2:18" s="799" customFormat="1">
      <c r="B174" s="2490"/>
      <c r="C174" s="2490"/>
      <c r="D174" s="2490"/>
      <c r="E174" s="2490"/>
      <c r="F174" s="2490"/>
      <c r="G174" s="2491"/>
      <c r="H174" s="2490"/>
      <c r="I174" s="2491"/>
      <c r="J174" s="2490"/>
      <c r="K174" s="2490"/>
      <c r="L174" s="2491"/>
      <c r="M174" s="2490"/>
      <c r="N174" s="2490"/>
      <c r="O174" s="2491"/>
      <c r="P174" s="2490"/>
      <c r="Q174" s="2490"/>
      <c r="R174" s="2492"/>
    </row>
    <row r="175" spans="2:18" s="799" customFormat="1">
      <c r="B175" s="2490"/>
      <c r="C175" s="2490"/>
      <c r="D175" s="2490"/>
      <c r="E175" s="2490"/>
      <c r="F175" s="2490"/>
      <c r="G175" s="2491"/>
      <c r="H175" s="2490"/>
      <c r="I175" s="2491"/>
      <c r="J175" s="2490"/>
      <c r="K175" s="2490"/>
      <c r="L175" s="2491"/>
      <c r="M175" s="2490"/>
      <c r="N175" s="2490"/>
      <c r="O175" s="2491"/>
      <c r="P175" s="2490"/>
      <c r="Q175" s="2490"/>
      <c r="R175" s="2492"/>
    </row>
    <row r="176" spans="2:18" s="799" customFormat="1">
      <c r="B176" s="2490"/>
      <c r="C176" s="2490"/>
      <c r="D176" s="2490"/>
      <c r="E176" s="2490"/>
      <c r="F176" s="2490"/>
      <c r="G176" s="2491"/>
      <c r="H176" s="2490"/>
      <c r="I176" s="2491"/>
      <c r="J176" s="2490"/>
      <c r="K176" s="2490"/>
      <c r="L176" s="2491"/>
      <c r="M176" s="2490"/>
      <c r="N176" s="2490"/>
      <c r="O176" s="2491"/>
      <c r="P176" s="2490"/>
      <c r="Q176" s="2490"/>
      <c r="R176" s="2492"/>
    </row>
    <row r="177" spans="1:18" s="799" customFormat="1">
      <c r="B177" s="2490"/>
      <c r="C177" s="2490"/>
      <c r="D177" s="2490"/>
      <c r="E177" s="2490"/>
      <c r="F177" s="2490"/>
      <c r="G177" s="2491"/>
      <c r="H177" s="2490"/>
      <c r="I177" s="2491"/>
      <c r="J177" s="2490"/>
      <c r="K177" s="2490"/>
      <c r="L177" s="2491"/>
      <c r="M177" s="2490"/>
      <c r="N177" s="2490"/>
      <c r="O177" s="2491"/>
      <c r="P177" s="2490"/>
      <c r="Q177" s="2490"/>
      <c r="R177" s="2492"/>
    </row>
    <row r="178" spans="1:18" s="799" customFormat="1">
      <c r="B178" s="2490"/>
      <c r="C178" s="2490"/>
      <c r="D178" s="2490"/>
      <c r="E178" s="2490"/>
      <c r="F178" s="2490"/>
      <c r="G178" s="2491"/>
      <c r="H178" s="2490"/>
      <c r="I178" s="2491"/>
      <c r="J178" s="2490"/>
      <c r="K178" s="2490"/>
      <c r="L178" s="2491"/>
      <c r="M178" s="2490"/>
      <c r="N178" s="2490"/>
      <c r="O178" s="2491"/>
      <c r="P178" s="2490"/>
      <c r="Q178" s="2490"/>
      <c r="R178" s="2492"/>
    </row>
    <row r="179" spans="1:18" s="799" customFormat="1">
      <c r="B179" s="2490"/>
      <c r="C179" s="2490"/>
      <c r="D179" s="2490"/>
      <c r="E179" s="2490"/>
      <c r="F179" s="2490"/>
      <c r="G179" s="2491"/>
      <c r="H179" s="2490"/>
      <c r="I179" s="2491"/>
      <c r="J179" s="2490"/>
      <c r="K179" s="2490"/>
      <c r="L179" s="2491"/>
      <c r="M179" s="2490"/>
      <c r="N179" s="2490"/>
      <c r="O179" s="2491"/>
      <c r="P179" s="2490"/>
      <c r="Q179" s="2490"/>
      <c r="R179" s="2492"/>
    </row>
    <row r="180" spans="1:18" s="799" customFormat="1">
      <c r="B180" s="2490"/>
      <c r="C180" s="2490"/>
      <c r="D180" s="2490"/>
      <c r="E180" s="2490"/>
      <c r="F180" s="2490"/>
      <c r="G180" s="2491"/>
      <c r="H180" s="2490"/>
      <c r="I180" s="2491"/>
      <c r="J180" s="2490"/>
      <c r="K180" s="2490"/>
      <c r="L180" s="2491"/>
      <c r="M180" s="2490"/>
      <c r="N180" s="2490"/>
      <c r="O180" s="2491"/>
      <c r="P180" s="2490"/>
      <c r="Q180" s="2490"/>
      <c r="R180" s="2492"/>
    </row>
    <row r="181" spans="1:18" s="799" customFormat="1">
      <c r="B181" s="2490"/>
      <c r="C181" s="2490"/>
      <c r="D181" s="2490"/>
      <c r="E181" s="2490"/>
      <c r="F181" s="2490"/>
      <c r="G181" s="2491"/>
      <c r="H181" s="2490"/>
      <c r="I181" s="2491"/>
      <c r="J181" s="2490"/>
      <c r="K181" s="2490"/>
      <c r="L181" s="2491"/>
      <c r="M181" s="2490"/>
      <c r="N181" s="2490"/>
      <c r="O181" s="2491"/>
      <c r="P181" s="2490"/>
      <c r="Q181" s="2490"/>
      <c r="R181" s="2492"/>
    </row>
    <row r="182" spans="1:18" s="799" customFormat="1">
      <c r="B182" s="2490"/>
      <c r="C182" s="2490"/>
      <c r="D182" s="2490"/>
      <c r="E182" s="2490"/>
      <c r="F182" s="2490"/>
      <c r="G182" s="2491"/>
      <c r="H182" s="2490"/>
      <c r="I182" s="2491"/>
      <c r="J182" s="2490"/>
      <c r="K182" s="2490"/>
      <c r="L182" s="2491"/>
      <c r="M182" s="2490"/>
      <c r="N182" s="2490"/>
      <c r="O182" s="2491"/>
      <c r="P182" s="2490"/>
      <c r="Q182" s="2490"/>
      <c r="R182" s="2492"/>
    </row>
    <row r="183" spans="1:18" s="799" customFormat="1">
      <c r="B183" s="2490"/>
      <c r="C183" s="2490"/>
      <c r="D183" s="2490"/>
      <c r="E183" s="2490"/>
      <c r="F183" s="2490"/>
      <c r="G183" s="2491"/>
      <c r="H183" s="2490"/>
      <c r="I183" s="2491"/>
      <c r="J183" s="2490"/>
      <c r="K183" s="2490"/>
      <c r="L183" s="2491"/>
      <c r="M183" s="2490"/>
      <c r="N183" s="2490"/>
      <c r="O183" s="2491"/>
      <c r="P183" s="2490"/>
      <c r="Q183" s="2490"/>
      <c r="R183" s="2492"/>
    </row>
    <row r="184" spans="1:18" s="799" customFormat="1">
      <c r="B184" s="2490"/>
      <c r="C184" s="2490"/>
      <c r="D184" s="2490"/>
      <c r="E184" s="2490"/>
      <c r="F184" s="2490"/>
      <c r="G184" s="2491"/>
      <c r="H184" s="2490"/>
      <c r="I184" s="2491"/>
      <c r="J184" s="2490"/>
      <c r="K184" s="2490"/>
      <c r="L184" s="2491"/>
      <c r="M184" s="2490"/>
      <c r="N184" s="2490"/>
      <c r="O184" s="2491"/>
      <c r="P184" s="2490"/>
      <c r="Q184" s="2490"/>
      <c r="R184" s="2492"/>
    </row>
    <row r="185" spans="1:18" s="799" customFormat="1">
      <c r="B185" s="2490"/>
      <c r="C185" s="2490"/>
      <c r="D185" s="2490"/>
      <c r="E185" s="2490"/>
      <c r="F185" s="2490"/>
      <c r="G185" s="2491"/>
      <c r="H185" s="2490"/>
      <c r="I185" s="2491"/>
      <c r="J185" s="2490"/>
      <c r="K185" s="2490"/>
      <c r="L185" s="2491"/>
      <c r="M185" s="2490"/>
      <c r="N185" s="2490"/>
      <c r="O185" s="2491"/>
      <c r="P185" s="2490"/>
      <c r="Q185" s="2490"/>
      <c r="R185" s="2492"/>
    </row>
    <row r="186" spans="1:18">
      <c r="A186" s="799"/>
      <c r="B186" s="2490"/>
      <c r="C186" s="2490"/>
      <c r="E186" s="2490"/>
      <c r="F186" s="2490"/>
      <c r="G186" s="2491"/>
    </row>
    <row r="187" spans="1:18">
      <c r="A187" s="799"/>
      <c r="B187" s="2490"/>
      <c r="C187" s="2490"/>
      <c r="E187" s="2490"/>
      <c r="F187" s="2490"/>
      <c r="G187" s="2491"/>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D14" sqref="D14"/>
    </sheetView>
  </sheetViews>
  <sheetFormatPr defaultColWidth="9" defaultRowHeight="13.5"/>
  <cols>
    <col min="1" max="1" width="25" style="2512" customWidth="1"/>
    <col min="2" max="9" width="15.75" style="2512" customWidth="1"/>
    <col min="10" max="16384" width="9" style="2512"/>
  </cols>
  <sheetData>
    <row r="1" spans="1:11" ht="16.5">
      <c r="A1" s="2511" t="s">
        <v>665</v>
      </c>
      <c r="B1" s="2511">
        <f>SUM(B14:B23)</f>
        <v>51034.460000000006</v>
      </c>
      <c r="C1" s="2685"/>
      <c r="D1" s="2685"/>
      <c r="E1" s="2685"/>
      <c r="F1" s="2685"/>
      <c r="G1" s="2686"/>
      <c r="H1" s="2687"/>
      <c r="I1" s="2687"/>
      <c r="J1" s="2687"/>
      <c r="K1" s="2687"/>
    </row>
    <row r="2" spans="1:11" ht="16.5">
      <c r="A2" s="2511" t="s">
        <v>653</v>
      </c>
      <c r="B2" s="2511">
        <f>SUM(C14:C23)</f>
        <v>11881.761243140476</v>
      </c>
      <c r="C2" s="2685"/>
      <c r="D2" s="2685"/>
      <c r="E2" s="2685"/>
      <c r="F2" s="2685"/>
      <c r="G2" s="2686"/>
      <c r="H2" s="2687"/>
      <c r="I2" s="2687"/>
      <c r="J2" s="2687"/>
      <c r="K2" s="2687"/>
    </row>
    <row r="3" spans="1:11" ht="16.5">
      <c r="A3" s="2511" t="s">
        <v>662</v>
      </c>
      <c r="B3" s="2513">
        <f>项目基本情况!D3</f>
        <v>44926</v>
      </c>
      <c r="C3" s="2685"/>
      <c r="D3" s="2685"/>
      <c r="E3" s="2685"/>
      <c r="F3" s="2685"/>
      <c r="G3" s="2686"/>
      <c r="H3" s="2687"/>
      <c r="I3" s="2687"/>
      <c r="J3" s="2687"/>
      <c r="K3" s="2687"/>
    </row>
    <row r="4" spans="1:11" ht="33">
      <c r="A4" s="2511" t="s">
        <v>661</v>
      </c>
      <c r="B4" s="2511" t="s">
        <v>660</v>
      </c>
      <c r="C4" s="2511" t="s">
        <v>659</v>
      </c>
      <c r="D4" s="2511" t="s">
        <v>658</v>
      </c>
      <c r="E4" s="2685"/>
      <c r="F4" s="2686"/>
      <c r="G4" s="2686"/>
      <c r="H4" s="2687"/>
      <c r="I4" s="2687"/>
      <c r="J4" s="2687"/>
      <c r="K4" s="2687"/>
    </row>
    <row r="5" spans="1:11" ht="16.5">
      <c r="A5" s="2511" t="s">
        <v>657</v>
      </c>
      <c r="B5" s="2511">
        <f ca="1">SUM(D14:D23)</f>
        <v>189953</v>
      </c>
      <c r="C5" s="2511" t="e">
        <f ca="1">IF(B5=D14,结果表!H102,ROUND(B5*10000/$B$1,0))</f>
        <v>#REF!</v>
      </c>
      <c r="D5" s="2511">
        <f ca="1">ROUND(B5*10000/$B$2,0)</f>
        <v>159869</v>
      </c>
      <c r="E5" s="2685"/>
      <c r="F5" s="2686"/>
      <c r="G5" s="2686"/>
      <c r="H5" s="2687"/>
      <c r="I5" s="2687"/>
      <c r="J5" s="2687"/>
      <c r="K5" s="2687"/>
    </row>
    <row r="6" spans="1:11" ht="16.5">
      <c r="A6" s="2511" t="s">
        <v>656</v>
      </c>
      <c r="B6" s="2511">
        <f>SUM(G14:G23)</f>
        <v>0</v>
      </c>
      <c r="C6" s="2511">
        <f ca="1">IF(B6=G14,结果表!H108,ROUND(B6*10000/$B$1,0))</f>
        <v>0</v>
      </c>
      <c r="D6" s="2511">
        <f>ROUND(B6*10000/$B$2,0)</f>
        <v>0</v>
      </c>
      <c r="E6" s="2685"/>
      <c r="F6" s="2686"/>
      <c r="G6" s="2686"/>
      <c r="H6" s="2687"/>
      <c r="I6" s="2687"/>
      <c r="J6" s="2687"/>
      <c r="K6" s="2687"/>
    </row>
    <row r="7" spans="1:11" ht="16.5">
      <c r="A7" s="2511" t="s">
        <v>664</v>
      </c>
      <c r="B7" s="2511">
        <f>SUM(H14:H23)</f>
        <v>0</v>
      </c>
      <c r="C7" s="2511" t="str">
        <f>IF(B7=H14,结果表!H110,ROUND(B7*10000/$B$1,0))</f>
        <v>——</v>
      </c>
      <c r="D7" s="2511">
        <f>ROUND(B7*10000/$B$2,0)</f>
        <v>0</v>
      </c>
      <c r="E7" s="2685"/>
      <c r="F7" s="2686"/>
      <c r="G7" s="2686"/>
      <c r="H7" s="2687"/>
      <c r="I7" s="2687"/>
      <c r="J7" s="2687"/>
      <c r="K7" s="2687"/>
    </row>
    <row r="8" spans="1:11" ht="16.5">
      <c r="A8" s="2511" t="s">
        <v>587</v>
      </c>
      <c r="B8" s="2511">
        <f>SUM(I14:I23)</f>
        <v>0</v>
      </c>
      <c r="C8" s="2511" t="str">
        <f>IF(B8=I14,结果表!H112,ROUND(B8*10000/$B$1,0))</f>
        <v>——</v>
      </c>
      <c r="D8" s="2511">
        <f>ROUND(B8*10000/$B$2,0)</f>
        <v>0</v>
      </c>
      <c r="E8" s="2685"/>
      <c r="F8" s="2686"/>
      <c r="G8" s="2686"/>
      <c r="H8" s="2687"/>
      <c r="I8" s="2687"/>
      <c r="J8" s="2687"/>
      <c r="K8" s="2687"/>
    </row>
    <row r="9" spans="1:11" ht="16.5">
      <c r="A9" s="2511" t="s">
        <v>655</v>
      </c>
      <c r="B9" s="2519"/>
      <c r="C9" s="2685"/>
      <c r="D9" s="2685"/>
      <c r="E9" s="2685"/>
      <c r="F9" s="2686"/>
      <c r="G9" s="2686"/>
      <c r="H9" s="2687"/>
      <c r="I9" s="2687"/>
      <c r="J9" s="2687"/>
      <c r="K9" s="2687"/>
    </row>
    <row r="10" spans="1:11" ht="16.5">
      <c r="A10" s="2511" t="s">
        <v>654</v>
      </c>
      <c r="B10" s="2511">
        <f>IF(E10="",0,ROUND(B1*(E10*365/G10)/10000,0))</f>
        <v>0</v>
      </c>
      <c r="C10" s="2511" t="s">
        <v>3362</v>
      </c>
      <c r="D10" s="2511" t="s">
        <v>3363</v>
      </c>
      <c r="E10" s="3440"/>
      <c r="F10" s="3444" t="s">
        <v>3364</v>
      </c>
      <c r="G10" s="3441"/>
      <c r="H10" s="2687"/>
      <c r="I10" s="2687"/>
      <c r="J10" s="2687"/>
      <c r="K10" s="2687"/>
    </row>
    <row r="11" spans="1:11" ht="16.5">
      <c r="A11" s="2511" t="s">
        <v>670</v>
      </c>
      <c r="B11" s="2519"/>
      <c r="C11" s="2685"/>
      <c r="D11" s="2685"/>
      <c r="E11" s="2685"/>
      <c r="F11" s="2686"/>
      <c r="G11" s="2686"/>
      <c r="H11" s="2687"/>
      <c r="I11" s="2687"/>
      <c r="J11" s="2687"/>
      <c r="K11" s="2687"/>
    </row>
    <row r="12" spans="1:11" ht="16.5">
      <c r="A12" s="2685"/>
      <c r="B12" s="2685"/>
      <c r="C12" s="2685"/>
      <c r="D12" s="2685"/>
      <c r="E12" s="2685"/>
      <c r="F12" s="2686"/>
      <c r="G12" s="2686"/>
      <c r="H12" s="2687"/>
      <c r="I12" s="2687"/>
      <c r="J12" s="2687"/>
      <c r="K12" s="2687"/>
    </row>
    <row r="13" spans="1:11" ht="33">
      <c r="A13" s="2514" t="s">
        <v>669</v>
      </c>
      <c r="B13" s="2515" t="s">
        <v>666</v>
      </c>
      <c r="C13" s="2515" t="s">
        <v>668</v>
      </c>
      <c r="D13" s="2515" t="s">
        <v>667</v>
      </c>
      <c r="E13" s="2511" t="s">
        <v>659</v>
      </c>
      <c r="F13" s="2511" t="s">
        <v>658</v>
      </c>
      <c r="G13" s="2515" t="s">
        <v>652</v>
      </c>
      <c r="H13" s="2515" t="s">
        <v>663</v>
      </c>
      <c r="I13" s="2515" t="s">
        <v>651</v>
      </c>
      <c r="J13" s="2686"/>
      <c r="K13" s="2687"/>
    </row>
    <row r="14" spans="1:11" ht="16.5">
      <c r="A14" s="2516" t="s">
        <v>650</v>
      </c>
      <c r="B14" s="2517">
        <f>'数据-基础表'!B3</f>
        <v>51034.460000000006</v>
      </c>
      <c r="C14" s="2517">
        <f>'数据-基础表'!A3</f>
        <v>11881.761243140476</v>
      </c>
      <c r="D14" s="2517">
        <f ca="1">结果表!G19</f>
        <v>189953</v>
      </c>
      <c r="E14" s="2517">
        <f ca="1">ROUND(D14*10000/B14,0)</f>
        <v>37221</v>
      </c>
      <c r="F14" s="2517">
        <f ca="1">ROUND(D14*10000/C14,0)</f>
        <v>159869</v>
      </c>
      <c r="G14" s="2517"/>
      <c r="H14" s="2517"/>
      <c r="I14" s="2517"/>
      <c r="J14" s="2686"/>
      <c r="K14" s="2687"/>
    </row>
    <row r="15" spans="1:11" ht="16.5">
      <c r="A15" s="2516" t="s">
        <v>649</v>
      </c>
      <c r="B15" s="2518"/>
      <c r="C15" s="2518"/>
      <c r="D15" s="2518"/>
      <c r="E15" s="2517" t="e">
        <f t="shared" ref="E15:E23" si="0">ROUND(D15*10000/B15,0)</f>
        <v>#DIV/0!</v>
      </c>
      <c r="F15" s="2517" t="e">
        <f t="shared" ref="F15:F23" si="1">ROUND(D15*10000/C15,0)</f>
        <v>#DIV/0!</v>
      </c>
      <c r="G15" s="1331"/>
      <c r="H15" s="1331"/>
      <c r="I15" s="2518"/>
      <c r="J15" s="2686"/>
      <c r="K15" s="2687"/>
    </row>
    <row r="16" spans="1:11" ht="16.5">
      <c r="A16" s="2516" t="s">
        <v>648</v>
      </c>
      <c r="B16" s="2518"/>
      <c r="C16" s="2518"/>
      <c r="D16" s="2518"/>
      <c r="E16" s="2517" t="e">
        <f t="shared" si="0"/>
        <v>#DIV/0!</v>
      </c>
      <c r="F16" s="2517" t="e">
        <f t="shared" si="1"/>
        <v>#DIV/0!</v>
      </c>
      <c r="G16" s="1331"/>
      <c r="H16" s="1331"/>
      <c r="I16" s="2518"/>
      <c r="J16" s="2687"/>
      <c r="K16" s="2687"/>
    </row>
    <row r="17" spans="1:11" ht="16.5">
      <c r="A17" s="2516" t="s">
        <v>647</v>
      </c>
      <c r="B17" s="2518"/>
      <c r="C17" s="2518"/>
      <c r="D17" s="2518"/>
      <c r="E17" s="2517" t="e">
        <f t="shared" si="0"/>
        <v>#DIV/0!</v>
      </c>
      <c r="F17" s="2517" t="e">
        <f t="shared" si="1"/>
        <v>#DIV/0!</v>
      </c>
      <c r="G17" s="1331"/>
      <c r="H17" s="1331"/>
      <c r="I17" s="2518"/>
      <c r="J17" s="2687"/>
      <c r="K17" s="2687"/>
    </row>
    <row r="18" spans="1:11" ht="16.5">
      <c r="A18" s="2516" t="s">
        <v>646</v>
      </c>
      <c r="B18" s="2518"/>
      <c r="C18" s="2518"/>
      <c r="D18" s="2518"/>
      <c r="E18" s="2517" t="e">
        <f t="shared" si="0"/>
        <v>#DIV/0!</v>
      </c>
      <c r="F18" s="2517" t="e">
        <f t="shared" si="1"/>
        <v>#DIV/0!</v>
      </c>
      <c r="G18" s="2518"/>
      <c r="H18" s="2518"/>
      <c r="I18" s="2518"/>
      <c r="J18" s="2687"/>
      <c r="K18" s="2687"/>
    </row>
    <row r="19" spans="1:11" ht="16.5">
      <c r="A19" s="2516" t="s">
        <v>645</v>
      </c>
      <c r="B19" s="2518"/>
      <c r="C19" s="2518"/>
      <c r="D19" s="2518"/>
      <c r="E19" s="2517" t="e">
        <f t="shared" si="0"/>
        <v>#DIV/0!</v>
      </c>
      <c r="F19" s="2517" t="e">
        <f t="shared" si="1"/>
        <v>#DIV/0!</v>
      </c>
      <c r="G19" s="2518"/>
      <c r="H19" s="2518"/>
      <c r="I19" s="2518"/>
      <c r="J19" s="2687"/>
      <c r="K19" s="2687"/>
    </row>
    <row r="20" spans="1:11" ht="16.5">
      <c r="A20" s="2516" t="s">
        <v>644</v>
      </c>
      <c r="B20" s="2518"/>
      <c r="C20" s="2518"/>
      <c r="D20" s="2518"/>
      <c r="E20" s="2517" t="e">
        <f t="shared" si="0"/>
        <v>#DIV/0!</v>
      </c>
      <c r="F20" s="2517" t="e">
        <f t="shared" si="1"/>
        <v>#DIV/0!</v>
      </c>
      <c r="G20" s="2518"/>
      <c r="H20" s="2518"/>
      <c r="I20" s="2518"/>
      <c r="J20" s="2687"/>
      <c r="K20" s="2687"/>
    </row>
    <row r="21" spans="1:11" ht="16.5">
      <c r="A21" s="2516" t="s">
        <v>643</v>
      </c>
      <c r="B21" s="2518"/>
      <c r="C21" s="2518"/>
      <c r="D21" s="2518"/>
      <c r="E21" s="2517" t="e">
        <f t="shared" si="0"/>
        <v>#DIV/0!</v>
      </c>
      <c r="F21" s="2517" t="e">
        <f t="shared" si="1"/>
        <v>#DIV/0!</v>
      </c>
      <c r="G21" s="2518"/>
      <c r="H21" s="2518"/>
      <c r="I21" s="2518"/>
      <c r="J21" s="2687"/>
      <c r="K21" s="2687"/>
    </row>
    <row r="22" spans="1:11" ht="16.5">
      <c r="A22" s="2516" t="s">
        <v>642</v>
      </c>
      <c r="B22" s="2518"/>
      <c r="C22" s="2518"/>
      <c r="D22" s="2518"/>
      <c r="E22" s="2517" t="e">
        <f t="shared" si="0"/>
        <v>#DIV/0!</v>
      </c>
      <c r="F22" s="2517" t="e">
        <f t="shared" si="1"/>
        <v>#DIV/0!</v>
      </c>
      <c r="G22" s="2518"/>
      <c r="H22" s="2518"/>
      <c r="I22" s="2518"/>
      <c r="J22" s="2687"/>
      <c r="K22" s="2687"/>
    </row>
    <row r="23" spans="1:11" ht="16.5">
      <c r="A23" s="2516" t="s">
        <v>641</v>
      </c>
      <c r="B23" s="2518"/>
      <c r="C23" s="2518"/>
      <c r="D23" s="2518"/>
      <c r="E23" s="2519" t="e">
        <f t="shared" si="0"/>
        <v>#DIV/0!</v>
      </c>
      <c r="F23" s="2519" t="e">
        <f t="shared" si="1"/>
        <v>#DIV/0!</v>
      </c>
      <c r="G23" s="2518"/>
      <c r="H23" s="2518"/>
      <c r="I23" s="2518"/>
      <c r="J23" s="2687"/>
      <c r="K23" s="2687"/>
    </row>
    <row r="24" spans="1:11">
      <c r="A24" s="2687"/>
      <c r="B24" s="2687"/>
      <c r="C24" s="2687"/>
      <c r="D24" s="2687"/>
      <c r="E24" s="2687"/>
      <c r="F24" s="2687"/>
      <c r="G24" s="2687"/>
      <c r="H24" s="2687"/>
      <c r="I24" s="2687"/>
      <c r="J24" s="2687"/>
      <c r="K24" s="2687"/>
    </row>
    <row r="25" spans="1:11">
      <c r="A25" s="2687"/>
      <c r="B25" s="2687"/>
      <c r="C25" s="2687"/>
      <c r="D25" s="2687"/>
      <c r="E25" s="2687"/>
      <c r="F25" s="2687"/>
      <c r="G25" s="2687"/>
      <c r="H25" s="2687"/>
      <c r="I25" s="2687"/>
      <c r="J25" s="2687"/>
      <c r="K25" s="2687"/>
    </row>
    <row r="26" spans="1:11">
      <c r="A26" s="2687"/>
      <c r="B26" s="2687"/>
      <c r="C26" s="2687"/>
      <c r="D26" s="2687"/>
      <c r="E26" s="2687"/>
      <c r="F26" s="2687"/>
      <c r="G26" s="2687"/>
      <c r="H26" s="2687"/>
      <c r="I26" s="2687"/>
      <c r="J26" s="2687"/>
      <c r="K26" s="2687"/>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A6" zoomScaleNormal="100" zoomScaleSheetLayoutView="100" zoomScalePageLayoutView="80" workbookViewId="0">
      <selection activeCell="H31" sqref="H31"/>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c r="D1" s="1747"/>
      <c r="E1" s="1747"/>
      <c r="F1" s="1749" t="s">
        <v>1263</v>
      </c>
      <c r="G1" s="1561"/>
      <c r="H1" s="1750" t="str">
        <f>IF(G1="现房","——","估价对象范围")</f>
        <v>估价对象范围</v>
      </c>
      <c r="I1" s="1751"/>
    </row>
    <row r="2" spans="1:12" ht="21.75" customHeight="1" thickBot="1">
      <c r="A2" s="3717" t="str">
        <f>项目基本情况!S2</f>
        <v>北京市房地产</v>
      </c>
      <c r="B2" s="3718"/>
      <c r="C2" s="3718"/>
      <c r="D2" s="3718"/>
      <c r="E2" s="3718"/>
      <c r="F2" s="3718"/>
      <c r="G2" s="3718"/>
      <c r="H2" s="3718"/>
      <c r="I2" s="3719"/>
    </row>
    <row r="3" spans="1:12" ht="12.75">
      <c r="A3" s="3721" t="s">
        <v>1264</v>
      </c>
      <c r="B3" s="3722"/>
      <c r="C3" s="3722"/>
      <c r="D3" s="3722"/>
      <c r="E3" s="3722"/>
      <c r="F3" s="3722"/>
      <c r="G3" s="3722"/>
      <c r="H3" s="3722"/>
      <c r="I3" s="3722"/>
    </row>
    <row r="4" spans="1:12" ht="14.25">
      <c r="A4" s="1754" t="s">
        <v>1265</v>
      </c>
      <c r="B4" s="1755" t="s">
        <v>1266</v>
      </c>
      <c r="C4" s="1756" t="s">
        <v>3956</v>
      </c>
      <c r="D4" s="1756" t="s">
        <v>3435</v>
      </c>
      <c r="E4" s="3726" t="s">
        <v>1267</v>
      </c>
      <c r="F4" s="3727"/>
      <c r="G4" s="3727"/>
      <c r="H4" s="3727"/>
      <c r="I4" s="3728"/>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665" t="s">
        <v>1268</v>
      </c>
      <c r="B5" s="3720">
        <v>25</v>
      </c>
      <c r="C5" s="3723">
        <v>5</v>
      </c>
      <c r="D5" s="3711">
        <f>10-C5</f>
        <v>5</v>
      </c>
      <c r="E5" s="131" t="s">
        <v>1269</v>
      </c>
      <c r="F5" s="1757"/>
      <c r="G5" s="1757"/>
      <c r="H5" s="1757"/>
      <c r="I5" s="1373"/>
    </row>
    <row r="6" spans="1:12" ht="12.75">
      <c r="A6" s="3665"/>
      <c r="B6" s="3720"/>
      <c r="C6" s="3725"/>
      <c r="D6" s="3711"/>
      <c r="E6" s="131" t="s">
        <v>1270</v>
      </c>
      <c r="F6" s="1757"/>
      <c r="G6" s="1757"/>
      <c r="H6" s="1757"/>
      <c r="I6" s="1373"/>
    </row>
    <row r="7" spans="1:12" ht="12.75">
      <c r="A7" s="3665"/>
      <c r="B7" s="3720"/>
      <c r="C7" s="3724"/>
      <c r="D7" s="3711"/>
      <c r="E7" s="131" t="s">
        <v>1271</v>
      </c>
      <c r="F7" s="1757"/>
      <c r="G7" s="1757"/>
      <c r="H7" s="1757"/>
      <c r="I7" s="1373"/>
    </row>
    <row r="8" spans="1:12" ht="12.75">
      <c r="A8" s="3665" t="s">
        <v>1272</v>
      </c>
      <c r="B8" s="3720">
        <v>15</v>
      </c>
      <c r="C8" s="3723"/>
      <c r="D8" s="3711"/>
      <c r="E8" s="131" t="s">
        <v>1273</v>
      </c>
      <c r="F8" s="1757"/>
      <c r="G8" s="1757"/>
      <c r="H8" s="1757"/>
      <c r="I8" s="1373"/>
    </row>
    <row r="9" spans="1:12" ht="12.75">
      <c r="A9" s="3665"/>
      <c r="B9" s="3720"/>
      <c r="C9" s="3724"/>
      <c r="D9" s="3711"/>
      <c r="E9" s="131" t="s">
        <v>1274</v>
      </c>
      <c r="F9" s="1757"/>
      <c r="G9" s="1757"/>
      <c r="H9" s="1757"/>
      <c r="I9" s="1373"/>
    </row>
    <row r="10" spans="1:12" ht="12.75">
      <c r="A10" s="3665" t="s">
        <v>1275</v>
      </c>
      <c r="B10" s="3720">
        <v>15</v>
      </c>
      <c r="C10" s="3723"/>
      <c r="D10" s="3711"/>
      <c r="E10" s="131" t="s">
        <v>1276</v>
      </c>
      <c r="F10" s="1757"/>
      <c r="G10" s="1757"/>
      <c r="H10" s="1757"/>
      <c r="I10" s="1373"/>
    </row>
    <row r="11" spans="1:12" ht="12.75">
      <c r="A11" s="3665"/>
      <c r="B11" s="3720"/>
      <c r="C11" s="3724"/>
      <c r="D11" s="3711"/>
      <c r="E11" s="131" t="s">
        <v>1277</v>
      </c>
      <c r="F11" s="1757"/>
      <c r="G11" s="1757"/>
      <c r="H11" s="1757"/>
      <c r="I11" s="1373"/>
    </row>
    <row r="12" spans="1:12" ht="12.75">
      <c r="A12" s="3665" t="s">
        <v>1278</v>
      </c>
      <c r="B12" s="3720">
        <v>15</v>
      </c>
      <c r="C12" s="3723"/>
      <c r="D12" s="3711"/>
      <c r="E12" s="131" t="s">
        <v>1279</v>
      </c>
      <c r="F12" s="1757"/>
      <c r="G12" s="1757"/>
      <c r="H12" s="1757"/>
      <c r="I12" s="1373"/>
    </row>
    <row r="13" spans="1:12" ht="12.75">
      <c r="A13" s="3665"/>
      <c r="B13" s="3720"/>
      <c r="C13" s="3724"/>
      <c r="D13" s="3711"/>
      <c r="E13" s="131" t="s">
        <v>1280</v>
      </c>
      <c r="F13" s="1757"/>
      <c r="G13" s="1757"/>
      <c r="H13" s="1757"/>
      <c r="I13" s="1373"/>
    </row>
    <row r="14" spans="1:12" ht="12.75">
      <c r="A14" s="3665" t="s">
        <v>1281</v>
      </c>
      <c r="B14" s="3720">
        <v>30</v>
      </c>
      <c r="C14" s="3723"/>
      <c r="D14" s="3711"/>
      <c r="E14" s="131" t="s">
        <v>1282</v>
      </c>
      <c r="F14" s="1757"/>
      <c r="G14" s="1757"/>
      <c r="H14" s="1757"/>
      <c r="I14" s="1373"/>
    </row>
    <row r="15" spans="1:12" ht="12.75">
      <c r="A15" s="3665"/>
      <c r="B15" s="3720"/>
      <c r="C15" s="3725"/>
      <c r="D15" s="3711"/>
      <c r="E15" s="131" t="s">
        <v>1283</v>
      </c>
      <c r="F15" s="1757"/>
      <c r="G15" s="1757"/>
      <c r="H15" s="1757"/>
      <c r="I15" s="1373"/>
    </row>
    <row r="16" spans="1:12" ht="12.75">
      <c r="A16" s="3665"/>
      <c r="B16" s="3720"/>
      <c r="C16" s="3724"/>
      <c r="D16" s="3711"/>
      <c r="E16" s="131" t="s">
        <v>1284</v>
      </c>
      <c r="F16" s="1757"/>
      <c r="G16" s="1757"/>
      <c r="H16" s="1757"/>
      <c r="I16" s="1373"/>
    </row>
    <row r="17" spans="1:36" ht="15">
      <c r="A17" s="1758" t="s">
        <v>1285</v>
      </c>
      <c r="B17" s="56"/>
      <c r="C17" s="132">
        <f>SUM(C5:C16)</f>
        <v>5</v>
      </c>
      <c r="D17" s="132">
        <f>SUM(D5:D16)</f>
        <v>5</v>
      </c>
      <c r="E17" s="129"/>
      <c r="F17" s="129"/>
      <c r="G17" s="129"/>
      <c r="H17" s="129"/>
      <c r="I17" s="129"/>
      <c r="K17" s="302"/>
      <c r="L17" s="302" t="s">
        <v>1286</v>
      </c>
      <c r="M17" s="302" t="s">
        <v>1287</v>
      </c>
    </row>
    <row r="18" spans="1:36" ht="31.9" customHeight="1" thickBot="1">
      <c r="A18" s="1759" t="s">
        <v>1288</v>
      </c>
      <c r="B18" s="1760"/>
      <c r="C18" s="133">
        <f>ROUND(C17/SUM(C17:D17),2)</f>
        <v>0.5</v>
      </c>
      <c r="D18" s="133">
        <f>1-C18</f>
        <v>0.5</v>
      </c>
      <c r="E18" s="3742" t="s">
        <v>2131</v>
      </c>
      <c r="F18" s="3743"/>
      <c r="G18" s="3743"/>
      <c r="H18" s="3743"/>
      <c r="I18" s="3743"/>
      <c r="K18" s="302" t="s">
        <v>1289</v>
      </c>
      <c r="L18" s="302">
        <f>IF(C1="",'数据-汇总表'!E3,SUMIF(项目类型,C1,'数据-汇总表'!E17:E26)+SUMIF(项目类型,C1,'数据-汇总表'!I17:I26))</f>
        <v>51034.460000000006</v>
      </c>
      <c r="M18" s="302">
        <f>IF(C1="",'数据-汇总表'!E3,SUMIF(项目类型,C1,'数据-汇总表'!E17:E26))</f>
        <v>51034.460000000006</v>
      </c>
    </row>
    <row r="19" spans="1:36" ht="15">
      <c r="A19" s="1761" t="s">
        <v>1290</v>
      </c>
      <c r="B19" s="1762" t="s">
        <v>1291</v>
      </c>
      <c r="C19" s="134">
        <f ca="1">SUMIF(INDIRECT("'"&amp;C4&amp;"'"&amp;"!A:A"),结果表!B19,INDIRECT("'"&amp;C4&amp;"'"&amp;"!B:B"))</f>
        <v>191298</v>
      </c>
      <c r="D19" s="135">
        <f ca="1">SUMIF(INDIRECT("'"&amp;D4&amp;"'"&amp;"!A:A"),结果表!B19,INDIRECT("'"&amp;D4&amp;"'"&amp;"!B:B"))</f>
        <v>188608</v>
      </c>
      <c r="E19" s="1761" t="s">
        <v>1292</v>
      </c>
      <c r="F19" s="1762" t="s">
        <v>1291</v>
      </c>
      <c r="G19" s="136">
        <f ca="1">ROUND(C19*$C$18+D19*$D$18,0)</f>
        <v>189953</v>
      </c>
      <c r="H19" s="1763" t="s">
        <v>1293</v>
      </c>
      <c r="I19" s="129"/>
      <c r="K19" s="302" t="s">
        <v>1294</v>
      </c>
      <c r="L19" s="302">
        <f>IF(C1="",'数据-汇总表'!D3,SUMIF(项目类型,C1,'数据-汇总表'!D17:D26)+SUMIF(项目类型,C1,'数据-汇总表'!H17:H27))</f>
        <v>11881.76</v>
      </c>
      <c r="M19" s="302">
        <f>IF(C1="",'数据-汇总表'!D3,SUMIF(项目类型,C1,'数据-汇总表'!D17:D26))</f>
        <v>11881.76</v>
      </c>
    </row>
    <row r="20" spans="1:36" ht="15">
      <c r="A20" s="1764"/>
      <c r="B20" s="1026" t="s">
        <v>1295</v>
      </c>
      <c r="C20" s="137">
        <f ca="1">SUMIF(INDIRECT("'"&amp;C4&amp;"'"&amp;"!A:A"),结果表!B20,INDIRECT("'"&amp;C4&amp;"'"&amp;"!B:B"))</f>
        <v>37484</v>
      </c>
      <c r="D20" s="138">
        <f ca="1">SUMIF(INDIRECT("'"&amp;D4&amp;"'"&amp;"!A:A"),结果表!B20,INDIRECT("'"&amp;D4&amp;"'"&amp;"!B:B"))</f>
        <v>36957</v>
      </c>
      <c r="E20" s="1764"/>
      <c r="F20" s="1026" t="s">
        <v>1295</v>
      </c>
      <c r="G20" s="139">
        <f ca="1">ROUND(C20*$C$18+D20*$D$18,0)</f>
        <v>37221</v>
      </c>
      <c r="H20" s="808" t="s">
        <v>1296</v>
      </c>
      <c r="I20" s="129"/>
    </row>
    <row r="21" spans="1:36" ht="15" customHeight="1" thickBot="1">
      <c r="A21" s="828"/>
      <c r="B21" s="1765" t="s">
        <v>1297</v>
      </c>
      <c r="C21" s="719">
        <f ca="1">ROUND(C19*10000/L19,0)</f>
        <v>161001</v>
      </c>
      <c r="D21" s="720">
        <f ca="1">ROUND(D19*10000/L19,0)</f>
        <v>158737</v>
      </c>
      <c r="E21" s="828"/>
      <c r="F21" s="1765" t="s">
        <v>1297</v>
      </c>
      <c r="G21" s="140">
        <f ca="1">ROUND(G19*10000/L19,0)</f>
        <v>159869</v>
      </c>
      <c r="H21" s="1766" t="s">
        <v>1296</v>
      </c>
      <c r="I21" s="129"/>
    </row>
    <row r="22" spans="1:36" ht="15" thickBot="1">
      <c r="A22" s="1688" t="s">
        <v>1298</v>
      </c>
      <c r="B22" s="1767"/>
      <c r="C22" s="1768"/>
      <c r="D22" s="721">
        <f ca="1">IF(C19&lt;D19,D19/C19-1,C19/D19-1)</f>
        <v>1.4262385476756068E-2</v>
      </c>
      <c r="E22" s="129"/>
      <c r="F22" s="129"/>
      <c r="G22" s="129"/>
      <c r="H22" s="129"/>
      <c r="I22" s="129"/>
    </row>
    <row r="23" spans="1:36" ht="13.5" thickBot="1">
      <c r="A23" s="1747"/>
      <c r="B23" s="1747"/>
      <c r="C23" s="1747"/>
      <c r="D23" s="1747"/>
      <c r="E23" s="129"/>
      <c r="F23" s="129"/>
      <c r="G23" s="129"/>
      <c r="H23" s="129"/>
      <c r="I23" s="129"/>
    </row>
    <row r="24" spans="1:36" ht="14.25">
      <c r="A24" s="3735" t="s">
        <v>1299</v>
      </c>
      <c r="B24" s="1762" t="s">
        <v>1291</v>
      </c>
      <c r="C24" s="136">
        <f>IF(B30=0,0,D30)</f>
        <v>0</v>
      </c>
      <c r="D24" s="1769"/>
      <c r="E24" s="129"/>
      <c r="F24" s="129"/>
      <c r="G24" s="129"/>
      <c r="H24" s="129"/>
      <c r="I24" s="129"/>
    </row>
    <row r="25" spans="1:36" ht="14.25">
      <c r="A25" s="3736"/>
      <c r="B25" s="1026" t="s">
        <v>1295</v>
      </c>
      <c r="C25" s="141">
        <f>IF(B30=0,0,C30)</f>
        <v>0</v>
      </c>
      <c r="D25" s="1770"/>
      <c r="E25" s="129"/>
      <c r="F25" s="129"/>
      <c r="G25" s="129"/>
      <c r="H25" s="129"/>
      <c r="I25" s="129"/>
    </row>
    <row r="26" spans="1:36" ht="13.5" customHeight="1">
      <c r="A26" s="1771" t="s">
        <v>1300</v>
      </c>
      <c r="B26" s="142" t="s">
        <v>1301</v>
      </c>
      <c r="C26" s="142" t="s">
        <v>1302</v>
      </c>
      <c r="D26" s="143" t="s">
        <v>1303</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1304</v>
      </c>
      <c r="B30" s="142"/>
      <c r="C30" s="142"/>
      <c r="D30" s="142"/>
      <c r="E30" s="2303" t="s">
        <v>2132</v>
      </c>
      <c r="F30" s="129"/>
      <c r="G30" s="129"/>
      <c r="H30" s="129"/>
      <c r="I30" s="129"/>
    </row>
    <row r="31" spans="1:36" s="2309" customFormat="1" ht="26.45" customHeight="1" thickTop="1" thickBot="1">
      <c r="A31" s="2304"/>
      <c r="B31" s="2305"/>
      <c r="C31" s="2305"/>
      <c r="D31" s="2305"/>
      <c r="E31" s="2305"/>
      <c r="F31" s="2305"/>
      <c r="G31" s="2305"/>
      <c r="H31" s="2305"/>
      <c r="I31" s="2306" t="s">
        <v>2133</v>
      </c>
      <c r="J31" s="2688"/>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37221</v>
      </c>
      <c r="D32" s="1775"/>
      <c r="E32" s="129"/>
      <c r="F32" s="129"/>
      <c r="G32" s="129"/>
      <c r="H32" s="129"/>
      <c r="I32" s="129"/>
    </row>
    <row r="33" spans="1:15" ht="15">
      <c r="A33" s="786" t="s">
        <v>1306</v>
      </c>
      <c r="B33" s="1776"/>
      <c r="C33" s="1777"/>
      <c r="D33" s="1778"/>
      <c r="E33" s="1779" t="s">
        <v>1307</v>
      </c>
      <c r="F33" s="1780" t="str">
        <f>IF(D32="楼面单价","取值（单价）","取值（总价）")</f>
        <v>取值（总价）</v>
      </c>
      <c r="G33" s="129"/>
      <c r="H33" s="129"/>
      <c r="I33" s="129"/>
    </row>
    <row r="34" spans="1:15" ht="15">
      <c r="A34" s="1781"/>
      <c r="B34" s="1782" t="s">
        <v>1308</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1309</v>
      </c>
      <c r="F34" s="1330"/>
      <c r="G34" s="129"/>
      <c r="H34" s="129"/>
      <c r="I34" s="129"/>
    </row>
    <row r="35" spans="1:15" ht="15.75" thickBot="1">
      <c r="A35" s="1784"/>
      <c r="B35" s="1785" t="s">
        <v>1310</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1311</v>
      </c>
      <c r="F35" s="154"/>
      <c r="G35" s="129"/>
      <c r="H35" s="129"/>
      <c r="I35" s="129"/>
    </row>
    <row r="36" spans="1:15" ht="15.75" thickBot="1">
      <c r="A36" s="3712" t="s">
        <v>1312</v>
      </c>
      <c r="B36" s="1787" t="s">
        <v>1313</v>
      </c>
      <c r="C36" s="145"/>
      <c r="D36" s="1788"/>
      <c r="E36" s="1789"/>
      <c r="F36" s="1790"/>
      <c r="G36" s="129"/>
      <c r="H36" s="129"/>
      <c r="I36" s="129"/>
    </row>
    <row r="37" spans="1:15" ht="15.75" thickBot="1">
      <c r="A37" s="3713"/>
      <c r="B37" s="1674" t="s">
        <v>1314</v>
      </c>
      <c r="C37" s="147"/>
      <c r="D37" s="1139"/>
      <c r="E37" s="1139"/>
      <c r="F37" s="1790"/>
      <c r="G37" s="129"/>
      <c r="H37" s="129"/>
      <c r="I37" s="129"/>
    </row>
    <row r="38" spans="1:15" ht="15.75" thickBot="1">
      <c r="A38" s="3714"/>
      <c r="B38" s="1791" t="s">
        <v>1315</v>
      </c>
      <c r="C38" s="674"/>
      <c r="D38" s="1792" t="s">
        <v>1316</v>
      </c>
      <c r="E38" s="1139"/>
      <c r="F38" s="1790"/>
      <c r="G38" s="129"/>
      <c r="H38" s="129"/>
      <c r="I38" s="129"/>
    </row>
    <row r="39" spans="1:15" ht="15">
      <c r="A39" s="1764" t="s">
        <v>1317</v>
      </c>
      <c r="B39" s="1793" t="s">
        <v>1318</v>
      </c>
      <c r="C39" s="1794" t="s">
        <v>1319</v>
      </c>
      <c r="D39" s="1794" t="s">
        <v>1320</v>
      </c>
      <c r="E39" s="1795" t="s">
        <v>1321</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732" t="s">
        <v>1326</v>
      </c>
      <c r="B45" s="3733"/>
      <c r="C45" s="3734"/>
      <c r="D45" s="155" t="e">
        <f ca="1">ROUND(H101*F45,0)</f>
        <v>#REF!</v>
      </c>
      <c r="E45" s="156" t="s">
        <v>1327</v>
      </c>
      <c r="F45" s="157">
        <v>1</v>
      </c>
      <c r="G45" s="158" t="s">
        <v>1328</v>
      </c>
      <c r="H45" s="129"/>
      <c r="I45" s="129"/>
      <c r="J45" s="3652" t="s">
        <v>1329</v>
      </c>
      <c r="K45" s="3652"/>
      <c r="L45" s="3652"/>
      <c r="M45" s="3652"/>
      <c r="N45" s="3652"/>
      <c r="O45" s="3652"/>
    </row>
    <row r="46" spans="1:15" ht="14.25" customHeight="1">
      <c r="A46" s="3729" t="s">
        <v>1330</v>
      </c>
      <c r="B46" s="3730"/>
      <c r="C46" s="3730"/>
      <c r="D46" s="3730"/>
      <c r="E46" s="3730"/>
      <c r="F46" s="3730"/>
      <c r="G46" s="3731"/>
      <c r="H46" s="1806"/>
      <c r="I46" s="159"/>
      <c r="J46" s="2522">
        <v>1</v>
      </c>
      <c r="K46" s="3653" t="s">
        <v>1331</v>
      </c>
      <c r="L46" s="3653"/>
      <c r="M46" s="3654"/>
      <c r="N46" s="3654"/>
      <c r="O46" s="3654"/>
    </row>
    <row r="47" spans="1:15" ht="12" customHeight="1">
      <c r="A47" s="160" t="s">
        <v>1332</v>
      </c>
      <c r="B47" s="161"/>
      <c r="C47" s="162"/>
      <c r="D47" s="1087" t="s">
        <v>1333</v>
      </c>
      <c r="E47" s="302" t="s">
        <v>1334</v>
      </c>
      <c r="F47" s="163" t="s">
        <v>1335</v>
      </c>
      <c r="G47" s="2545" t="s">
        <v>1336</v>
      </c>
      <c r="H47" s="2546"/>
      <c r="I47" s="159"/>
      <c r="J47" s="2522">
        <v>2</v>
      </c>
      <c r="K47" s="3653" t="s">
        <v>1337</v>
      </c>
      <c r="L47" s="3653"/>
      <c r="M47" s="3655">
        <f>'数据-取费表'!B2</f>
        <v>44926</v>
      </c>
      <c r="N47" s="3655"/>
      <c r="O47" s="3655"/>
    </row>
    <row r="48" spans="1:15" ht="25.5">
      <c r="A48" s="3715" t="s">
        <v>1338</v>
      </c>
      <c r="B48" s="3716"/>
      <c r="C48" s="3716"/>
      <c r="D48" s="2324" t="b">
        <f>IF(H48="情况1",0,IF(H48="情况2",D52,IF(H48="情况3",D53,IF(H48="情况4",D54))))</f>
        <v>0</v>
      </c>
      <c r="E48" s="2334" t="str">
        <f>IF(H48="情况4","(销售额-原购置价)×税（费）率","销售额×税（费）率")</f>
        <v>销售额×税（费）率</v>
      </c>
      <c r="F48" s="2547">
        <f>IF(H48="情况1","免征",'数据-取费表'!B41)</f>
        <v>5.6000000000000001E-2</v>
      </c>
      <c r="G48" s="2548" t="s">
        <v>1339</v>
      </c>
      <c r="H48" s="2549"/>
      <c r="I48" s="1806"/>
      <c r="J48" s="2522">
        <v>3</v>
      </c>
      <c r="K48" s="3653" t="s">
        <v>1340</v>
      </c>
      <c r="L48" s="3653"/>
      <c r="M48" s="3656" t="e">
        <f ca="1">H101</f>
        <v>#REF!</v>
      </c>
      <c r="N48" s="3656"/>
      <c r="O48" s="3656"/>
    </row>
    <row r="49" spans="1:35" ht="25.5" customHeight="1">
      <c r="A49" s="2333" t="s">
        <v>1341</v>
      </c>
      <c r="B49" s="3701" t="s">
        <v>1342</v>
      </c>
      <c r="C49" s="3701"/>
      <c r="D49" s="1590">
        <v>0</v>
      </c>
      <c r="E49" s="324" t="s">
        <v>1343</v>
      </c>
      <c r="F49" s="2423" t="s">
        <v>28</v>
      </c>
      <c r="G49" s="3684"/>
      <c r="H49" s="2310" t="s">
        <v>2134</v>
      </c>
      <c r="I49" s="2311"/>
      <c r="J49" s="2522">
        <v>4</v>
      </c>
      <c r="K49" s="3653" t="str">
        <f>IF(项目基本情况!E8="房地产抵押价值","房地产抵押价值","抵押担保权已注销时的房地产抵押价值")</f>
        <v>抵押担保权已注销时的房地产抵押价值</v>
      </c>
      <c r="L49" s="3653"/>
      <c r="M49" s="3656" t="str">
        <f>IF(项目基本情况!E8="房地产抵押价值",H107,H109)</f>
        <v>——</v>
      </c>
      <c r="N49" s="3656"/>
      <c r="O49" s="3656"/>
    </row>
    <row r="50" spans="1:35" ht="25.5" customHeight="1">
      <c r="A50" s="2550"/>
      <c r="B50" s="3701" t="s">
        <v>1344</v>
      </c>
      <c r="C50" s="3701"/>
      <c r="D50" s="2551"/>
      <c r="E50" s="332"/>
      <c r="F50" s="2423"/>
      <c r="G50" s="3685"/>
      <c r="H50" s="2312" t="s">
        <v>2135</v>
      </c>
      <c r="I50" s="2311"/>
      <c r="J50" s="3652" t="s">
        <v>1345</v>
      </c>
      <c r="K50" s="3652"/>
      <c r="L50" s="3652"/>
      <c r="M50" s="3652"/>
      <c r="N50" s="3652"/>
      <c r="O50" s="3652"/>
    </row>
    <row r="51" spans="1:35" ht="20.45" customHeight="1">
      <c r="A51" s="2552"/>
      <c r="B51" s="3701" t="s">
        <v>1346</v>
      </c>
      <c r="C51" s="3701"/>
      <c r="D51" s="1087"/>
      <c r="E51" s="327"/>
      <c r="F51" s="2423"/>
      <c r="G51" s="3686"/>
      <c r="H51" s="2312" t="s">
        <v>2136</v>
      </c>
      <c r="I51" s="2311"/>
      <c r="J51" s="2523" t="s">
        <v>1347</v>
      </c>
      <c r="K51" s="3653" t="s">
        <v>1348</v>
      </c>
      <c r="L51" s="3653"/>
      <c r="M51" s="2523" t="s">
        <v>1349</v>
      </c>
      <c r="N51" s="2523" t="s">
        <v>1350</v>
      </c>
      <c r="O51" s="2523" t="s">
        <v>1351</v>
      </c>
    </row>
    <row r="52" spans="1:35" ht="24" customHeight="1">
      <c r="A52" s="2335" t="s">
        <v>1352</v>
      </c>
      <c r="B52" s="3701" t="s">
        <v>1353</v>
      </c>
      <c r="C52" s="3701"/>
      <c r="D52" s="1087" t="e">
        <f ca="1">ROUND(D45*'数据-取费表'!B41/(1+'数据-取费表'!C42),0)</f>
        <v>#REF!</v>
      </c>
      <c r="E52" s="2334" t="s">
        <v>1354</v>
      </c>
      <c r="F52" s="2553">
        <f>'数据-取费表'!B41</f>
        <v>5.6000000000000001E-2</v>
      </c>
      <c r="G52" s="2554"/>
      <c r="H52" s="2543"/>
      <c r="I52" s="1807"/>
      <c r="J52" s="2522">
        <v>1</v>
      </c>
      <c r="K52" s="3678" t="s">
        <v>1355</v>
      </c>
      <c r="L52" s="3678"/>
      <c r="M52" s="2524" t="b">
        <f>D48</f>
        <v>0</v>
      </c>
      <c r="N52" s="2522" t="str">
        <f>E48</f>
        <v>销售额×税（费）率</v>
      </c>
      <c r="O52" s="2525">
        <f>F48</f>
        <v>5.6000000000000001E-2</v>
      </c>
    </row>
    <row r="53" spans="1:35" ht="12" customHeight="1">
      <c r="A53" s="2335" t="s">
        <v>1356</v>
      </c>
      <c r="B53" s="3702" t="s">
        <v>2291</v>
      </c>
      <c r="C53" s="3703"/>
      <c r="D53" s="1087" t="e">
        <f ca="1">ROUND(D45*'数据-取费表'!B41/(1+'数据-取费表'!C42),0)</f>
        <v>#REF!</v>
      </c>
      <c r="E53" s="2334" t="s">
        <v>1354</v>
      </c>
      <c r="F53" s="2553">
        <f>'数据-取费表'!B41</f>
        <v>5.6000000000000001E-2</v>
      </c>
      <c r="G53" s="2554"/>
      <c r="H53" s="2543"/>
      <c r="I53" s="1807"/>
      <c r="J53" s="2522">
        <v>2</v>
      </c>
      <c r="K53" s="3678" t="s">
        <v>1357</v>
      </c>
      <c r="L53" s="3678"/>
      <c r="M53" s="2524" t="e">
        <f t="shared" ref="M53:O54" ca="1" si="0">D55</f>
        <v>#REF!</v>
      </c>
      <c r="N53" s="2522" t="str">
        <f t="shared" si="0"/>
        <v>销售额×税（费）率</v>
      </c>
      <c r="O53" s="2525" t="str">
        <f t="shared" si="0"/>
        <v>免征</v>
      </c>
    </row>
    <row r="54" spans="1:35" ht="12" customHeight="1">
      <c r="A54" s="2335" t="s">
        <v>1358</v>
      </c>
      <c r="B54" s="3702" t="s">
        <v>2292</v>
      </c>
      <c r="C54" s="3703"/>
      <c r="D54" s="1087" t="e">
        <f ca="1">C68</f>
        <v>#REF!</v>
      </c>
      <c r="E54" s="327" t="s">
        <v>1359</v>
      </c>
      <c r="F54" s="2553">
        <f>'数据-取费表'!B41</f>
        <v>5.6000000000000001E-2</v>
      </c>
      <c r="G54" s="2554"/>
      <c r="H54" s="2555"/>
      <c r="I54" s="1807"/>
      <c r="J54" s="2522">
        <v>3</v>
      </c>
      <c r="K54" s="3678" t="s">
        <v>1360</v>
      </c>
      <c r="L54" s="3678"/>
      <c r="M54" s="2524" t="e">
        <f t="shared" ca="1" si="0"/>
        <v>#REF!</v>
      </c>
      <c r="N54" s="2522" t="str">
        <f t="shared" si="0"/>
        <v>增值额×税（费）率</v>
      </c>
      <c r="O54" s="2526" t="str">
        <f t="shared" si="0"/>
        <v>免征</v>
      </c>
    </row>
    <row r="55" spans="1:35" ht="24" customHeight="1">
      <c r="A55" s="3738" t="s">
        <v>1361</v>
      </c>
      <c r="B55" s="3716"/>
      <c r="C55" s="3716"/>
      <c r="D55" s="2324" t="e">
        <f ca="1">IF(H55="个人住宅",0,ROUND(D45*I55,0))</f>
        <v>#REF!</v>
      </c>
      <c r="E55" s="2334" t="s">
        <v>1362</v>
      </c>
      <c r="F55" s="2553" t="str">
        <f>IF(H55="正常",I55,"免征")</f>
        <v>免征</v>
      </c>
      <c r="G55" s="2554"/>
      <c r="H55" s="2549"/>
      <c r="I55" s="165">
        <f>'数据-取费表'!B49</f>
        <v>5.0000000000000001E-4</v>
      </c>
      <c r="J55" s="2522">
        <f>IF(H59="非个人房产","",4)</f>
        <v>4</v>
      </c>
      <c r="K55" s="3678" t="str">
        <f>IF(H59="非个人房产","——","个人所得税")</f>
        <v>个人所得税</v>
      </c>
      <c r="L55" s="3678"/>
      <c r="M55" s="2527" t="e">
        <f ca="1">D59</f>
        <v>#REF!</v>
      </c>
      <c r="N55" s="2040" t="str">
        <f>E59</f>
        <v>差额计税</v>
      </c>
      <c r="O55" s="2528">
        <f>F59</f>
        <v>0.01</v>
      </c>
    </row>
    <row r="56" spans="1:35" ht="24.75">
      <c r="A56" s="3738" t="s">
        <v>1363</v>
      </c>
      <c r="B56" s="3716"/>
      <c r="C56" s="3716"/>
      <c r="D56" s="2324" t="e">
        <f ca="1">IF(H56="个人住宅",D57,D58)</f>
        <v>#REF!</v>
      </c>
      <c r="E56" s="2334" t="s">
        <v>1364</v>
      </c>
      <c r="F56" s="2553" t="str">
        <f>IF(H56="正常",F58,"免征")</f>
        <v>免征</v>
      </c>
      <c r="G56" s="2556" t="s">
        <v>1365</v>
      </c>
      <c r="H56" s="2557"/>
      <c r="I56" s="1808"/>
      <c r="J56" s="2522" t="str">
        <f>IF(项目基本情况!K6="上海银行",IF(J55="",4,J55+1),"")</f>
        <v/>
      </c>
      <c r="K56" s="3659" t="str">
        <f>IF(项目基本情况!K6="上海银行","其他处置费用","")</f>
        <v/>
      </c>
      <c r="L56" s="3660"/>
      <c r="M56" s="2524" t="str">
        <f>IF(项目基本情况!K6="上海银行",M69,"")</f>
        <v/>
      </c>
      <c r="N56" s="3659" t="str">
        <f>IF(项目基本情况!K6="上海银行","包含处置中涉及的律师、诉讼、拍卖、评估等费用","")</f>
        <v/>
      </c>
      <c r="O56" s="3662"/>
    </row>
    <row r="57" spans="1:35" ht="12.75">
      <c r="A57" s="2335" t="s">
        <v>1341</v>
      </c>
      <c r="B57" s="3702" t="s">
        <v>1366</v>
      </c>
      <c r="C57" s="3703"/>
      <c r="D57" s="1590">
        <v>0</v>
      </c>
      <c r="E57" s="324" t="s">
        <v>1343</v>
      </c>
      <c r="F57" s="302"/>
      <c r="G57" s="2554"/>
      <c r="H57" s="2558"/>
      <c r="I57" s="1808"/>
      <c r="J57" s="3678">
        <f>IF(AND(J55="",J56=""),4,IF(项目基本情况!K6="上海银行",结果表!J56+1,结果表!J55+1))</f>
        <v>5</v>
      </c>
      <c r="K57" s="3678" t="s">
        <v>1367</v>
      </c>
      <c r="L57" s="2529" t="s">
        <v>1368</v>
      </c>
      <c r="M57" s="2530"/>
      <c r="N57" s="2531">
        <f ca="1">SUMIF(M52:M56,"&lt;9e307")</f>
        <v>0</v>
      </c>
      <c r="O57" s="2532"/>
      <c r="P57" s="2689" t="e">
        <f ca="1">N57/M49</f>
        <v>#VALUE!</v>
      </c>
    </row>
    <row r="58" spans="1:35" ht="24.75">
      <c r="A58" s="2335" t="s">
        <v>1352</v>
      </c>
      <c r="B58" s="3702" t="s">
        <v>1369</v>
      </c>
      <c r="C58" s="3701"/>
      <c r="D58" s="2324" t="e">
        <f ca="1">IF(H58="转让取得",C81,C97)</f>
        <v>#REF!</v>
      </c>
      <c r="E58" s="2334" t="s">
        <v>1364</v>
      </c>
      <c r="F58" s="302" t="s">
        <v>28</v>
      </c>
      <c r="G58" s="2554"/>
      <c r="H58" s="2557"/>
      <c r="I58" s="1808"/>
      <c r="J58" s="3678"/>
      <c r="K58" s="3678"/>
      <c r="L58" s="2529" t="s">
        <v>1370</v>
      </c>
      <c r="M58" s="2533"/>
      <c r="N58" s="2534" t="str">
        <f ca="1">NUMBERSTRING(INT(N57*10000),2)&amp;"元整"</f>
        <v>零元整</v>
      </c>
      <c r="O58" s="2535"/>
    </row>
    <row r="59" spans="1:35" ht="24.75" thickBot="1">
      <c r="A59" s="3682" t="s">
        <v>1371</v>
      </c>
      <c r="B59" s="3683"/>
      <c r="C59" s="3683"/>
      <c r="D59" s="2559" t="e">
        <f ca="1">IF(H59="非个人房产","——",IF(H59="个人住宅（满五唯一有凭证）",0,IF(H59="个人其他（无凭证）",ROUND(D45*F59,0),ROUND(C67*F59,0))))</f>
        <v>#REF!</v>
      </c>
      <c r="E59" s="2560" t="str">
        <f>IF(H59="非个人房产","——",IF(H59="个人其他（无凭证）","销售额×税（费）率",IF(H59="个人住宅（满五唯一有凭证）","免征","差额计税")))</f>
        <v>差额计税</v>
      </c>
      <c r="F59" s="2561">
        <f>IF(OR(H59="非个人房产",H59="个人住宅（满五唯一有凭证）"),"——",IF(H59="个人其他（有凭证）",20%,1%))</f>
        <v>0.01</v>
      </c>
      <c r="G59" s="2562" t="s">
        <v>1365</v>
      </c>
      <c r="H59" s="2314"/>
      <c r="I59" s="2313" t="s">
        <v>2137</v>
      </c>
      <c r="J59" s="3680">
        <f>J57+1</f>
        <v>6</v>
      </c>
      <c r="K59" s="3678" t="s">
        <v>1372</v>
      </c>
      <c r="L59" s="2522" t="s">
        <v>1368</v>
      </c>
      <c r="M59" s="2536"/>
      <c r="N59" s="2537" t="e">
        <f ca="1">M49-N57</f>
        <v>#VALUE!</v>
      </c>
      <c r="O59" s="2538"/>
    </row>
    <row r="60" spans="1:35" ht="12" customHeight="1">
      <c r="A60" s="1809"/>
      <c r="B60" s="1747"/>
      <c r="C60" s="1747"/>
      <c r="D60" s="1747"/>
      <c r="E60" s="1578"/>
      <c r="F60" s="1808"/>
      <c r="G60" s="1808"/>
      <c r="H60" s="1810"/>
      <c r="I60" s="129"/>
      <c r="J60" s="3681"/>
      <c r="K60" s="3678"/>
      <c r="L60" s="2529" t="s">
        <v>1370</v>
      </c>
      <c r="M60" s="2533"/>
      <c r="N60" s="2534" t="e">
        <f ca="1">NUMBERSTRING(INT(N59*10000),2)&amp;"元整"</f>
        <v>#VALUE!</v>
      </c>
      <c r="O60" s="2535"/>
    </row>
    <row r="61" spans="1:35" ht="13.5" thickBot="1">
      <c r="A61" s="3737" t="s">
        <v>1373</v>
      </c>
      <c r="B61" s="3737"/>
      <c r="C61" s="3737"/>
      <c r="D61" s="3737"/>
      <c r="E61" s="3737"/>
      <c r="F61" s="1808"/>
      <c r="G61" s="1808"/>
      <c r="H61" s="1810"/>
      <c r="I61" s="129"/>
      <c r="J61" s="2522">
        <f>J59+1</f>
        <v>7</v>
      </c>
      <c r="K61" s="3678" t="s">
        <v>1374</v>
      </c>
      <c r="L61" s="3678"/>
      <c r="M61" s="2539"/>
      <c r="N61" s="2540" t="e">
        <f ca="1">ROUND(N59*10000/'数据-汇总表'!E3,0)</f>
        <v>#VALUE!</v>
      </c>
      <c r="O61" s="2541"/>
    </row>
    <row r="62" spans="1:35" ht="12.75">
      <c r="A62" s="3697" t="s">
        <v>1375</v>
      </c>
      <c r="B62" s="3698"/>
      <c r="C62" s="2021"/>
      <c r="D62" s="2021" t="s">
        <v>1376</v>
      </c>
      <c r="E62" s="166" t="s">
        <v>1377</v>
      </c>
      <c r="F62" s="1808"/>
      <c r="G62" s="1808"/>
      <c r="H62" s="1810"/>
      <c r="I62" s="129"/>
    </row>
    <row r="63" spans="1:35" ht="12.75">
      <c r="A63" s="173" t="s">
        <v>330</v>
      </c>
      <c r="B63" s="167" t="s">
        <v>1378</v>
      </c>
      <c r="C63" s="2563" t="e">
        <f ca="1">ROUND((C64+C65)/(1+'数据-取费表'!C42),0)</f>
        <v>#REF!</v>
      </c>
      <c r="D63" s="167"/>
      <c r="E63" s="168"/>
      <c r="F63" s="1808"/>
      <c r="G63" s="1808"/>
      <c r="H63" s="1810"/>
      <c r="I63" s="129"/>
      <c r="J63" s="3661" t="s">
        <v>1379</v>
      </c>
      <c r="K63" s="1332" t="s">
        <v>1380</v>
      </c>
      <c r="L63" s="1332" t="e">
        <f>IF(M49&gt;10000,M49*0.5%,IF(AND(M49&gt;1000,M49&lt;=10000),M49*1%,IF(AND(M49&gt;100,M49&lt;=1000),M49*3%,IF(AND(M49&gt;10,M49&lt;=100),M49*5%,M49*8%))))</f>
        <v>#VALUE!</v>
      </c>
      <c r="M63" s="302" t="e">
        <f>ROUND(L63,1)</f>
        <v>#VALUE!</v>
      </c>
      <c r="N63" s="2542"/>
      <c r="Z63" s="1752"/>
      <c r="AI63" s="1753"/>
    </row>
    <row r="64" spans="1:35" ht="14.25" customHeight="1">
      <c r="A64" s="169" t="s">
        <v>325</v>
      </c>
      <c r="B64" s="170" t="s">
        <v>1381</v>
      </c>
      <c r="C64" s="2564" t="e">
        <f ca="1">D45</f>
        <v>#REF!</v>
      </c>
      <c r="D64" s="170" t="s">
        <v>26</v>
      </c>
      <c r="E64" s="172"/>
      <c r="F64" s="1808"/>
      <c r="G64" s="1808"/>
      <c r="H64" s="1810"/>
      <c r="I64" s="129"/>
      <c r="J64" s="3661"/>
      <c r="K64" s="1332" t="s">
        <v>1382</v>
      </c>
      <c r="L64" s="1332" t="e">
        <f>IF(M49&gt;2000,M49*0.5%,IF(AND(M49&gt;1000,M49&lt;=2000),M49*0.6%,IF(AND(M49&gt;500,M49&lt;=1000),M49*0.7%,IF(AND(M49&gt;200,M49&lt;=500),M49*0.8%,IF(AND(M49&gt;100,M49&lt;=200),M49*0.9%,IF(AND(M49&gt;50,M49&lt;=100),M49*1%,IF(AND(M49&gt;20,M49&lt;=50),M49*1.5%,IF(AND(M49&gt;10,M49&lt;=20),M49*2%,IF(AND(M49&gt;1,M49&lt;=10),M49*2.5%)))))))))</f>
        <v>#VALUE!</v>
      </c>
      <c r="M64" s="302" t="e">
        <f t="shared" ref="M64:M65" si="1">ROUND(L64,1)</f>
        <v>#VALUE!</v>
      </c>
      <c r="N64" s="2543" t="s">
        <v>1383</v>
      </c>
      <c r="Z64" s="1752"/>
      <c r="AI64" s="1753"/>
    </row>
    <row r="65" spans="1:35" ht="14.25" customHeight="1">
      <c r="A65" s="169" t="s">
        <v>326</v>
      </c>
      <c r="B65" s="170" t="s">
        <v>1384</v>
      </c>
      <c r="C65" s="2565"/>
      <c r="D65" s="170"/>
      <c r="E65" s="172"/>
      <c r="F65" s="1808"/>
      <c r="G65" s="1808"/>
      <c r="H65" s="1810"/>
      <c r="I65" s="129"/>
      <c r="J65" s="3661"/>
      <c r="K65" s="1332" t="s">
        <v>1385</v>
      </c>
      <c r="L65" s="1332" t="e">
        <f>IF(M49&gt;1000,M49*0.1%,IF(AND(M49&gt;500,M49&lt;=1000),M49*0.5%,IF(AND(M49&gt;50,M49&lt;=500),M49*1%,IF(AND(M49&gt;1,M49&lt;=50),M49*1.5%))))</f>
        <v>#VALUE!</v>
      </c>
      <c r="M65" s="302" t="e">
        <f t="shared" si="1"/>
        <v>#VALUE!</v>
      </c>
      <c r="N65" s="2543" t="s">
        <v>1383</v>
      </c>
      <c r="Z65" s="1752"/>
      <c r="AI65" s="1753"/>
    </row>
    <row r="66" spans="1:35" ht="14.25" customHeight="1">
      <c r="A66" s="173" t="s">
        <v>327</v>
      </c>
      <c r="B66" s="174" t="s">
        <v>1386</v>
      </c>
      <c r="C66" s="2566"/>
      <c r="D66" s="174" t="s">
        <v>26</v>
      </c>
      <c r="E66" s="1338" t="s">
        <v>671</v>
      </c>
      <c r="F66" s="1808"/>
      <c r="G66" s="1808"/>
      <c r="H66" s="1810"/>
      <c r="I66" s="129"/>
      <c r="J66" s="3661"/>
      <c r="K66" s="1332" t="s">
        <v>1387</v>
      </c>
      <c r="L66" s="1332" t="e">
        <f>M49*0.5%</f>
        <v>#VALUE!</v>
      </c>
      <c r="M66" s="302" t="e">
        <f>IF(L66&gt;0.5,0.5,ROUND(L66,0))</f>
        <v>#VALUE!</v>
      </c>
      <c r="N66" s="2543" t="s">
        <v>1388</v>
      </c>
      <c r="Z66" s="1752"/>
      <c r="AI66" s="1753"/>
    </row>
    <row r="67" spans="1:35" ht="14.25" customHeight="1">
      <c r="A67" s="173" t="s">
        <v>328</v>
      </c>
      <c r="B67" s="174" t="s">
        <v>1389</v>
      </c>
      <c r="C67" s="2567" t="e">
        <f ca="1">C63-C66</f>
        <v>#REF!</v>
      </c>
      <c r="D67" s="170" t="s">
        <v>26</v>
      </c>
      <c r="E67" s="172"/>
      <c r="F67" s="1808"/>
      <c r="G67" s="1808"/>
      <c r="H67" s="1810"/>
      <c r="I67" s="129"/>
      <c r="J67" s="3661"/>
      <c r="K67" s="1332" t="s">
        <v>1390</v>
      </c>
      <c r="L67" s="1332" t="e">
        <f>IF(M49&gt;=10000,(8.25+(M49-10000)*0.01%),IF(AND(M49&gt;=8000,M49&lt;10000),(7.85+(M49-8000)*0.02%),IF(AND(M49&gt;=5000,M49&lt;8000),(6.65+(M49-5000)*0.04%),IF(AND(M49&gt;=2000,M49&lt;5000),(4.25+(PM49-2000)*0.08%),IF(AND(M49&gt;=1000,M49&lt;2000),(2.75+(M49-1000)*0.15%),IF(AND(M49&gt;=100,M49&lt;1000),(0.5+(M49-100)*0.25%),IF(AND(M49&gt;0,M49&lt;100),M49*0.5%)))))))</f>
        <v>#VALUE!</v>
      </c>
      <c r="M67" s="302" t="e">
        <f>ROUND(L67*0.9,1)</f>
        <v>#VALUE!</v>
      </c>
      <c r="N67" s="2542"/>
      <c r="Z67" s="1752"/>
      <c r="AI67" s="1753"/>
    </row>
    <row r="68" spans="1:35" ht="14.25" customHeight="1" thickBot="1">
      <c r="A68" s="176" t="s">
        <v>329</v>
      </c>
      <c r="B68" s="177" t="s">
        <v>1391</v>
      </c>
      <c r="C68" s="2568" t="e">
        <f ca="1">IF(C67&lt;=0,0,ROUND(C67*D68,0))</f>
        <v>#REF!</v>
      </c>
      <c r="D68" s="2569">
        <f>'数据-取费表'!B41</f>
        <v>5.6000000000000001E-2</v>
      </c>
      <c r="E68" s="178"/>
      <c r="F68" s="1808"/>
      <c r="G68" s="1808"/>
      <c r="H68" s="1810"/>
      <c r="I68" s="129"/>
      <c r="J68" s="3661"/>
      <c r="K68" s="1332" t="s">
        <v>1392</v>
      </c>
      <c r="L68" s="1332" t="e">
        <f>IF(M49&gt;10000,M49*0.5%,IF(AND(M49&gt;5000,M49&lt;=10000),M49*1%,IF(AND(M49&gt;1000,M49&lt;=5000),M49*2%,IF(AND(M49&gt;200,M49&lt;=1000),M49*3%,M49*5%))))</f>
        <v>#VALUE!</v>
      </c>
      <c r="M68" s="302" t="e">
        <f>ROUND(L68,1)</f>
        <v>#VALUE!</v>
      </c>
      <c r="N68" s="2542"/>
      <c r="Z68" s="1752"/>
      <c r="AI68" s="1753"/>
    </row>
    <row r="69" spans="1:35" s="1772" customFormat="1" ht="16.5" customHeight="1">
      <c r="A69" s="1811"/>
      <c r="B69" s="1812"/>
      <c r="C69" s="1813"/>
      <c r="D69" s="1814"/>
      <c r="E69" s="1815"/>
      <c r="F69" s="1578"/>
      <c r="G69" s="1578"/>
      <c r="H69" s="1577"/>
      <c r="I69" s="1747"/>
      <c r="J69" s="3661"/>
      <c r="K69" s="1332" t="s">
        <v>1393</v>
      </c>
      <c r="L69" s="1332"/>
      <c r="M69" s="302" t="e">
        <f>ROUND(SUM(M63:M68),0)</f>
        <v>#VALUE!</v>
      </c>
      <c r="N69" s="2544" t="e">
        <f>M69/M49</f>
        <v>#VALUE!</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705" t="s">
        <v>1394</v>
      </c>
      <c r="B70" s="3706"/>
      <c r="C70" s="3706"/>
      <c r="D70" s="3706"/>
      <c r="E70" s="3706"/>
      <c r="F70" s="3706"/>
      <c r="G70" s="3706"/>
      <c r="H70" s="3706"/>
      <c r="I70" s="1816"/>
      <c r="J70" s="2690"/>
      <c r="K70" s="2690"/>
      <c r="L70" s="2690"/>
      <c r="M70" s="2690"/>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697" t="s">
        <v>1375</v>
      </c>
      <c r="B71" s="3698"/>
      <c r="C71" s="2021"/>
      <c r="D71" s="2021" t="s">
        <v>1376</v>
      </c>
      <c r="E71" s="179" t="s">
        <v>1377</v>
      </c>
      <c r="F71" s="180"/>
      <c r="G71" s="180"/>
      <c r="H71" s="181"/>
      <c r="I71" s="1820"/>
      <c r="J71" s="2690"/>
      <c r="K71" s="2690"/>
      <c r="L71" s="2690"/>
      <c r="M71" s="2690"/>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7" t="e">
        <f ca="1">ROUND(D45/(1+'数据-取费表'!C42),0)</f>
        <v>#REF!</v>
      </c>
      <c r="D72" s="170" t="s">
        <v>26</v>
      </c>
      <c r="E72" s="2331"/>
      <c r="F72" s="2330"/>
      <c r="G72" s="2330"/>
      <c r="H72" s="182"/>
      <c r="I72" s="1820"/>
      <c r="J72" s="2690"/>
      <c r="K72" s="2690"/>
      <c r="L72" s="2690"/>
      <c r="M72" s="2690"/>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7" t="e">
        <f ca="1">C74+C78</f>
        <v>#REF!</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70"/>
      <c r="D75" s="170" t="s">
        <v>26</v>
      </c>
      <c r="E75" s="184" t="s">
        <v>1399</v>
      </c>
      <c r="F75" s="2571"/>
      <c r="G75" s="184" t="s">
        <v>1400</v>
      </c>
      <c r="H75" s="2572"/>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3">
        <v>0.05</v>
      </c>
      <c r="E76" s="3702" t="s">
        <v>1402</v>
      </c>
      <c r="F76" s="3701"/>
      <c r="G76" s="3701"/>
      <c r="H76" s="3704"/>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4">
        <f>'数据-取费表'!B48+'数据-取费表'!B49</f>
        <v>3.0499999999999999E-2</v>
      </c>
      <c r="E77" s="2324" t="s">
        <v>1404</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5" t="e">
        <f ca="1">ROUND(D45*D78/(1+'数据-取费表'!C42),0)</f>
        <v>#REF!</v>
      </c>
      <c r="D78" s="2576">
        <f>'数据-取费表'!B43</f>
        <v>6.000000000000001E-3</v>
      </c>
      <c r="E78" s="3694" t="s">
        <v>1406</v>
      </c>
      <c r="F78" s="3695"/>
      <c r="G78" s="3695"/>
      <c r="H78" s="3696"/>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7" t="e">
        <f ca="1">C72-C73</f>
        <v>#REF!</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7" t="e">
        <f ca="1">IF(C79&lt;=0,0,C79/C73)</f>
        <v>#REF!</v>
      </c>
      <c r="D80" s="170" t="s">
        <v>26</v>
      </c>
      <c r="E80" s="2324" t="e">
        <f ca="1">IF(C80&gt;=200%,"增值额超过扣除项目金额200%",IF(C80&gt;=100%,"增值额超过扣除项目金额100%，未超过200%",IF(C80&gt;=50%,"增值额超过扣除项目金额50%，未超过100%",IF(C80&lt;50%,"增值额未超过扣除项目金额50%"))))</f>
        <v>#REF!</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8" t="e">
        <f ca="1">ROUND(IF(C79&lt;=0,0,IF(C80&gt;=200%,C79*60%-C73*35%,IF(C80&gt;=100%,C79*50%-C73*15%,IF(C80&gt;=50%,C79*40%-C73*5%,IF(C80&lt;50%,C79*30%,0))))),0)</f>
        <v>#REF!</v>
      </c>
      <c r="D81" s="2579" t="s">
        <v>26</v>
      </c>
      <c r="E81" s="188"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705" t="s">
        <v>1410</v>
      </c>
      <c r="B83" s="3706"/>
      <c r="C83" s="3706"/>
      <c r="D83" s="3706"/>
      <c r="E83" s="3706"/>
      <c r="F83" s="3706"/>
      <c r="G83" s="3706"/>
      <c r="H83" s="3706"/>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697" t="s">
        <v>1375</v>
      </c>
      <c r="B84" s="3698"/>
      <c r="C84" s="2021"/>
      <c r="D84" s="2021"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7" t="e">
        <f ca="1">ROUND(D45/(1+'数据-取费表'!C42),0)</f>
        <v>#REF!</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7" t="e">
        <f ca="1">IF(H88="仅含出让金",C87+C90+C91+C92+C93+C94,C87+C91+C92+C93+C94)</f>
        <v>#REF!</v>
      </c>
      <c r="D86" s="2580"/>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5">
        <f>C88+C89</f>
        <v>0</v>
      </c>
      <c r="D87" s="2576"/>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81"/>
      <c r="D88" s="2576"/>
      <c r="E88" s="193" t="s">
        <v>1413</v>
      </c>
      <c r="F88" s="2327"/>
      <c r="G88" s="194" t="s">
        <v>1414</v>
      </c>
      <c r="H88" s="1824"/>
      <c r="I88" s="1821"/>
      <c r="J88" s="2520" t="s">
        <v>2288</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5">
        <f>ROUND(C88*D89,0)</f>
        <v>0</v>
      </c>
      <c r="D89" s="2576">
        <f>'数据-取费表'!B48+'数据-取费表'!B49</f>
        <v>3.0499999999999999E-2</v>
      </c>
      <c r="E89" s="193" t="s">
        <v>1415</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81"/>
      <c r="D90" s="2576"/>
      <c r="E90" s="193" t="str">
        <f>IF(H88="-","土地取得成本中已包含该笔费用"," ")</f>
        <v xml:space="preserve"> </v>
      </c>
      <c r="F90" s="2327"/>
      <c r="G90" s="3663" t="s">
        <v>2129</v>
      </c>
      <c r="H90" s="3664"/>
      <c r="I90" s="1821"/>
      <c r="J90" s="2520" t="s">
        <v>2289</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5">
        <f>IF(H91="——",成本法!C33,I91)</f>
        <v>0</v>
      </c>
      <c r="D91" s="2576"/>
      <c r="E91" s="3694" t="s">
        <v>1419</v>
      </c>
      <c r="F91" s="3695"/>
      <c r="G91" s="3695"/>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5">
        <f>ROUND((C87+C90+C91)*D92,0)</f>
        <v>0</v>
      </c>
      <c r="D92" s="2582"/>
      <c r="E92" s="3694" t="s">
        <v>1422</v>
      </c>
      <c r="F92" s="3695"/>
      <c r="G92" s="3695"/>
      <c r="H92" s="3696"/>
      <c r="I92" s="1821"/>
      <c r="J92" s="2521" t="s">
        <v>2290</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5" t="e">
        <f ca="1">ROUND(D45*D93/(1+'数据-取费表'!C42),0)</f>
        <v>#REF!</v>
      </c>
      <c r="D93" s="2576">
        <f>'数据-取费表'!B43</f>
        <v>6.000000000000001E-3</v>
      </c>
      <c r="E93" s="3694" t="s">
        <v>1406</v>
      </c>
      <c r="F93" s="3695"/>
      <c r="G93" s="3695"/>
      <c r="H93" s="3696"/>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81">
        <f>ROUND((C87+C90+C91)*D94,0)</f>
        <v>0</v>
      </c>
      <c r="D94" s="2576">
        <v>0.2</v>
      </c>
      <c r="E94" s="3739" t="s">
        <v>1426</v>
      </c>
      <c r="F94" s="3740"/>
      <c r="G94" s="3740"/>
      <c r="H94" s="3741"/>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7" t="e">
        <f ca="1">ROUND(C85-C86,0)</f>
        <v>#REF!</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7" t="e">
        <f ca="1">IF(C95&lt;=0,0,C95/C86)</f>
        <v>#REF!</v>
      </c>
      <c r="D96" s="170" t="s">
        <v>26</v>
      </c>
      <c r="E96" s="2324" t="e">
        <f ca="1">IF(C96&gt;=200%,"增值额超过扣除项目金额200%",IF(C96&gt;=100%,"增值额超过扣除项目金额100%，未超过200%",IF(C96&gt;=50%,"增值额超过扣除项目金额50%，未超过100%",IF(C96&lt;50%,"增值额未超过扣除项目金额50%"))))</f>
        <v>#REF!</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8" t="e">
        <f ca="1">ROUND(IF(C95&lt;=0,0,IF(C96&gt;=200%,C95*60%-C86*35%,IF(C96&gt;=100%,C95*50%-C86*15%,IF(C96&gt;=50%,C95*40%-C86*5%,IF(C96&lt;50%,C95*30%,0))))),0)</f>
        <v>#REF!</v>
      </c>
      <c r="D97" s="2579" t="s">
        <v>26</v>
      </c>
      <c r="E97" s="188"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644" t="s">
        <v>1428</v>
      </c>
      <c r="B100" s="3645"/>
      <c r="C100" s="3645"/>
      <c r="D100" s="3679"/>
      <c r="E100" s="3645" t="s">
        <v>1429</v>
      </c>
      <c r="F100" s="3645"/>
      <c r="G100" s="3645"/>
      <c r="H100" s="3679"/>
      <c r="I100" s="129"/>
    </row>
    <row r="101" spans="1:35" ht="18.75" customHeight="1">
      <c r="A101" s="3687" t="s">
        <v>1430</v>
      </c>
      <c r="B101" s="3688"/>
      <c r="C101" s="2584" t="str">
        <f>C4</f>
        <v>比较法-办公</v>
      </c>
      <c r="D101" s="2585" t="str">
        <f>D4</f>
        <v>收益法（汇总）</v>
      </c>
      <c r="E101" s="3657" t="s">
        <v>1431</v>
      </c>
      <c r="F101" s="3658"/>
      <c r="G101" s="1827" t="s">
        <v>1432</v>
      </c>
      <c r="H101" s="2594" t="e">
        <f ca="1">H118</f>
        <v>#REF!</v>
      </c>
      <c r="I101" s="129"/>
    </row>
    <row r="102" spans="1:35" ht="18.75" customHeight="1">
      <c r="A102" s="3689" t="s">
        <v>1433</v>
      </c>
      <c r="B102" s="2583" t="s">
        <v>1432</v>
      </c>
      <c r="C102" s="2584">
        <f ca="1">IF(D32="楼面单价",ROUND(C19,0),C19)</f>
        <v>191298</v>
      </c>
      <c r="D102" s="2585">
        <f ca="1">IF(D32="楼面单价",ROUND(D19,0),D19)</f>
        <v>188608</v>
      </c>
      <c r="E102" s="3657"/>
      <c r="F102" s="3658"/>
      <c r="G102" s="1827" t="s">
        <v>1434</v>
      </c>
      <c r="H102" s="2554" t="e">
        <f ca="1">I118</f>
        <v>#REF!</v>
      </c>
      <c r="I102" s="129"/>
    </row>
    <row r="103" spans="1:35" ht="42.75" customHeight="1">
      <c r="A103" s="3689"/>
      <c r="B103" s="2583" t="s">
        <v>1434</v>
      </c>
      <c r="C103" s="2586">
        <f ca="1">C20</f>
        <v>37484</v>
      </c>
      <c r="D103" s="2587">
        <f ca="1">D20</f>
        <v>36957</v>
      </c>
      <c r="E103" s="3650" t="s">
        <v>1435</v>
      </c>
      <c r="F103" s="3651"/>
      <c r="G103" s="1828" t="s">
        <v>1436</v>
      </c>
      <c r="H103" s="2594">
        <f>IF(D36="正常操作",H104+H105+H106,H105+H106)</f>
        <v>0</v>
      </c>
      <c r="I103" s="129"/>
    </row>
    <row r="104" spans="1:35" ht="18.75" customHeight="1">
      <c r="A104" s="3689" t="s">
        <v>1437</v>
      </c>
      <c r="B104" s="2588" t="s">
        <v>1432</v>
      </c>
      <c r="C104" s="2589" t="e">
        <f ca="1">H118</f>
        <v>#REF!</v>
      </c>
      <c r="D104" s="2590"/>
      <c r="E104" s="1674" t="s">
        <v>1438</v>
      </c>
      <c r="F104" s="1666"/>
      <c r="G104" s="1828" t="s">
        <v>1436</v>
      </c>
      <c r="H104" s="2595">
        <f>IF(D36="同一抵押权人同一抵押物续贷",C36&amp;"（续贷，未扣减，详见特别提示）",C36)</f>
        <v>0</v>
      </c>
      <c r="I104" s="129"/>
    </row>
    <row r="105" spans="1:35" ht="18.75" customHeight="1" thickBot="1">
      <c r="A105" s="3699"/>
      <c r="B105" s="2591" t="s">
        <v>1434</v>
      </c>
      <c r="C105" s="2592" t="e">
        <f ca="1">I118</f>
        <v>#REF!</v>
      </c>
      <c r="D105" s="2593"/>
      <c r="E105" s="1674" t="s">
        <v>1439</v>
      </c>
      <c r="F105" s="1666"/>
      <c r="G105" s="1828" t="s">
        <v>1436</v>
      </c>
      <c r="H105" s="2596">
        <f>C37</f>
        <v>0</v>
      </c>
      <c r="I105" s="129"/>
    </row>
    <row r="106" spans="1:35" ht="18.75" customHeight="1">
      <c r="A106" s="1747" t="s">
        <v>1440</v>
      </c>
      <c r="B106" s="1747"/>
      <c r="C106" s="1747"/>
      <c r="D106" s="1747"/>
      <c r="E106" s="1829" t="s">
        <v>1441</v>
      </c>
      <c r="F106" s="1666"/>
      <c r="G106" s="1828" t="s">
        <v>1436</v>
      </c>
      <c r="H106" s="2596">
        <f>C38</f>
        <v>0</v>
      </c>
      <c r="I106" s="129"/>
    </row>
    <row r="107" spans="1:35" ht="18.75" customHeight="1">
      <c r="A107" s="129"/>
      <c r="B107" s="129"/>
      <c r="C107" s="129"/>
      <c r="D107" s="129"/>
      <c r="E107" s="3690" t="str">
        <f>IF(项目基本情况!E8="已注销","——","3.房地产抵押价值")</f>
        <v>3.房地产抵押价值</v>
      </c>
      <c r="F107" s="3658"/>
      <c r="G107" s="1827" t="s">
        <v>1432</v>
      </c>
      <c r="H107" s="2594" t="e">
        <f ca="1">IF(E107="——","——",H101-H103)</f>
        <v>#REF!</v>
      </c>
      <c r="I107" s="129"/>
    </row>
    <row r="108" spans="1:35" ht="18.75" customHeight="1">
      <c r="A108" s="129"/>
      <c r="B108" s="129"/>
      <c r="C108" s="129"/>
      <c r="D108" s="129"/>
      <c r="E108" s="3690"/>
      <c r="F108" s="3658"/>
      <c r="G108" s="1827" t="s">
        <v>1434</v>
      </c>
      <c r="H108" s="2554">
        <f ca="1">IF(H107=H101,H102,ROUND(H107*10000/'数据-汇总表'!E3,0))</f>
        <v>0</v>
      </c>
      <c r="I108" s="129"/>
    </row>
    <row r="109" spans="1:35" ht="18.75" customHeight="1">
      <c r="A109" s="129"/>
      <c r="B109" s="129"/>
      <c r="C109" s="129"/>
      <c r="D109" s="129"/>
      <c r="E109" s="3690" t="str">
        <f>IF(项目基本情况!E8="已注销及未注销","4.抵押担保权已注销时的房地产抵押价值",IF(项目基本情况!E8="已注销","3.抵押担保权已注销时的房地产抵押价值","——"))</f>
        <v>——</v>
      </c>
      <c r="F109" s="3658"/>
      <c r="G109" s="1827" t="s">
        <v>1432</v>
      </c>
      <c r="H109" s="2597" t="str">
        <f>IF(E109="——","——",H101-H105-H106)</f>
        <v>——</v>
      </c>
      <c r="I109" s="129"/>
    </row>
    <row r="110" spans="1:35" ht="18.75" customHeight="1">
      <c r="A110" s="129"/>
      <c r="B110" s="129"/>
      <c r="C110" s="129"/>
      <c r="D110" s="129"/>
      <c r="E110" s="3690"/>
      <c r="F110" s="3658"/>
      <c r="G110" s="1827" t="s">
        <v>1434</v>
      </c>
      <c r="H110" s="2554" t="str">
        <f>IF(H109="——","——",ROUND(H109*10000/'数据-汇总表'!E3,0))</f>
        <v>——</v>
      </c>
      <c r="I110" s="129"/>
    </row>
    <row r="111" spans="1:35" ht="18.75" customHeight="1">
      <c r="A111" s="129"/>
      <c r="B111" s="129"/>
      <c r="C111" s="129"/>
      <c r="D111" s="129"/>
      <c r="E111" s="3691" t="str">
        <f>IF(项目基本情况!E9="抵押净值",IF(OR(项目基本情况!E8="已注销",项目基本情况!E8="房地产抵押价值"),"4.抵押净值","5.抵押净值"),"——")</f>
        <v>——</v>
      </c>
      <c r="F111" s="3677"/>
      <c r="G111" s="1827" t="s">
        <v>1432</v>
      </c>
      <c r="H111" s="2594" t="str">
        <f>IF(E111="——","——",N59)</f>
        <v>——</v>
      </c>
      <c r="I111" s="129"/>
    </row>
    <row r="112" spans="1:35" ht="18.75" customHeight="1" thickBot="1">
      <c r="A112" s="129"/>
      <c r="B112" s="129"/>
      <c r="C112" s="129"/>
      <c r="D112" s="129"/>
      <c r="E112" s="3692"/>
      <c r="F112" s="3693"/>
      <c r="G112" s="1830" t="s">
        <v>1434</v>
      </c>
      <c r="H112" s="2598" t="str">
        <f>IF(E111="——","——",N61)</f>
        <v>——</v>
      </c>
      <c r="I112" s="129"/>
    </row>
    <row r="113" spans="1:27" ht="18.75" customHeight="1">
      <c r="A113" s="129"/>
      <c r="B113" s="129"/>
      <c r="C113" s="129"/>
      <c r="D113" s="129"/>
      <c r="E113" s="3700" t="s">
        <v>1440</v>
      </c>
      <c r="F113" s="3700"/>
      <c r="G113" s="3700"/>
      <c r="H113" s="3700"/>
      <c r="I113" s="129"/>
    </row>
    <row r="114" spans="1:27" ht="3.75" customHeight="1">
      <c r="A114" s="1747"/>
      <c r="B114" s="1747"/>
      <c r="C114" s="1747"/>
      <c r="D114" s="1747"/>
      <c r="E114" s="1809"/>
      <c r="F114" s="1809"/>
      <c r="G114" s="1809"/>
      <c r="H114" s="1809"/>
      <c r="I114" s="1747"/>
    </row>
    <row r="115" spans="1:27" ht="18.75" customHeight="1">
      <c r="A115" s="3708" t="s">
        <v>1442</v>
      </c>
      <c r="B115" s="3709"/>
      <c r="C115" s="3709"/>
      <c r="D115" s="3709"/>
      <c r="E115" s="3709"/>
      <c r="F115" s="3709"/>
      <c r="G115" s="3709"/>
      <c r="H115" s="3709"/>
      <c r="I115" s="3710"/>
    </row>
    <row r="116" spans="1:27" ht="27" customHeight="1">
      <c r="A116" s="3665" t="s">
        <v>1443</v>
      </c>
      <c r="B116" s="3669" t="s">
        <v>1444</v>
      </c>
      <c r="C116" s="3669" t="s">
        <v>1445</v>
      </c>
      <c r="D116" s="3675" t="s">
        <v>1446</v>
      </c>
      <c r="E116" s="3676"/>
      <c r="F116" s="3707" t="s">
        <v>1447</v>
      </c>
      <c r="G116" s="3707"/>
      <c r="H116" s="3665" t="s">
        <v>1448</v>
      </c>
      <c r="I116" s="3665"/>
    </row>
    <row r="117" spans="1:27" ht="18.75" customHeight="1">
      <c r="A117" s="3665"/>
      <c r="B117" s="3670"/>
      <c r="C117" s="3670"/>
      <c r="D117" s="2329" t="s">
        <v>1449</v>
      </c>
      <c r="E117" s="2329" t="s">
        <v>1450</v>
      </c>
      <c r="F117" s="2329" t="s">
        <v>1449</v>
      </c>
      <c r="G117" s="2329" t="s">
        <v>1451</v>
      </c>
      <c r="H117" s="2329" t="s">
        <v>1449</v>
      </c>
      <c r="I117" s="2329" t="s">
        <v>1451</v>
      </c>
    </row>
    <row r="118" spans="1:27" ht="24.75" customHeight="1">
      <c r="A118" s="2599" t="str">
        <f>项目基本情况!S2</f>
        <v>北京市房地产</v>
      </c>
      <c r="B118" s="2329">
        <f>M18</f>
        <v>51034.460000000006</v>
      </c>
      <c r="C118" s="2329">
        <f>M19</f>
        <v>11881.76</v>
      </c>
      <c r="D118" s="2329" t="e">
        <f ca="1">ROUND(IF(D32="总价",C34,E118*B118/10000),0)</f>
        <v>#REF!</v>
      </c>
      <c r="E118" s="2329" t="e">
        <f ca="1">ROUND(IF(C33="自定义",IF(D32="楼面单价",C34,D118*10000/B118),I118-G118),0)</f>
        <v>#REF!</v>
      </c>
      <c r="F118" s="2329" t="e">
        <f ca="1">ROUND(IF(D32="总价",C35,G118*B118/10000),0)</f>
        <v>#REF!</v>
      </c>
      <c r="G118" s="2329" t="e">
        <f ca="1">ROUND(IF(D32="楼面单价",C35,F118*10000/B118),0)</f>
        <v>#REF!</v>
      </c>
      <c r="H118" s="2329" t="e">
        <f ca="1">ROUND(IF(D32="总价",C32,I118*B118/10000),0)</f>
        <v>#REF!</v>
      </c>
      <c r="I118" s="2329" t="e">
        <f ca="1">ROUND(IF(D32="楼面单价",C32,H118*10000/B118),0)</f>
        <v>#REF!</v>
      </c>
    </row>
    <row r="119" spans="1:27" ht="18.75" customHeight="1">
      <c r="A119" s="3665" t="s">
        <v>1452</v>
      </c>
      <c r="B119" s="3665"/>
      <c r="C119" s="3665"/>
      <c r="D119" s="3671" t="e">
        <f ca="1">NUMBERSTRING(INT(D118*10000),2)&amp;"元整"</f>
        <v>#REF!</v>
      </c>
      <c r="E119" s="3672"/>
      <c r="F119" s="3671" t="e">
        <f ca="1">NUMBERSTRING(INT(F118*10000),2)&amp;"元整"</f>
        <v>#REF!</v>
      </c>
      <c r="G119" s="3672"/>
      <c r="H119" s="3671" t="e">
        <f ca="1">NUMBERSTRING(INT(H118*10000),2)&amp;"元整"</f>
        <v>#REF!</v>
      </c>
      <c r="I119" s="3672"/>
    </row>
    <row r="120" spans="1:27" ht="18.75" customHeight="1">
      <c r="A120" s="3666" t="str">
        <f>IF(项目基本情况!B9="房地产市场价值","",MID(E103,3,LEN(E103)-2))</f>
        <v/>
      </c>
      <c r="B120" s="3667"/>
      <c r="C120" s="3668"/>
      <c r="D120" s="3666">
        <f>H103</f>
        <v>0</v>
      </c>
      <c r="E120" s="3667"/>
      <c r="F120" s="3667"/>
      <c r="G120" s="3667"/>
      <c r="H120" s="3667"/>
      <c r="I120" s="3668"/>
      <c r="J120" s="1752"/>
      <c r="K120" s="1752" t="str">
        <f>IF(D120=0,"故，本次评估不存在"&amp;A120,"故，本次评估"&amp;A120&amp;"为人民币"&amp;D120&amp;"万元整。")</f>
        <v>故，本次评估不存在</v>
      </c>
      <c r="L120" s="1752"/>
      <c r="M120" s="1752"/>
      <c r="N120" s="1752"/>
      <c r="O120" s="1752"/>
      <c r="P120" s="1752"/>
      <c r="Q120" s="1752"/>
      <c r="R120" s="1752"/>
      <c r="S120" s="1752"/>
    </row>
    <row r="121" spans="1:27" ht="18.75" customHeight="1">
      <c r="A121" s="3671" t="s">
        <v>1452</v>
      </c>
      <c r="B121" s="3673"/>
      <c r="C121" s="3672"/>
      <c r="D121" s="3671" t="str">
        <f>IF(D120=0,"零元整",NUMBERSTRING(INT(D120*10000),2)&amp;"元整")</f>
        <v>零元整</v>
      </c>
      <c r="E121" s="3673"/>
      <c r="F121" s="3673"/>
      <c r="G121" s="3673"/>
      <c r="H121" s="3673"/>
      <c r="I121" s="3672"/>
      <c r="AA121" s="725"/>
    </row>
    <row r="122" spans="1:27" ht="18.75" customHeight="1">
      <c r="A122" s="3677" t="str">
        <f>IF(项目基本情况!B9="房地产市场价值","",MID(E107,3,LEN(E107)-2))</f>
        <v/>
      </c>
      <c r="B122" s="3677"/>
      <c r="C122" s="3677"/>
      <c r="D122" s="3666" t="e">
        <f ca="1">H107</f>
        <v>#REF!</v>
      </c>
      <c r="E122" s="3667"/>
      <c r="F122" s="3667"/>
      <c r="G122" s="3667"/>
      <c r="H122" s="3667"/>
      <c r="I122" s="3668"/>
      <c r="AA122" s="725"/>
    </row>
    <row r="123" spans="1:27" ht="18.75" customHeight="1">
      <c r="A123" s="3665" t="s">
        <v>1452</v>
      </c>
      <c r="B123" s="3665"/>
      <c r="C123" s="3665"/>
      <c r="D123" s="3671" t="e">
        <f ca="1">NUMBERSTRING(INT(D122*10000),2)&amp;"元整"</f>
        <v>#REF!</v>
      </c>
      <c r="E123" s="3673"/>
      <c r="F123" s="3673"/>
      <c r="G123" s="3673"/>
      <c r="H123" s="3673"/>
      <c r="I123" s="3672"/>
      <c r="AA123" s="725"/>
    </row>
    <row r="124" spans="1:27" ht="18.75" customHeight="1">
      <c r="A124" s="3677" t="str">
        <f>IF(项目基本情况!B9="房地产市场价值","",MID(E109,3,LEN(E109)-2))</f>
        <v/>
      </c>
      <c r="B124" s="3677"/>
      <c r="C124" s="3677"/>
      <c r="D124" s="3666" t="str">
        <f>H109</f>
        <v>——</v>
      </c>
      <c r="E124" s="3667"/>
      <c r="F124" s="3667"/>
      <c r="G124" s="3667"/>
      <c r="H124" s="3667"/>
      <c r="I124" s="3668"/>
      <c r="AA124" s="725"/>
    </row>
    <row r="125" spans="1:27" ht="18.75" customHeight="1">
      <c r="A125" s="3665" t="s">
        <v>1452</v>
      </c>
      <c r="B125" s="3665"/>
      <c r="C125" s="3665"/>
      <c r="D125" s="3671" t="e">
        <f>NUMBERSTRING(INT(D124*10000),2)&amp;"元整"</f>
        <v>#VALUE!</v>
      </c>
      <c r="E125" s="3673"/>
      <c r="F125" s="3673"/>
      <c r="G125" s="3673"/>
      <c r="H125" s="3673"/>
      <c r="I125" s="3672"/>
      <c r="AA125" s="725"/>
    </row>
    <row r="126" spans="1:27" ht="18.75" customHeight="1">
      <c r="A126" s="3677" t="str">
        <f>IF(项目基本情况!B9="房地产市场价值","",MID(E111,3,LEN(E111)-2))</f>
        <v/>
      </c>
      <c r="B126" s="3677"/>
      <c r="C126" s="3677"/>
      <c r="D126" s="3666" t="str">
        <f>H111</f>
        <v>——</v>
      </c>
      <c r="E126" s="3667"/>
      <c r="F126" s="3667"/>
      <c r="G126" s="3667"/>
      <c r="H126" s="3667"/>
      <c r="I126" s="3668"/>
      <c r="AA126" s="725"/>
    </row>
    <row r="127" spans="1:27" ht="18.75" customHeight="1">
      <c r="A127" s="3665" t="s">
        <v>1452</v>
      </c>
      <c r="B127" s="3665"/>
      <c r="C127" s="3665"/>
      <c r="D127" s="3671" t="e">
        <f>NUMBERSTRING(INT(D126*10000),2)&amp;"元整"</f>
        <v>#VALUE!</v>
      </c>
      <c r="E127" s="3673"/>
      <c r="F127" s="3673"/>
      <c r="G127" s="3673"/>
      <c r="H127" s="3673"/>
      <c r="I127" s="3672"/>
      <c r="AA127" s="725"/>
    </row>
    <row r="128" spans="1:27" ht="21.75" customHeight="1">
      <c r="A128" s="3674" t="s">
        <v>1453</v>
      </c>
      <c r="B128" s="3674"/>
      <c r="C128" s="3674"/>
      <c r="D128" s="3674"/>
      <c r="E128" s="3674"/>
      <c r="F128" s="3674"/>
      <c r="G128" s="3674"/>
      <c r="H128" s="3674"/>
      <c r="I128" s="3674"/>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81" priority="21" stopIfTrue="1" operator="equal">
      <formula>25</formula>
    </cfRule>
  </conditionalFormatting>
  <conditionalFormatting sqref="C8:C9">
    <cfRule type="cellIs" dxfId="180" priority="19" stopIfTrue="1" operator="equal">
      <formula>15</formula>
    </cfRule>
  </conditionalFormatting>
  <conditionalFormatting sqref="C14:C16">
    <cfRule type="cellIs" dxfId="179" priority="13" stopIfTrue="1" operator="equal">
      <formula>30</formula>
    </cfRule>
  </conditionalFormatting>
  <conditionalFormatting sqref="D5:D7">
    <cfRule type="cellIs" dxfId="178" priority="10" stopIfTrue="1" operator="equal">
      <formula>25</formula>
    </cfRule>
  </conditionalFormatting>
  <conditionalFormatting sqref="D8:D9">
    <cfRule type="cellIs" dxfId="177" priority="9" stopIfTrue="1" operator="equal">
      <formula>15</formula>
    </cfRule>
  </conditionalFormatting>
  <conditionalFormatting sqref="C10:D13">
    <cfRule type="cellIs" dxfId="176" priority="8" stopIfTrue="1" operator="equal">
      <formula>15</formula>
    </cfRule>
  </conditionalFormatting>
  <conditionalFormatting sqref="D14:D16">
    <cfRule type="cellIs" dxfId="175" priority="6" stopIfTrue="1" operator="equal">
      <formula>30</formula>
    </cfRule>
  </conditionalFormatting>
  <conditionalFormatting sqref="C90">
    <cfRule type="expression" dxfId="174" priority="3" stopIfTrue="1">
      <formula>$H$88&lt;&gt;"仅含出让金"</formula>
    </cfRule>
  </conditionalFormatting>
  <conditionalFormatting sqref="C91">
    <cfRule type="expression" dxfId="173" priority="2" stopIfTrue="1">
      <formula>$H$91="由企业提供"</formula>
    </cfRule>
  </conditionalFormatting>
  <conditionalFormatting sqref="E36">
    <cfRule type="expression" dxfId="172"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Normal="70" zoomScaleSheetLayoutView="100" workbookViewId="0">
      <selection activeCell="D8" sqref="D8"/>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c r="C1" s="198"/>
      <c r="D1" s="198"/>
      <c r="E1" s="198"/>
      <c r="F1" s="198"/>
      <c r="G1" s="1126">
        <f>MATCH(B1,'数据-取费表'!A6:A16,0)+5</f>
        <v>8</v>
      </c>
    </row>
    <row r="2" spans="1:9" s="200" customFormat="1" ht="18" customHeight="1">
      <c r="A2" s="201" t="s">
        <v>1462</v>
      </c>
      <c r="B2" s="202">
        <f ca="1">IF(D2="——",C52,C52-E2)</f>
        <v>138457</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27130</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C6+C7+C8</f>
        <v>74783</v>
      </c>
      <c r="D5" s="211" t="s">
        <v>1469</v>
      </c>
      <c r="E5" s="212" t="s">
        <v>1470</v>
      </c>
      <c r="F5" s="212" t="s">
        <v>1471</v>
      </c>
      <c r="G5" s="213"/>
    </row>
    <row r="6" spans="1:9" s="214" customFormat="1" ht="13.5" customHeight="1">
      <c r="A6" s="778" t="s">
        <v>1472</v>
      </c>
      <c r="B6" s="215" t="s">
        <v>1473</v>
      </c>
      <c r="C6" s="216">
        <f>基准地价修正!B2</f>
        <v>71579</v>
      </c>
      <c r="D6" s="217"/>
      <c r="E6" s="218"/>
      <c r="F6" s="218"/>
      <c r="G6" s="219"/>
    </row>
    <row r="7" spans="1:9" s="214" customFormat="1" ht="13.5" customHeight="1">
      <c r="A7" s="778" t="s">
        <v>1474</v>
      </c>
      <c r="B7" s="215" t="s">
        <v>1475</v>
      </c>
      <c r="C7" s="220">
        <f>ROUND(C6*F7,0)</f>
        <v>2183</v>
      </c>
      <c r="D7" s="220"/>
      <c r="E7" s="218"/>
      <c r="F7" s="221">
        <f>IF(项目基本情况!B8="出让",0,'数据-取费表'!B48+'数据-取费表'!B49)</f>
        <v>3.0499999999999999E-2</v>
      </c>
      <c r="G7" s="219"/>
    </row>
    <row r="8" spans="1:9" s="223" customFormat="1">
      <c r="A8" s="778" t="s">
        <v>1476</v>
      </c>
      <c r="B8" s="215" t="s">
        <v>1477</v>
      </c>
      <c r="C8" s="220">
        <f>IF(G8="已包含在土地购买价格中","0",IF(B1="",'数据-取费表'!B29,IF(G9="全部缴纳",C9+C10,H9)))</f>
        <v>1021</v>
      </c>
      <c r="D8" s="222"/>
      <c r="E8" s="220"/>
      <c r="F8" s="221"/>
      <c r="G8" s="1856" t="s">
        <v>3429</v>
      </c>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160</v>
      </c>
      <c r="F9" s="221"/>
      <c r="G9" s="1857" t="s">
        <v>3431</v>
      </c>
      <c r="H9" s="1137"/>
      <c r="I9" s="1858" t="s">
        <v>1479</v>
      </c>
    </row>
    <row r="10" spans="1:9" s="214" customFormat="1" ht="13.5" customHeight="1">
      <c r="A10" s="779" t="s">
        <v>356</v>
      </c>
      <c r="B10" s="224" t="s">
        <v>1480</v>
      </c>
      <c r="C10" s="225">
        <f ca="1">ROUND(D10*E10/10000,0)</f>
        <v>1021</v>
      </c>
      <c r="D10" s="845">
        <f ca="1">IF(B1="",'数据-汇总表'!E6,IF(INDIRECT("'数据-取费表'!c"&amp;$G$1)="住宅",INDIRECT("'数据-取费表'!s"&amp;$G$1),INDIRECT("'数据-取费表'!k"&amp;$G$1)+INDIRECT("'数据-取费表'!s"&amp;$G$1)))</f>
        <v>51034.460000000006</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t="str">
        <f>IF(G19="已包含在土地取得成本中","0",ROUND(D19*E19/10000,0))</f>
        <v>0</v>
      </c>
      <c r="D19" s="849">
        <f ca="1">D9+D10</f>
        <v>51034.460000000006</v>
      </c>
      <c r="E19" s="211">
        <f>'数据-取费表'!B31</f>
        <v>200</v>
      </c>
      <c r="F19" s="231"/>
      <c r="G19" s="1856" t="s">
        <v>3430</v>
      </c>
    </row>
    <row r="20" spans="1:7" s="214" customFormat="1" ht="13.5" customHeight="1">
      <c r="A20" s="255" t="s">
        <v>1493</v>
      </c>
      <c r="B20" s="210" t="s">
        <v>1494</v>
      </c>
      <c r="C20" s="232">
        <f>ROUND((C5+C19)*F20,0)</f>
        <v>1496</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6398</v>
      </c>
      <c r="D22" s="235">
        <f ca="1">C26</f>
        <v>8.0000000000000004E-4</v>
      </c>
      <c r="E22" s="236" t="s">
        <v>1498</v>
      </c>
      <c r="F22" s="237">
        <f ca="1">'数据-取费表'!B40</f>
        <v>4.1499999999999995E-2</v>
      </c>
      <c r="G22" s="234" t="str">
        <f>IF('数据-取费表'!B22&lt;=1,"单利计息","复利计息")</f>
        <v>复利计息</v>
      </c>
    </row>
    <row r="23" spans="1:7" s="214" customFormat="1" ht="13.5" customHeight="1">
      <c r="A23" s="780" t="s">
        <v>1502</v>
      </c>
      <c r="B23" s="215" t="s">
        <v>1503</v>
      </c>
      <c r="C23" s="1105">
        <f ca="1">ROUND(IF('数据-取费表'!B22&lt;=1,C5*F22*'数据-取费表'!B23,C5*(POWER((1+F22),'数据-取费表'!B23)-1)),0)</f>
        <v>6336</v>
      </c>
      <c r="D23" s="238"/>
      <c r="E23" s="238"/>
      <c r="F23" s="239"/>
      <c r="G23" s="240" t="s">
        <v>1504</v>
      </c>
    </row>
    <row r="24" spans="1:7" s="214" customFormat="1" ht="13.5" customHeight="1">
      <c r="A24" s="780" t="s">
        <v>1505</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5">
        <f ca="1">ROUND(IF('数据-取费表'!B22&lt;=1,C20*F22*'数据-取费表'!B23/2,C20*(POWER((1+F22),'数据-取费表'!B23/2)-1)),0)</f>
        <v>62</v>
      </c>
      <c r="D25" s="238"/>
      <c r="E25" s="241"/>
      <c r="F25" s="239"/>
      <c r="G25" s="242" t="s">
        <v>1510</v>
      </c>
    </row>
    <row r="26" spans="1:7" s="214" customFormat="1">
      <c r="A26" s="780" t="s">
        <v>350</v>
      </c>
      <c r="B26" s="215" t="s">
        <v>1511</v>
      </c>
      <c r="C26" s="238">
        <f ca="1">ROUND(IF('数据-取费表'!B22&lt;=1,F21*F22*'数据-取费表'!B23/2,F21*(POWER((1+F22),'数据-取费表'!B23/2)-1)),4)</f>
        <v>8.0000000000000004E-4</v>
      </c>
      <c r="D26" s="238"/>
      <c r="E26" s="241"/>
      <c r="F26" s="239"/>
      <c r="G26" s="243"/>
    </row>
    <row r="27" spans="1:7" s="214" customFormat="1" ht="24.75">
      <c r="A27" s="255" t="s">
        <v>1512</v>
      </c>
      <c r="B27" s="244" t="s">
        <v>1513</v>
      </c>
      <c r="C27" s="245">
        <f ca="1">C28</f>
        <v>13730</v>
      </c>
      <c r="D27" s="235">
        <f ca="1">C29</f>
        <v>3.5999999999999999E-3</v>
      </c>
      <c r="E27" s="236" t="s">
        <v>1514</v>
      </c>
      <c r="F27" s="246">
        <f ca="1">IF(B1="",'数据-取费表'!Q16,INDIRECT("'数据-取费表'!q"&amp;$G$1))</f>
        <v>0.18</v>
      </c>
      <c r="G27" s="247" t="s">
        <v>1515</v>
      </c>
    </row>
    <row r="28" spans="1:7" s="214" customFormat="1" ht="13.5" customHeight="1">
      <c r="A28" s="780" t="s">
        <v>346</v>
      </c>
      <c r="B28" s="248" t="s">
        <v>1516</v>
      </c>
      <c r="C28" s="249">
        <f ca="1">ROUND((C5+C19+C20)*F27*'数据-取费表'!B21/'数据-取费表'!B20,0)</f>
        <v>13730</v>
      </c>
      <c r="D28" s="235"/>
      <c r="E28" s="236"/>
      <c r="F28" s="246"/>
      <c r="G28" s="247"/>
    </row>
    <row r="29" spans="1:7" s="214" customFormat="1" ht="13.5" customHeight="1">
      <c r="A29" s="780" t="s">
        <v>347</v>
      </c>
      <c r="B29" s="248" t="s">
        <v>1517</v>
      </c>
      <c r="C29" s="238">
        <f ca="1">ROUND(C21*F27*'数据-取费表'!B21/'数据-取费表'!B20,4)</f>
        <v>3.5999999999999999E-3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104529</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28539</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25838</v>
      </c>
      <c r="D34" s="217"/>
      <c r="E34" s="220"/>
      <c r="F34" s="257">
        <f ca="1">IF('数据-取费表'!B24=0,1,IF(B1="",'数据-取费表'!N16,INDIRECT("'数据-取费表'!n"&amp;$G$1)))</f>
        <v>1</v>
      </c>
      <c r="G34" s="219" t="s">
        <v>1526</v>
      </c>
    </row>
    <row r="35" spans="1:7" ht="13.5" customHeight="1">
      <c r="A35" s="780" t="s">
        <v>351</v>
      </c>
      <c r="B35" s="215" t="s">
        <v>1527</v>
      </c>
      <c r="C35" s="220">
        <f ca="1">ROUND(C34*F35,0)</f>
        <v>1292</v>
      </c>
      <c r="D35" s="220"/>
      <c r="E35" s="220"/>
      <c r="F35" s="259">
        <f>'数据-取费表'!B33</f>
        <v>0.05</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0.05</v>
      </c>
      <c r="G36" s="260" t="s">
        <v>1530</v>
      </c>
    </row>
    <row r="37" spans="1:7" s="258" customFormat="1" ht="13.5" customHeight="1">
      <c r="A37" s="780" t="s">
        <v>353</v>
      </c>
      <c r="B37" s="215" t="s">
        <v>1531</v>
      </c>
      <c r="C37" s="249">
        <f ca="1">ROUND(E37*D37*F34/10000,0)</f>
        <v>1021</v>
      </c>
      <c r="D37" s="217">
        <f ca="1">D19</f>
        <v>51034.460000000006</v>
      </c>
      <c r="E37" s="249">
        <f>'数据-取费表'!B35</f>
        <v>200</v>
      </c>
      <c r="F37" s="259"/>
      <c r="G37" s="261" t="s">
        <v>1532</v>
      </c>
    </row>
    <row r="38" spans="1:7" ht="13.5" customHeight="1">
      <c r="A38" s="780" t="s">
        <v>354</v>
      </c>
      <c r="B38" s="215" t="s">
        <v>1533</v>
      </c>
      <c r="C38" s="220">
        <f ca="1">ROUND(C34*F38,0)</f>
        <v>388</v>
      </c>
      <c r="D38" s="220"/>
      <c r="E38" s="220"/>
      <c r="F38" s="259">
        <f>'数据-取费表'!B36</f>
        <v>1.4999999999999999E-2</v>
      </c>
      <c r="G38" s="219" t="s">
        <v>1528</v>
      </c>
    </row>
    <row r="39" spans="1:7" s="214" customFormat="1" ht="13.5" customHeight="1">
      <c r="A39" s="255" t="s">
        <v>1534</v>
      </c>
      <c r="B39" s="210" t="s">
        <v>1535</v>
      </c>
      <c r="C39" s="232">
        <f ca="1">ROUND(C33*F20,0)</f>
        <v>571</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1208</v>
      </c>
      <c r="D41" s="235">
        <f ca="1">C44</f>
        <v>8.0000000000000004E-4</v>
      </c>
      <c r="E41" s="236" t="s">
        <v>1539</v>
      </c>
      <c r="F41" s="237">
        <f ca="1">F22</f>
        <v>4.1499999999999995E-2</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1184</v>
      </c>
      <c r="D42" s="238"/>
      <c r="E42" s="238"/>
      <c r="F42" s="239"/>
      <c r="G42" s="3744" t="s">
        <v>1544</v>
      </c>
    </row>
    <row r="43" spans="1:7" ht="13.5" customHeight="1">
      <c r="A43" s="780" t="s">
        <v>347</v>
      </c>
      <c r="B43" s="215" t="s">
        <v>1545</v>
      </c>
      <c r="C43" s="238">
        <f ca="1">ROUND(IF('数据-取费表'!B22&lt;=1,C39*F22*'数据-取费表'!B21/2,C39*(POWER((1+F22),'数据-取费表'!B21/2)-1)),0)</f>
        <v>24</v>
      </c>
      <c r="D43" s="238"/>
      <c r="E43" s="238"/>
      <c r="F43" s="239"/>
      <c r="G43" s="3745"/>
    </row>
    <row r="44" spans="1:7" ht="13.5" customHeight="1">
      <c r="A44" s="780" t="s">
        <v>348</v>
      </c>
      <c r="B44" s="215" t="s">
        <v>1546</v>
      </c>
      <c r="C44" s="238">
        <f ca="1">ROUND(IF('数据-取费表'!B22&lt;=1,C40*F22*'数据-取费表'!B21/2,C40*(POWER((1+F22),'数据-取费表'!B21/2)-1)),4)</f>
        <v>8.0000000000000004E-4</v>
      </c>
      <c r="D44" s="238"/>
      <c r="E44" s="238"/>
      <c r="F44" s="239"/>
      <c r="G44" s="3746"/>
    </row>
    <row r="45" spans="1:7" s="214" customFormat="1" ht="13.5" customHeight="1">
      <c r="A45" s="255" t="s">
        <v>1547</v>
      </c>
      <c r="B45" s="244" t="s">
        <v>1513</v>
      </c>
      <c r="C45" s="245">
        <f ca="1">C46</f>
        <v>5240</v>
      </c>
      <c r="D45" s="235">
        <f ca="1">C47</f>
        <v>3.5999999999999999E-3</v>
      </c>
      <c r="E45" s="236" t="s">
        <v>1539</v>
      </c>
      <c r="F45" s="246">
        <f ca="1">F27</f>
        <v>0.18</v>
      </c>
      <c r="G45" s="247" t="s">
        <v>1548</v>
      </c>
    </row>
    <row r="46" spans="1:7" s="214" customFormat="1" ht="13.5" customHeight="1">
      <c r="A46" s="780" t="s">
        <v>346</v>
      </c>
      <c r="B46" s="248" t="s">
        <v>1549</v>
      </c>
      <c r="C46" s="249">
        <f ca="1">ROUND((C33+C39)*F27,0)</f>
        <v>5240</v>
      </c>
      <c r="D46" s="263"/>
      <c r="E46" s="236"/>
      <c r="F46" s="246"/>
      <c r="G46" s="247"/>
    </row>
    <row r="47" spans="1:7" s="214" customFormat="1" ht="13.5" customHeight="1">
      <c r="A47" s="780" t="s">
        <v>347</v>
      </c>
      <c r="B47" s="248" t="s">
        <v>1550</v>
      </c>
      <c r="C47" s="238">
        <f ca="1">ROUND(C40*F27,4)</f>
        <v>3.5999999999999999E-3</v>
      </c>
      <c r="D47" s="263"/>
      <c r="E47" s="236"/>
      <c r="F47" s="246"/>
      <c r="G47" s="247"/>
    </row>
    <row r="48" spans="1:7" s="214" customFormat="1" ht="13.5" customHeight="1">
      <c r="A48" s="255" t="s">
        <v>1512</v>
      </c>
      <c r="B48" s="210" t="s">
        <v>1551</v>
      </c>
      <c r="C48" s="1327">
        <f>ROUND(F30/(1+'数据-取费表'!C42),4)</f>
        <v>5.33E-2</v>
      </c>
      <c r="D48" s="236" t="s">
        <v>1539</v>
      </c>
      <c r="E48" s="232"/>
      <c r="F48" s="237">
        <f>F30</f>
        <v>5.6000000000000001E-2</v>
      </c>
      <c r="G48" s="234" t="s">
        <v>1552</v>
      </c>
    </row>
    <row r="49" spans="1:8" ht="16.5" customHeight="1">
      <c r="A49" s="255" t="s">
        <v>1518</v>
      </c>
      <c r="B49" s="210" t="s">
        <v>1553</v>
      </c>
      <c r="C49" s="232">
        <f ca="1">ROUND((C33+C39+C41+C45)/(1-C40-D41-D45-C48),0)</f>
        <v>38554</v>
      </c>
      <c r="D49" s="232"/>
      <c r="E49" s="232"/>
      <c r="F49" s="264"/>
      <c r="G49" s="234" t="s">
        <v>1554</v>
      </c>
    </row>
    <row r="50" spans="1:8" s="258" customFormat="1" ht="24">
      <c r="A50" s="255" t="s">
        <v>1555</v>
      </c>
      <c r="B50" s="210" t="s">
        <v>1556</v>
      </c>
      <c r="C50" s="232"/>
      <c r="D50" s="232"/>
      <c r="E50" s="232"/>
      <c r="F50" s="264">
        <f>IF('数据-取费表'!B24=0,'数据-取费表'!N16,1)</f>
        <v>0.88</v>
      </c>
      <c r="G50" s="247" t="s">
        <v>1557</v>
      </c>
    </row>
    <row r="51" spans="1:8" ht="16.5" customHeight="1">
      <c r="A51" s="255" t="s">
        <v>1558</v>
      </c>
      <c r="B51" s="210" t="s">
        <v>1559</v>
      </c>
      <c r="C51" s="232">
        <f ca="1">ROUND(C49*F50,0)</f>
        <v>33928</v>
      </c>
      <c r="D51" s="232"/>
      <c r="E51" s="232"/>
      <c r="F51" s="264"/>
      <c r="G51" s="234" t="s">
        <v>1560</v>
      </c>
      <c r="H51" s="251">
        <f ca="1">C51/'数据-基础表'!B3</f>
        <v>0.66480570187281296</v>
      </c>
    </row>
    <row r="52" spans="1:8" s="208" customFormat="1" ht="16.5" thickBot="1">
      <c r="A52" s="265" t="s">
        <v>1561</v>
      </c>
      <c r="B52" s="266"/>
      <c r="C52" s="267">
        <f ca="1">C31+C51</f>
        <v>138457</v>
      </c>
      <c r="D52" s="266"/>
      <c r="E52" s="266"/>
      <c r="F52" s="266"/>
      <c r="G52" s="268"/>
    </row>
    <row r="55" spans="1:8" ht="15">
      <c r="B55" s="270" t="s">
        <v>1562</v>
      </c>
      <c r="C55" s="271"/>
    </row>
    <row r="56" spans="1:8">
      <c r="B56" s="273" t="s">
        <v>802</v>
      </c>
      <c r="C56" s="275">
        <f ca="1">1-C57</f>
        <v>0.755</v>
      </c>
    </row>
    <row r="57" spans="1:8">
      <c r="B57" s="273" t="s">
        <v>803</v>
      </c>
      <c r="C57" s="274">
        <f ca="1">ROUND(C51/C52,3)</f>
        <v>0.245</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70"/>
      <c r="C1" s="1859" t="s">
        <v>1563</v>
      </c>
      <c r="D1" s="198"/>
      <c r="E1" s="198"/>
      <c r="F1" s="198"/>
      <c r="G1" s="1126">
        <f>MATCH(B1,'数据-取费表'!A6:A16,0)+5</f>
        <v>8</v>
      </c>
      <c r="H1" s="1061" t="str">
        <f>IF(ISERROR(FIND("住宅",B1)),"非住宅","住宅")</f>
        <v>非住宅</v>
      </c>
    </row>
    <row r="2" spans="1:8" s="200" customFormat="1" ht="18" customHeight="1">
      <c r="A2" s="201" t="s">
        <v>1462</v>
      </c>
      <c r="B2" s="3423">
        <f ca="1">ROUND(IF(D2="——",C52/10000,C52/10000-E2),4)</f>
        <v>36779.404999999999</v>
      </c>
      <c r="C2" s="199" t="s">
        <v>1463</v>
      </c>
      <c r="D2" s="1853" t="s">
        <v>43</v>
      </c>
      <c r="E2" s="1169" t="e">
        <f ca="1">SUMIF(INDIRECT("'"&amp;G2&amp;"'"&amp;"!A:A"),"承租人权益价值",INDIRECT("'"&amp;G2&amp;"'"&amp;"!c:c"))</f>
        <v>#REF!</v>
      </c>
      <c r="F2" s="1854" t="s">
        <v>1463</v>
      </c>
      <c r="G2" s="1855"/>
    </row>
    <row r="3" spans="1:8" s="200" customFormat="1" ht="18" customHeight="1" thickBot="1">
      <c r="A3" s="203" t="s">
        <v>1464</v>
      </c>
      <c r="B3" s="204">
        <f ca="1">ROUND(B2*10000/(IF(B1="",'数据-汇总表'!E3,INDIRECT("'数据-取费表'!k"&amp;$G$1))),0)</f>
        <v>7207</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10206892</v>
      </c>
      <c r="D5" s="211" t="s">
        <v>1469</v>
      </c>
      <c r="E5" s="212" t="s">
        <v>1470</v>
      </c>
      <c r="F5" s="212" t="s">
        <v>1471</v>
      </c>
      <c r="G5" s="213"/>
    </row>
    <row r="6" spans="1:8" s="214" customFormat="1" ht="13.5" customHeight="1">
      <c r="A6" s="778" t="s">
        <v>1472</v>
      </c>
      <c r="B6" s="215" t="s">
        <v>1473</v>
      </c>
      <c r="C6" s="216"/>
      <c r="D6" s="217"/>
      <c r="E6" s="218"/>
      <c r="F6" s="218"/>
      <c r="G6" s="219"/>
    </row>
    <row r="7" spans="1:8" s="214" customFormat="1" ht="13.5" customHeight="1">
      <c r="A7" s="778" t="s">
        <v>1474</v>
      </c>
      <c r="B7" s="215" t="s">
        <v>1475</v>
      </c>
      <c r="C7" s="220">
        <f>ROUND(C6*F7,0)</f>
        <v>0</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10206892</v>
      </c>
      <c r="D8" s="222"/>
      <c r="E8" s="220"/>
      <c r="F8" s="221"/>
      <c r="G8" s="1856"/>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160</v>
      </c>
      <c r="F9" s="221"/>
      <c r="G9" s="226"/>
    </row>
    <row r="10" spans="1:8" s="214" customFormat="1" ht="13.5" customHeight="1">
      <c r="A10" s="779" t="s">
        <v>356</v>
      </c>
      <c r="B10" s="224" t="s">
        <v>1480</v>
      </c>
      <c r="C10" s="225">
        <f ca="1">ROUND(D10*E10,0)</f>
        <v>10206892</v>
      </c>
      <c r="D10" s="845">
        <f ca="1">IF(B1="",'数据-汇总表'!E6,IF(INDIRECT("'数据-取费表'!c"&amp;$G$1)="住宅",INDIRECT("'数据-取费表'!s"&amp;$G$1),INDIRECT("'数据-取费表'!k"&amp;$G$1)+INDIRECT("'数据-取费表'!s"&amp;$G$1)))</f>
        <v>51034.460000000006</v>
      </c>
      <c r="E10" s="225">
        <f>'数据-取费表'!B28</f>
        <v>200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f ca="1">IF(G19="已包含在土地取得成本中","0",ROUND(D19*E19,0))</f>
        <v>10206892</v>
      </c>
      <c r="D19" s="849">
        <f ca="1">D9+D10</f>
        <v>51034.460000000006</v>
      </c>
      <c r="E19" s="211">
        <f>'数据-取费表'!B31</f>
        <v>200</v>
      </c>
      <c r="F19" s="231"/>
      <c r="G19" s="1856"/>
    </row>
    <row r="20" spans="1:7" s="214" customFormat="1" ht="13.5" customHeight="1">
      <c r="A20" s="255" t="s">
        <v>1574</v>
      </c>
      <c r="B20" s="210" t="s">
        <v>1575</v>
      </c>
      <c r="C20" s="232">
        <f ca="1">ROUND((C5+C19)*F20,0)</f>
        <v>408276</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7">
        <f ca="1">ROUND(SUM(C23:C25),0)</f>
        <v>1746445</v>
      </c>
      <c r="D22" s="235">
        <f ca="1">C26</f>
        <v>8.0000000000000004E-4</v>
      </c>
      <c r="E22" s="236" t="s">
        <v>1579</v>
      </c>
      <c r="F22" s="237">
        <f ca="1">'数据-取费表'!B40</f>
        <v>4.1499999999999995E-2</v>
      </c>
      <c r="G22" s="234" t="str">
        <f>IF('数据-取费表'!B22&lt;=1,"单利计息","复利计息")</f>
        <v>复利计息</v>
      </c>
    </row>
    <row r="23" spans="1:7" s="214" customFormat="1" ht="13.5" customHeight="1">
      <c r="A23" s="780" t="s">
        <v>1472</v>
      </c>
      <c r="B23" s="215" t="s">
        <v>1583</v>
      </c>
      <c r="C23" s="1128">
        <f ca="1">ROUND(IF('数据-取费表'!B22&lt;=1,C5*F22*'数据-取费表'!B22,C5*(POWER((1+F22),'数据-取费表'!B22)-1)),0)</f>
        <v>864751</v>
      </c>
      <c r="D23" s="238"/>
      <c r="E23" s="238"/>
      <c r="F23" s="239"/>
      <c r="G23" s="240" t="s">
        <v>1584</v>
      </c>
    </row>
    <row r="24" spans="1:7" s="214" customFormat="1" ht="13.5" customHeight="1">
      <c r="A24" s="780" t="s">
        <v>1474</v>
      </c>
      <c r="B24" s="215" t="s">
        <v>1585</v>
      </c>
      <c r="C24" s="1128">
        <f ca="1">ROUND(IF('数据-取费表'!B22&lt;=1,C19*F22*('数据-取费表'!B19/2+'数据-取费表'!B20),C19*(POWER((1+F22),('数据-取费表'!B19/2+'数据-取费表'!B20))-1)),0)</f>
        <v>864751</v>
      </c>
      <c r="D24" s="238"/>
      <c r="E24" s="238"/>
      <c r="F24" s="239"/>
      <c r="G24" s="240" t="s">
        <v>1586</v>
      </c>
    </row>
    <row r="25" spans="1:7" s="214" customFormat="1" ht="24">
      <c r="A25" s="780" t="s">
        <v>1476</v>
      </c>
      <c r="B25" s="215" t="s">
        <v>1587</v>
      </c>
      <c r="C25" s="1128">
        <f ca="1">ROUND(IF('数据-取费表'!B22&lt;=1,C20*F22*'数据-取费表'!B22/2,C20*(POWER((1+F22),'数据-取费表'!B22/2)-1)),0)</f>
        <v>16943</v>
      </c>
      <c r="D25" s="238"/>
      <c r="E25" s="241"/>
      <c r="F25" s="239"/>
      <c r="G25" s="242" t="s">
        <v>1588</v>
      </c>
    </row>
    <row r="26" spans="1:7" s="214" customFormat="1">
      <c r="A26" s="780" t="s">
        <v>350</v>
      </c>
      <c r="B26" s="215" t="s">
        <v>1511</v>
      </c>
      <c r="C26" s="238">
        <f ca="1">ROUND(IF('数据-取费表'!B22&lt;=1,F21*F22*'数据-取费表'!B22/2,F21*(POWER((1+F22),'数据-取费表'!B22/2)-1)),4)</f>
        <v>8.0000000000000004E-4</v>
      </c>
      <c r="D26" s="238"/>
      <c r="E26" s="241"/>
      <c r="F26" s="239"/>
      <c r="G26" s="243"/>
    </row>
    <row r="27" spans="1:7" s="214" customFormat="1" ht="24.75">
      <c r="A27" s="255" t="s">
        <v>1512</v>
      </c>
      <c r="B27" s="244" t="s">
        <v>1513</v>
      </c>
      <c r="C27" s="245">
        <f ca="1">C28</f>
        <v>3747971</v>
      </c>
      <c r="D27" s="235">
        <f ca="1">C29</f>
        <v>3.5999999999999999E-3</v>
      </c>
      <c r="E27" s="236" t="s">
        <v>1514</v>
      </c>
      <c r="F27" s="246">
        <f ca="1">IF(B1="",'数据-取费表'!Q16,INDIRECT("'数据-取费表'!q"&amp;$G$1))</f>
        <v>0.18</v>
      </c>
      <c r="G27" s="247" t="s">
        <v>1515</v>
      </c>
    </row>
    <row r="28" spans="1:7" s="214" customFormat="1" ht="13.5" customHeight="1">
      <c r="A28" s="780" t="s">
        <v>346</v>
      </c>
      <c r="B28" s="248" t="s">
        <v>1516</v>
      </c>
      <c r="C28" s="249">
        <f ca="1">ROUND((C5+C19+C20)*F27,0)</f>
        <v>3747971</v>
      </c>
      <c r="D28" s="235"/>
      <c r="E28" s="236"/>
      <c r="F28" s="246"/>
      <c r="G28" s="247"/>
    </row>
    <row r="29" spans="1:7" s="214" customFormat="1" ht="13.5" customHeight="1">
      <c r="A29" s="780" t="s">
        <v>347</v>
      </c>
      <c r="B29" s="248" t="s">
        <v>1517</v>
      </c>
      <c r="C29" s="238">
        <f ca="1">ROUND(C21*F27,4)</f>
        <v>3.5999999999999999E-3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28533531</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285383733</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258382010</v>
      </c>
      <c r="D34" s="217"/>
      <c r="E34" s="220"/>
      <c r="F34" s="257"/>
      <c r="G34" s="219"/>
    </row>
    <row r="35" spans="1:7" ht="13.5" customHeight="1">
      <c r="A35" s="780" t="s">
        <v>351</v>
      </c>
      <c r="B35" s="215" t="s">
        <v>1527</v>
      </c>
      <c r="C35" s="220">
        <f ca="1">ROUND(C34*F35,0)</f>
        <v>12919101</v>
      </c>
      <c r="D35" s="220"/>
      <c r="E35" s="220"/>
      <c r="F35" s="259">
        <f>'数据-取费表'!B33</f>
        <v>0.05</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0.05</v>
      </c>
      <c r="G36" s="260" t="s">
        <v>1530</v>
      </c>
    </row>
    <row r="37" spans="1:7" s="258" customFormat="1" ht="13.5" customHeight="1">
      <c r="A37" s="780" t="s">
        <v>353</v>
      </c>
      <c r="B37" s="215" t="s">
        <v>1531</v>
      </c>
      <c r="C37" s="249">
        <f ca="1">ROUND(E37*D37,0)</f>
        <v>10206892</v>
      </c>
      <c r="D37" s="217">
        <f ca="1">D19</f>
        <v>51034.460000000006</v>
      </c>
      <c r="E37" s="249">
        <f>'数据-取费表'!B35</f>
        <v>200</v>
      </c>
      <c r="F37" s="259"/>
      <c r="G37" s="261"/>
    </row>
    <row r="38" spans="1:7" ht="13.5" customHeight="1">
      <c r="A38" s="780" t="s">
        <v>354</v>
      </c>
      <c r="B38" s="215" t="s">
        <v>1533</v>
      </c>
      <c r="C38" s="220">
        <f ca="1">ROUND(C34*F38,0)</f>
        <v>3875730</v>
      </c>
      <c r="D38" s="220"/>
      <c r="E38" s="220"/>
      <c r="F38" s="259">
        <f>'数据-取费表'!B36</f>
        <v>1.4999999999999999E-2</v>
      </c>
      <c r="G38" s="219" t="s">
        <v>1528</v>
      </c>
    </row>
    <row r="39" spans="1:7" s="214" customFormat="1" ht="13.5" customHeight="1">
      <c r="A39" s="255" t="s">
        <v>1534</v>
      </c>
      <c r="B39" s="210" t="s">
        <v>1535</v>
      </c>
      <c r="C39" s="232">
        <f ca="1">ROUND(C33*F20,0)</f>
        <v>5707675</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12080294</v>
      </c>
      <c r="D41" s="235">
        <f ca="1">C44</f>
        <v>8.0000000000000004E-4</v>
      </c>
      <c r="E41" s="236" t="s">
        <v>1539</v>
      </c>
      <c r="F41" s="237">
        <f ca="1">F22</f>
        <v>4.1499999999999995E-2</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11843425</v>
      </c>
      <c r="D42" s="238"/>
      <c r="E42" s="238"/>
      <c r="F42" s="239"/>
      <c r="G42" s="3744" t="s">
        <v>1591</v>
      </c>
    </row>
    <row r="43" spans="1:7" ht="13.5" customHeight="1">
      <c r="A43" s="780" t="s">
        <v>347</v>
      </c>
      <c r="B43" s="215" t="s">
        <v>1545</v>
      </c>
      <c r="C43" s="238">
        <f ca="1">ROUND(IF('数据-取费表'!B22&lt;=1,C39*F22*'数据-取费表'!B20/2,C39*(POWER((1+F22),'数据-取费表'!B20/2)-1)),0)</f>
        <v>236869</v>
      </c>
      <c r="D43" s="238"/>
      <c r="E43" s="238"/>
      <c r="F43" s="239"/>
      <c r="G43" s="3745"/>
    </row>
    <row r="44" spans="1:7" ht="13.5" customHeight="1">
      <c r="A44" s="780" t="s">
        <v>348</v>
      </c>
      <c r="B44" s="215" t="s">
        <v>1546</v>
      </c>
      <c r="C44" s="238">
        <f ca="1">ROUND(IF('数据-取费表'!B22&lt;=1,C40*F22*'数据-取费表'!B20/2,C40*(POWER((1+F22),'数据-取费表'!B20/2)-1)),4)</f>
        <v>8.0000000000000004E-4</v>
      </c>
      <c r="D44" s="238"/>
      <c r="E44" s="238"/>
      <c r="F44" s="239"/>
      <c r="G44" s="3746"/>
    </row>
    <row r="45" spans="1:7" s="214" customFormat="1" ht="13.5" customHeight="1">
      <c r="A45" s="255" t="s">
        <v>1547</v>
      </c>
      <c r="B45" s="244" t="s">
        <v>1513</v>
      </c>
      <c r="C45" s="245">
        <f ca="1">C46</f>
        <v>52396453</v>
      </c>
      <c r="D45" s="235">
        <f ca="1">C47</f>
        <v>3.5999999999999999E-3</v>
      </c>
      <c r="E45" s="236" t="s">
        <v>1539</v>
      </c>
      <c r="F45" s="246">
        <f ca="1">F27</f>
        <v>0.18</v>
      </c>
      <c r="G45" s="247" t="s">
        <v>1548</v>
      </c>
    </row>
    <row r="46" spans="1:7" s="214" customFormat="1" ht="13.5" customHeight="1">
      <c r="A46" s="780" t="s">
        <v>346</v>
      </c>
      <c r="B46" s="248" t="s">
        <v>1549</v>
      </c>
      <c r="C46" s="249">
        <f ca="1">ROUND((C33+C39)*F27,0)</f>
        <v>52396453</v>
      </c>
      <c r="D46" s="263"/>
      <c r="E46" s="236"/>
      <c r="F46" s="246"/>
      <c r="G46" s="247"/>
    </row>
    <row r="47" spans="1:7" s="214" customFormat="1" ht="13.5" customHeight="1">
      <c r="A47" s="780" t="s">
        <v>347</v>
      </c>
      <c r="B47" s="248" t="s">
        <v>1550</v>
      </c>
      <c r="C47" s="238">
        <f ca="1">ROUND(C40*F27,4)</f>
        <v>3.5999999999999999E-3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385523317</v>
      </c>
      <c r="D49" s="232"/>
      <c r="E49" s="232"/>
      <c r="F49" s="264"/>
      <c r="G49" s="234" t="s">
        <v>1554</v>
      </c>
    </row>
    <row r="50" spans="1:7" s="258" customFormat="1">
      <c r="A50" s="255" t="s">
        <v>1555</v>
      </c>
      <c r="B50" s="210" t="s">
        <v>1556</v>
      </c>
      <c r="C50" s="232"/>
      <c r="D50" s="232"/>
      <c r="E50" s="232"/>
      <c r="F50" s="264">
        <f>IF('数据-取费表'!B24=0,'数据-取费表'!N16,1)</f>
        <v>0.88</v>
      </c>
      <c r="G50" s="247"/>
    </row>
    <row r="51" spans="1:7" ht="16.5" customHeight="1">
      <c r="A51" s="255" t="s">
        <v>1558</v>
      </c>
      <c r="B51" s="210" t="s">
        <v>1593</v>
      </c>
      <c r="C51" s="232">
        <f ca="1">ROUND(C49*F50,0)</f>
        <v>339260519</v>
      </c>
      <c r="D51" s="232"/>
      <c r="E51" s="232"/>
      <c r="F51" s="264"/>
      <c r="G51" s="234" t="s">
        <v>1560</v>
      </c>
    </row>
    <row r="52" spans="1:7" s="208" customFormat="1" ht="16.5" thickBot="1">
      <c r="A52" s="265" t="s">
        <v>1561</v>
      </c>
      <c r="B52" s="266"/>
      <c r="C52" s="267">
        <f ca="1">C31+C51</f>
        <v>367794050</v>
      </c>
      <c r="D52" s="266"/>
      <c r="E52" s="266"/>
      <c r="F52" s="266"/>
      <c r="G52" s="268"/>
    </row>
    <row r="55" spans="1:7" ht="15">
      <c r="B55" s="270" t="s">
        <v>1562</v>
      </c>
      <c r="C55" s="271"/>
    </row>
    <row r="56" spans="1:7">
      <c r="B56" s="273" t="s">
        <v>802</v>
      </c>
      <c r="C56" s="275">
        <f ca="1">1-C57</f>
        <v>7.7999999999999958E-2</v>
      </c>
    </row>
    <row r="57" spans="1:7">
      <c r="B57" s="273" t="s">
        <v>803</v>
      </c>
      <c r="C57" s="274">
        <f ca="1">ROUND(C51/C52,3)</f>
        <v>0.92200000000000004</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1594</v>
      </c>
      <c r="B1" s="1191"/>
      <c r="C1" s="1192"/>
      <c r="D1" s="1190"/>
      <c r="E1" s="2805"/>
      <c r="F1" s="2805"/>
      <c r="G1" s="2670"/>
      <c r="H1" s="2805"/>
      <c r="I1" s="2805"/>
      <c r="J1" s="2805"/>
      <c r="K1" s="2806">
        <f>MATCH(C1,'数据-取费表'!A6:A16,0)+5</f>
        <v>8</v>
      </c>
    </row>
    <row r="2" spans="1:33" ht="18" customHeight="1">
      <c r="A2" s="201" t="s">
        <v>1462</v>
      </c>
      <c r="B2" s="204">
        <f ca="1">C32</f>
        <v>0</v>
      </c>
      <c r="C2" s="276" t="s">
        <v>1595</v>
      </c>
      <c r="D2" s="276"/>
      <c r="E2" s="2805"/>
      <c r="F2" s="2805"/>
      <c r="G2" s="2805"/>
      <c r="H2" s="2805"/>
      <c r="I2" s="2805"/>
      <c r="J2" s="2805"/>
      <c r="K2" s="2805"/>
    </row>
    <row r="3" spans="1:33" ht="18" customHeight="1" thickBot="1">
      <c r="A3" s="203" t="s">
        <v>1464</v>
      </c>
      <c r="B3" s="204">
        <f ca="1">ROUND(B2*10000/IF(C1="",'数据-汇总表'!E3,INDIRECT("'数据-取费表'!K"&amp;$K$1)),0)</f>
        <v>0</v>
      </c>
      <c r="C3" s="276" t="s">
        <v>1596</v>
      </c>
      <c r="D3" s="276"/>
      <c r="E3" s="2805"/>
      <c r="F3" s="2805"/>
      <c r="G3" s="2805"/>
      <c r="H3" s="2805"/>
      <c r="I3" s="2805"/>
      <c r="J3" s="2805"/>
      <c r="K3" s="2805"/>
    </row>
    <row r="4" spans="1:33" s="785" customFormat="1" ht="16.5" customHeight="1">
      <c r="A4" s="782" t="s">
        <v>1597</v>
      </c>
      <c r="B4" s="783"/>
      <c r="C4" s="824">
        <f>SUM(C8:K8)</f>
        <v>0</v>
      </c>
      <c r="D4" s="783"/>
      <c r="E4" s="783"/>
      <c r="F4" s="783"/>
      <c r="G4" s="783"/>
      <c r="H4" s="783"/>
      <c r="I4" s="783"/>
      <c r="J4" s="783"/>
      <c r="K4" s="784"/>
    </row>
    <row r="5" spans="1:33" s="789" customFormat="1" ht="15">
      <c r="A5" s="786" t="s">
        <v>1598</v>
      </c>
      <c r="B5" s="787" t="s">
        <v>1599</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0.05</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0.05</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51034.460000000006</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1.4999999999999999E-2</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51034.460000000006</v>
      </c>
      <c r="E17" s="21">
        <f>'数据-取费表'!B32</f>
        <v>0</v>
      </c>
      <c r="F17" s="806"/>
      <c r="G17" s="131" t="s">
        <v>1623</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0</v>
      </c>
      <c r="D18" s="846"/>
      <c r="E18" s="21"/>
      <c r="F18" s="804"/>
      <c r="G18" s="1862"/>
      <c r="H18" s="1187"/>
      <c r="I18" s="1863"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160</v>
      </c>
      <c r="F19" s="804"/>
      <c r="G19" s="12"/>
      <c r="H19" s="1189"/>
      <c r="I19" s="809"/>
      <c r="J19" s="809"/>
      <c r="K19" s="810"/>
    </row>
    <row r="20" spans="1:33" s="803" customFormat="1" ht="13.5" customHeight="1">
      <c r="A20" s="800" t="s">
        <v>361</v>
      </c>
      <c r="B20" s="801" t="s">
        <v>1627</v>
      </c>
      <c r="C20" s="21">
        <f ca="1">ROUND(D20*E20/10000,0)</f>
        <v>1021</v>
      </c>
      <c r="D20" s="846">
        <f ca="1">IF(C1="",'数据-汇总表'!E6,IF(INDIRECT("'数据-取费表'!c"&amp;$K$1)="住宅",INDIRECT("'数据-取费表'!s"&amp;$K$1),INDIRECT("'数据-取费表'!k"&amp;$K$1)+INDIRECT("'数据-取费表'!s"&amp;$K$1)))</f>
        <v>51034.460000000006</v>
      </c>
      <c r="E20" s="21">
        <f>'数据-取费表'!B28</f>
        <v>200</v>
      </c>
      <c r="F20" s="804"/>
      <c r="G20" s="12"/>
      <c r="H20" s="809"/>
      <c r="I20" s="809"/>
      <c r="J20" s="809"/>
      <c r="K20" s="810"/>
    </row>
    <row r="21" spans="1:33" s="803" customFormat="1" ht="13.5" customHeight="1">
      <c r="A21" s="790" t="s">
        <v>357</v>
      </c>
      <c r="B21" s="813" t="s">
        <v>1628</v>
      </c>
      <c r="C21" s="814">
        <f ca="1">C16+C17+C18</f>
        <v>0</v>
      </c>
      <c r="D21" s="815"/>
      <c r="E21" s="281"/>
      <c r="F21" s="281"/>
      <c r="G21" s="131" t="s">
        <v>1629</v>
      </c>
      <c r="H21" s="807"/>
      <c r="I21" s="807"/>
      <c r="J21" s="807"/>
      <c r="K21" s="808"/>
    </row>
    <row r="22" spans="1:33" s="803" customFormat="1" ht="13.5" customHeight="1">
      <c r="A22" s="790" t="s">
        <v>1601</v>
      </c>
      <c r="B22" s="813" t="s">
        <v>1630</v>
      </c>
      <c r="C22" s="814">
        <f ca="1">ROUND(C21*F22,0)</f>
        <v>0</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6">
        <f ca="1">C27</f>
        <v>0</v>
      </c>
      <c r="D25" s="280">
        <f ca="1">C26</f>
        <v>0</v>
      </c>
      <c r="E25" s="282" t="s">
        <v>12</v>
      </c>
      <c r="F25" s="283">
        <f ca="1">'数据-取费表'!B40</f>
        <v>4.1499999999999995E-2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1641</v>
      </c>
      <c r="B28" s="1865" t="s">
        <v>1642</v>
      </c>
      <c r="C28" s="287">
        <f ca="1">C30</f>
        <v>0</v>
      </c>
      <c r="D28" s="280">
        <f ca="1">C29</f>
        <v>0</v>
      </c>
      <c r="E28" s="282" t="s">
        <v>12</v>
      </c>
      <c r="F28" s="288">
        <f ca="1">IF(C1="",'数据-取费表'!Q16,INDIRECT("'数据-取费表'!q"&amp;$K$1))</f>
        <v>0.18</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0</v>
      </c>
      <c r="D30" s="284"/>
      <c r="E30" s="285"/>
      <c r="F30" s="290"/>
      <c r="G30" s="131"/>
      <c r="H30" s="807"/>
      <c r="I30" s="807"/>
      <c r="J30" s="807"/>
      <c r="K30" s="808"/>
    </row>
    <row r="31" spans="1:33" s="803" customFormat="1" ht="13.5" customHeight="1" thickBot="1">
      <c r="A31" s="1866" t="s">
        <v>1646</v>
      </c>
      <c r="B31" s="833" t="s">
        <v>1647</v>
      </c>
      <c r="C31" s="834">
        <f>ROUND(C4*F31/(1+'数据-取费表'!C42),0)</f>
        <v>0</v>
      </c>
      <c r="D31" s="835"/>
      <c r="E31" s="836"/>
      <c r="F31" s="837">
        <f>'数据-取费表'!B41</f>
        <v>5.6000000000000001E-2</v>
      </c>
      <c r="G31" s="838" t="s">
        <v>1648</v>
      </c>
      <c r="H31" s="839"/>
      <c r="I31" s="839"/>
      <c r="J31" s="839"/>
      <c r="K31" s="840"/>
    </row>
    <row r="32" spans="1:33" s="799" customFormat="1" ht="13.5" customHeight="1" thickBot="1">
      <c r="A32" s="828" t="s">
        <v>1649</v>
      </c>
      <c r="B32" s="829"/>
      <c r="C32" s="830">
        <f ca="1">ROUND((C4-C21-C22-C23-C25-C28-C31)/(1+C24+D25+D28),0)</f>
        <v>0</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6" zoomScaleNormal="80" zoomScaleSheetLayoutView="100" workbookViewId="0">
      <selection activeCell="D21" sqref="D21"/>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1926</v>
      </c>
      <c r="B1" s="197"/>
      <c r="C1" s="201" t="s">
        <v>1927</v>
      </c>
      <c r="D1" s="342">
        <f>SUM(D33:D34,D37:D42)</f>
        <v>51034.460000000006</v>
      </c>
      <c r="E1" s="1995"/>
      <c r="F1" s="1995"/>
      <c r="G1" s="1995"/>
      <c r="H1" s="1995"/>
      <c r="I1" s="1995"/>
      <c r="J1" s="1995"/>
      <c r="K1" s="1119"/>
      <c r="L1" s="1996" t="s">
        <v>1928</v>
      </c>
      <c r="M1" s="863">
        <f>SUMPRODUCT((区片价!B5:B9=I2)*(区片价!C3:G3=E2)*(区片价!C5:G9))</f>
        <v>0</v>
      </c>
      <c r="N1" s="866">
        <f>SUMPRODUCT((因素修正幅度!B5:B9=I2)*(因素修正幅度!C3:G3=E2)*(因素修正幅度!C5:G9))</f>
        <v>0</v>
      </c>
      <c r="O1" s="1997"/>
      <c r="P1" s="1997"/>
      <c r="Q1" s="1119"/>
      <c r="R1" s="1212" t="s">
        <v>1929</v>
      </c>
      <c r="S1" s="1212" t="s">
        <v>1930</v>
      </c>
      <c r="T1" s="1212" t="s">
        <v>1931</v>
      </c>
      <c r="U1" s="1212" t="s">
        <v>1932</v>
      </c>
      <c r="V1" s="1212" t="s">
        <v>1933</v>
      </c>
      <c r="W1" s="1216"/>
      <c r="X1" s="1216"/>
      <c r="Y1" s="1216"/>
      <c r="Z1" s="1216"/>
      <c r="AA1" s="1216"/>
      <c r="AB1" s="1216"/>
      <c r="AC1" s="1217"/>
      <c r="AD1" s="1218"/>
      <c r="AE1" s="1218"/>
      <c r="AF1" s="1218"/>
      <c r="AG1" s="1218"/>
      <c r="AH1" s="1218"/>
      <c r="AI1" s="1218"/>
      <c r="AJ1" s="1219"/>
    </row>
    <row r="2" spans="1:36" ht="15.75">
      <c r="A2" s="201" t="s">
        <v>1934</v>
      </c>
      <c r="B2" s="204">
        <f>C30</f>
        <v>71579</v>
      </c>
      <c r="C2" s="1999" t="s">
        <v>1935</v>
      </c>
      <c r="D2" s="2000" t="s">
        <v>1936</v>
      </c>
      <c r="E2" s="3421" t="s">
        <v>673</v>
      </c>
      <c r="F2" s="2000" t="s">
        <v>1937</v>
      </c>
      <c r="G2" s="2001" t="str">
        <f>IF(E2="商业",项目基本情况!B37,IF(E2="办公",项目基本情况!C37,IF(E2="住宅",项目基本情况!D37,IF(E2="工业",项目基本情况!E37,项目基本情况!F37))))</f>
        <v>三级</v>
      </c>
      <c r="H2" s="2000" t="s">
        <v>1938</v>
      </c>
      <c r="I2" s="2001" t="str">
        <f>IF(E2="商业",项目基本情况!B38,IF(E2="办公",项目基本情况!C38,IF(E2="住宅",项目基本情况!D38,IF(E2="工业",项目基本情况!E38,项目基本情况!F38))))</f>
        <v>Ⅲ—22</v>
      </c>
      <c r="J2" s="2002"/>
      <c r="K2" s="1119"/>
      <c r="L2" s="2003" t="s">
        <v>1939</v>
      </c>
      <c r="M2" s="864">
        <f>SUMPRODUCT((区片价!B10:B29=I2)*(区片价!C3:G3=E2)*(区片价!C10:G29))</f>
        <v>0</v>
      </c>
      <c r="N2" s="866">
        <f>SUMPRODUCT((因素修正幅度!B10:B29=I2)*(因素修正幅度!C3:G3=E2)*(因素修正幅度!C10:G29))</f>
        <v>0</v>
      </c>
      <c r="O2" s="1119"/>
      <c r="P2" s="1119"/>
      <c r="Q2" s="1119"/>
      <c r="R2" s="1212">
        <v>1</v>
      </c>
      <c r="S2" s="3360">
        <f>ROUND(SUMPRODUCT((B106:B110=R2)*(C105:N105=G2)*(C106:N110)),4)</f>
        <v>1.5019</v>
      </c>
      <c r="T2" s="3360">
        <f t="shared" ref="T2:T16" si="0">ROUND($C$5*$C$22*$C$23*$C$24*S2*$C$28,0)</f>
        <v>29004</v>
      </c>
      <c r="U2" s="1213">
        <v>5849.01</v>
      </c>
      <c r="V2" s="3360">
        <f>ROUND(T2*U2/10000,0)</f>
        <v>16964</v>
      </c>
      <c r="W2" s="1216"/>
      <c r="X2" s="1216"/>
      <c r="Y2" s="1216"/>
      <c r="Z2" s="1216"/>
      <c r="AA2" s="1216"/>
      <c r="AB2" s="1216"/>
      <c r="AC2" s="1217"/>
      <c r="AD2" s="1218"/>
      <c r="AE2" s="1218"/>
      <c r="AF2" s="1218"/>
      <c r="AG2" s="1218"/>
      <c r="AH2" s="1218"/>
      <c r="AI2" s="1218"/>
      <c r="AJ2" s="1219"/>
    </row>
    <row r="3" spans="1:36" ht="15.75">
      <c r="A3" s="203" t="s">
        <v>1940</v>
      </c>
      <c r="B3" s="204">
        <f>ROUND(B2*10000/D1,0)</f>
        <v>14026</v>
      </c>
      <c r="C3" s="1999" t="s">
        <v>1941</v>
      </c>
      <c r="D3" s="2000" t="s">
        <v>1942</v>
      </c>
      <c r="E3" s="3419" t="s">
        <v>2442</v>
      </c>
      <c r="F3" s="2004" t="s">
        <v>3416</v>
      </c>
      <c r="G3" s="752">
        <f>IF(F3="宗地容积率",'数据-汇总表'!I4,IF(F3="估价对象容积率",'数据-汇总表'!I6,'数据-汇总表'!I7))</f>
        <v>2.65</v>
      </c>
      <c r="H3" s="170" t="s">
        <v>1943</v>
      </c>
      <c r="I3" s="775">
        <v>5</v>
      </c>
      <c r="J3" s="2002" t="s">
        <v>1944</v>
      </c>
      <c r="K3" s="1119"/>
      <c r="L3" s="2003" t="s">
        <v>1945</v>
      </c>
      <c r="M3" s="864">
        <f>SUMPRODUCT((区片价!B30:B54=I2)*(区片价!C3:G3=E2)*(区片价!C30:G54))</f>
        <v>23000</v>
      </c>
      <c r="N3" s="866">
        <f>SUMPRODUCT((因素修正幅度!B30:B54=I2)*(因素修正幅度!C3:G3=E2)*(因素修正幅度!C30:G54))</f>
        <v>9.9000000000000005E-2</v>
      </c>
      <c r="O3" s="1119"/>
      <c r="P3" s="1119"/>
      <c r="Q3" s="1119"/>
      <c r="R3" s="1212">
        <v>2</v>
      </c>
      <c r="S3" s="3360">
        <f>ROUND(SUMPRODUCT((B106:B110=R3)*(C105:N105=G2)*(C106:N110)),4)</f>
        <v>1.1838</v>
      </c>
      <c r="T3" s="3360">
        <f t="shared" si="0"/>
        <v>22861</v>
      </c>
      <c r="U3" s="1213">
        <v>5518.99</v>
      </c>
      <c r="V3" s="3360">
        <f t="shared" ref="V3:V16" si="1">ROUND(T3*U3/10000,0)</f>
        <v>12617</v>
      </c>
      <c r="W3" s="1216"/>
      <c r="X3" s="1216"/>
      <c r="Y3" s="1216"/>
      <c r="Z3" s="1216"/>
      <c r="AA3" s="1216"/>
      <c r="AB3" s="1216"/>
      <c r="AC3" s="1217"/>
      <c r="AD3" s="1218"/>
      <c r="AE3" s="1218"/>
      <c r="AF3" s="1218"/>
      <c r="AG3" s="1218"/>
      <c r="AH3" s="1218"/>
      <c r="AI3" s="1218"/>
      <c r="AJ3" s="1219"/>
    </row>
    <row r="4" spans="1:36" ht="15.75">
      <c r="A4" s="3754"/>
      <c r="B4" s="3755"/>
      <c r="C4" s="3755"/>
      <c r="D4" s="3756"/>
      <c r="E4" s="3756"/>
      <c r="F4" s="3756"/>
      <c r="G4" s="3756"/>
      <c r="H4" s="3756"/>
      <c r="I4" s="3756"/>
      <c r="J4" s="3757"/>
      <c r="K4" s="1119"/>
      <c r="L4" s="2003" t="s">
        <v>1946</v>
      </c>
      <c r="M4" s="864">
        <f>SUMPRODUCT((区片价!B55:B86=I2)*(区片价!C3:G3=E2)*(区片价!C55:G86))</f>
        <v>0</v>
      </c>
      <c r="N4" s="866">
        <f>SUMPRODUCT((因素修正幅度!B55:B86=I2)*(因素修正幅度!C3:G3=E2)*(因素修正幅度!C55:G86))</f>
        <v>0</v>
      </c>
      <c r="O4" s="1119"/>
      <c r="P4" s="1119"/>
      <c r="Q4" s="1119"/>
      <c r="R4" s="1212">
        <v>3</v>
      </c>
      <c r="S4" s="3360">
        <f>ROUND(SUMPRODUCT((B106:B110=R4)*(C105:N105=G2)*(C106:N110)),4)</f>
        <v>1.0004999999999999</v>
      </c>
      <c r="T4" s="3360">
        <f t="shared" si="0"/>
        <v>19321</v>
      </c>
      <c r="U4" s="1213">
        <v>7490.3700000000008</v>
      </c>
      <c r="V4" s="3360">
        <f t="shared" si="1"/>
        <v>14472</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1947</v>
      </c>
      <c r="C5" s="753">
        <f>ROUND(IF(E2="商业",C6*C7*C17+C20,(IF(E2="住宅",C6*C13*C17+C20,IF(E2="办公",C6*C12*C17+C20,C6+C20)))),0)</f>
        <v>23000</v>
      </c>
      <c r="D5" s="1339">
        <f>ROUND(C6*C17+C20,0)</f>
        <v>23000</v>
      </c>
      <c r="E5" s="1339"/>
      <c r="F5" s="2007"/>
      <c r="G5" s="2008"/>
      <c r="H5" s="2008"/>
      <c r="I5" s="2008"/>
      <c r="J5" s="2009"/>
      <c r="K5" s="2010"/>
      <c r="L5" s="2003" t="s">
        <v>1948</v>
      </c>
      <c r="M5" s="864">
        <f>SUMPRODUCT((区片价!B87:B126=I2)*(区片价!C3:G3=E2)*(区片价!C87:G126))</f>
        <v>0</v>
      </c>
      <c r="N5" s="866">
        <f>SUMPRODUCT((因素修正幅度!B87:B126=I2)*(因素修正幅度!C3:G3=E2)*(因素修正幅度!C87:G126))</f>
        <v>0</v>
      </c>
      <c r="O5" s="1119"/>
      <c r="P5" s="1119"/>
      <c r="Q5" s="1119"/>
      <c r="R5" s="1212">
        <v>4</v>
      </c>
      <c r="S5" s="3360">
        <f>ROUND(SUMPRODUCT((B106:B110=R5)*(C105:N105=G2)*(C106:N110)),4)</f>
        <v>0.88239999999999996</v>
      </c>
      <c r="T5" s="3360">
        <f t="shared" si="0"/>
        <v>17041</v>
      </c>
      <c r="U5" s="1213">
        <v>5896.01</v>
      </c>
      <c r="V5" s="3360">
        <f t="shared" si="1"/>
        <v>10047</v>
      </c>
      <c r="W5" s="1216"/>
      <c r="X5" s="1216"/>
      <c r="Y5" s="1216"/>
      <c r="Z5" s="1216"/>
      <c r="AA5" s="1216"/>
      <c r="AB5" s="1216"/>
      <c r="AC5" s="2011"/>
      <c r="AD5" s="2012"/>
      <c r="AE5" s="2012"/>
      <c r="AF5" s="2012"/>
      <c r="AG5" s="2012"/>
      <c r="AH5" s="2012"/>
      <c r="AI5" s="2012"/>
      <c r="AJ5" s="2013"/>
    </row>
    <row r="6" spans="1:36" ht="15.75" thickBot="1">
      <c r="A6" s="2015" t="s">
        <v>1949</v>
      </c>
      <c r="B6" s="2016" t="s">
        <v>1950</v>
      </c>
      <c r="C6" s="754">
        <f>SUMIF(L1:L12,G2,M1:M12)</f>
        <v>23000</v>
      </c>
      <c r="D6" s="2017"/>
      <c r="E6" s="2018"/>
      <c r="F6" s="2018"/>
      <c r="G6" s="2019"/>
      <c r="H6" s="2019"/>
      <c r="I6" s="2019"/>
      <c r="J6" s="2020"/>
      <c r="K6" s="1384"/>
      <c r="L6" s="2003" t="s">
        <v>1951</v>
      </c>
      <c r="M6" s="864">
        <f>SUMPRODUCT((区片价!B127:B189=I2)*(区片价!C3:G3=E2)*(区片价!C127:G189))</f>
        <v>0</v>
      </c>
      <c r="N6" s="866">
        <f>SUMPRODUCT((因素修正幅度!B127:B189=I2)*(因素修正幅度!C3:G3=E2)*(因素修正幅度!C127:G189))</f>
        <v>0</v>
      </c>
      <c r="O6" s="1119"/>
      <c r="P6" s="1119"/>
      <c r="Q6" s="1119"/>
      <c r="R6" s="1212">
        <v>5</v>
      </c>
      <c r="S6" s="3360">
        <f>ROUND(SUMPRODUCT((B106:B110=R6)*(C105:N105=G2)*(C106:N110)),4)</f>
        <v>0.84799999999999998</v>
      </c>
      <c r="T6" s="3360">
        <f t="shared" si="0"/>
        <v>16376</v>
      </c>
      <c r="U6" s="1213">
        <v>6787.45</v>
      </c>
      <c r="V6" s="3360">
        <f t="shared" si="1"/>
        <v>11115</v>
      </c>
      <c r="W6" s="1216"/>
      <c r="X6" s="1216"/>
      <c r="Y6" s="1216"/>
      <c r="Z6" s="1216"/>
      <c r="AA6" s="1216"/>
      <c r="AB6" s="1216"/>
      <c r="AC6" s="2011"/>
      <c r="AD6" s="2012"/>
      <c r="AE6" s="2012"/>
      <c r="AF6" s="2012"/>
      <c r="AG6" s="2012"/>
      <c r="AH6" s="2012"/>
      <c r="AI6" s="2012"/>
      <c r="AJ6" s="2013"/>
    </row>
    <row r="7" spans="1:36" ht="24.75" thickBot="1">
      <c r="A7" s="3303" t="s">
        <v>3244</v>
      </c>
      <c r="B7" s="2021" t="s">
        <v>1952</v>
      </c>
      <c r="C7" s="755">
        <f>IF(C8="不临65条商业街",1,ROUND(1+(1.6*E8+1.2*E9+0.8*E10+0.4*E11)*C9,4))</f>
        <v>1</v>
      </c>
      <c r="D7" s="2022" t="s">
        <v>1953</v>
      </c>
      <c r="E7" s="776"/>
      <c r="F7" s="2023"/>
      <c r="G7" s="2024"/>
      <c r="H7" s="2024"/>
      <c r="I7" s="2024"/>
      <c r="J7" s="2025"/>
      <c r="K7" s="1384"/>
      <c r="L7" s="2003" t="s">
        <v>1954</v>
      </c>
      <c r="M7" s="864">
        <f>SUMPRODUCT((区片价!B190:B233=I2)*(区片价!C3:G3=E2)*(区片价!C190:G233))</f>
        <v>0</v>
      </c>
      <c r="N7" s="866">
        <f>SUMPRODUCT((因素修正幅度!B190:B233=I2)*(因素修正幅度!C3:G3=E2)*(因素修正幅度!C190:G233))</f>
        <v>0</v>
      </c>
      <c r="O7" s="1119"/>
      <c r="P7" s="1119"/>
      <c r="Q7" s="1119"/>
      <c r="R7" s="1212">
        <v>6</v>
      </c>
      <c r="S7" s="3418">
        <v>0.83850000000000002</v>
      </c>
      <c r="T7" s="3360">
        <f t="shared" si="0"/>
        <v>16193</v>
      </c>
      <c r="U7" s="1213"/>
      <c r="V7" s="3360">
        <f t="shared" si="1"/>
        <v>0</v>
      </c>
      <c r="W7" s="1358" t="s">
        <v>1955</v>
      </c>
      <c r="X7" s="1214" t="str">
        <f>G2</f>
        <v>三级</v>
      </c>
      <c r="Y7" s="1214" t="s">
        <v>1956</v>
      </c>
      <c r="Z7" s="1215">
        <f>G3</f>
        <v>2.65</v>
      </c>
      <c r="AA7" s="1216"/>
      <c r="AB7" s="1216"/>
      <c r="AC7" s="1217"/>
      <c r="AD7" s="1218"/>
      <c r="AE7" s="1218"/>
      <c r="AF7" s="1218"/>
      <c r="AG7" s="1218"/>
      <c r="AH7" s="1218"/>
      <c r="AI7" s="1218"/>
      <c r="AJ7" s="1219"/>
    </row>
    <row r="8" spans="1:36" ht="25.5">
      <c r="A8" s="3298"/>
      <c r="B8" s="170" t="s">
        <v>1957</v>
      </c>
      <c r="C8" s="2026" t="s">
        <v>3417</v>
      </c>
      <c r="D8" s="756" t="s">
        <v>112</v>
      </c>
      <c r="E8" s="757" t="e">
        <f>ROUND(C11/E7,4)</f>
        <v>#DIV/0!</v>
      </c>
      <c r="F8" s="2027" t="s">
        <v>1958</v>
      </c>
      <c r="G8" s="2028"/>
      <c r="H8" s="2028"/>
      <c r="I8" s="2028"/>
      <c r="J8" s="2029"/>
      <c r="K8" s="1119"/>
      <c r="L8" s="2003" t="s">
        <v>1959</v>
      </c>
      <c r="M8" s="864">
        <f>SUMPRODUCT((区片价!B234:B276=I2)*(区片价!C3:G3=E2)*(区片价!C234:G276))</f>
        <v>0</v>
      </c>
      <c r="N8" s="866">
        <f>SUMPRODUCT((因素修正幅度!B234:B276=I2)*(因素修正幅度!C3:G3=E2)*(因素修正幅度!C234:G276))</f>
        <v>0</v>
      </c>
      <c r="O8" s="1119"/>
      <c r="P8" s="1119"/>
      <c r="Q8" s="1119"/>
      <c r="R8" s="1212">
        <v>7</v>
      </c>
      <c r="S8" s="1213"/>
      <c r="T8" s="3360">
        <f t="shared" si="0"/>
        <v>0</v>
      </c>
      <c r="U8" s="1213"/>
      <c r="V8" s="3360">
        <f t="shared" si="1"/>
        <v>0</v>
      </c>
      <c r="W8" s="3751" t="s">
        <v>1960</v>
      </c>
      <c r="X8" s="3752"/>
      <c r="Y8" s="1220" t="s">
        <v>1961</v>
      </c>
      <c r="Z8" s="1220" t="s">
        <v>1962</v>
      </c>
      <c r="AA8" s="1220" t="s">
        <v>1963</v>
      </c>
      <c r="AB8" s="1220" t="s">
        <v>1964</v>
      </c>
      <c r="AC8" s="1220" t="s">
        <v>1965</v>
      </c>
      <c r="AD8" s="1220" t="s">
        <v>1966</v>
      </c>
      <c r="AE8" s="1220" t="s">
        <v>1967</v>
      </c>
      <c r="AF8" s="1220" t="s">
        <v>1968</v>
      </c>
      <c r="AG8" s="1220" t="s">
        <v>1969</v>
      </c>
      <c r="AH8" s="1220" t="s">
        <v>1970</v>
      </c>
      <c r="AI8" s="1220" t="s">
        <v>1971</v>
      </c>
      <c r="AJ8" s="1220" t="s">
        <v>1972</v>
      </c>
    </row>
    <row r="9" spans="1:36" ht="15">
      <c r="A9" s="3298"/>
      <c r="B9" s="170" t="s">
        <v>1973</v>
      </c>
      <c r="C9" s="758">
        <f>SUMIF(修正!C71:C138,C8,修正!E71:E138)</f>
        <v>0</v>
      </c>
      <c r="D9" s="171" t="s">
        <v>113</v>
      </c>
      <c r="E9" s="171" t="e">
        <f>ROUND(C11/E7,4)</f>
        <v>#DIV/0!</v>
      </c>
      <c r="F9" s="2027" t="s">
        <v>1974</v>
      </c>
      <c r="G9" s="2028"/>
      <c r="H9" s="2028"/>
      <c r="I9" s="2028"/>
      <c r="J9" s="2029"/>
      <c r="K9" s="1119"/>
      <c r="L9" s="2003" t="s">
        <v>1975</v>
      </c>
      <c r="M9" s="864">
        <f>SUMPRODUCT((区片价!B277:B326=I2)*(区片价!C3:G3=E2)*(区片价!C277:G326))</f>
        <v>0</v>
      </c>
      <c r="N9" s="866">
        <f>SUMPRODUCT((因素修正幅度!B277:B326=I2)*(因素修正幅度!C3:G3=E2)*(因素修正幅度!C277:G326))</f>
        <v>0</v>
      </c>
      <c r="O9" s="1119"/>
      <c r="P9" s="1119"/>
      <c r="Q9" s="1119"/>
      <c r="R9" s="1212">
        <v>8</v>
      </c>
      <c r="S9" s="1213"/>
      <c r="T9" s="3360">
        <f t="shared" si="0"/>
        <v>0</v>
      </c>
      <c r="U9" s="1213"/>
      <c r="V9" s="3360">
        <f t="shared" si="1"/>
        <v>0</v>
      </c>
      <c r="W9" s="3753"/>
      <c r="X9" s="3361" t="s">
        <v>3275</v>
      </c>
      <c r="Y9" s="3362">
        <v>6</v>
      </c>
      <c r="Z9" s="3363">
        <f>$Y$9</f>
        <v>6</v>
      </c>
      <c r="AA9" s="3363">
        <f t="shared" ref="AA9:AJ9" si="2">$Y$9</f>
        <v>6</v>
      </c>
      <c r="AB9" s="3363">
        <f t="shared" si="2"/>
        <v>6</v>
      </c>
      <c r="AC9" s="3363">
        <f t="shared" si="2"/>
        <v>6</v>
      </c>
      <c r="AD9" s="3363">
        <f t="shared" si="2"/>
        <v>6</v>
      </c>
      <c r="AE9" s="3363">
        <f t="shared" si="2"/>
        <v>6</v>
      </c>
      <c r="AF9" s="3363">
        <f t="shared" si="2"/>
        <v>6</v>
      </c>
      <c r="AG9" s="3363">
        <f t="shared" si="2"/>
        <v>6</v>
      </c>
      <c r="AH9" s="3363">
        <f t="shared" si="2"/>
        <v>6</v>
      </c>
      <c r="AI9" s="3363">
        <f t="shared" si="2"/>
        <v>6</v>
      </c>
      <c r="AJ9" s="3363">
        <f t="shared" si="2"/>
        <v>6</v>
      </c>
    </row>
    <row r="10" spans="1:36" ht="15">
      <c r="A10" s="3298"/>
      <c r="B10" s="170" t="s">
        <v>1976</v>
      </c>
      <c r="C10" s="171">
        <f>SUMIF(修正!C71:C138,C8,修正!F71:F138)</f>
        <v>0</v>
      </c>
      <c r="D10" s="171" t="s">
        <v>114</v>
      </c>
      <c r="E10" s="171" t="e">
        <f>ROUND(C11/E7,4)</f>
        <v>#DIV/0!</v>
      </c>
      <c r="F10" s="2027" t="s">
        <v>1977</v>
      </c>
      <c r="G10" s="2028"/>
      <c r="H10" s="2028"/>
      <c r="I10" s="2028"/>
      <c r="J10" s="2029"/>
      <c r="K10" s="1119"/>
      <c r="L10" s="2003" t="s">
        <v>1978</v>
      </c>
      <c r="M10" s="864">
        <f>SUMPRODUCT((区片价!B327:B357=I2)*(区片价!C3:G3=E2)*(区片价!C327:G357))</f>
        <v>0</v>
      </c>
      <c r="N10" s="866">
        <f>SUMPRODUCT((因素修正幅度!B327:B357=I2)*(因素修正幅度!C3:G3=E2)*(因素修正幅度!C327:G357))</f>
        <v>0</v>
      </c>
      <c r="O10" s="1119"/>
      <c r="P10" s="1119"/>
      <c r="Q10" s="1119"/>
      <c r="R10" s="1212">
        <v>9</v>
      </c>
      <c r="S10" s="1213"/>
      <c r="T10" s="3360">
        <f t="shared" si="0"/>
        <v>0</v>
      </c>
      <c r="U10" s="1213"/>
      <c r="V10" s="3360">
        <f t="shared" si="1"/>
        <v>0</v>
      </c>
      <c r="W10" s="3753"/>
      <c r="X10" s="3361">
        <v>6</v>
      </c>
      <c r="Y10" s="3364">
        <f>ROUND((-0.5556*(Y9^2)-0.2719*Y9+8944)*(10^(-4)),4)</f>
        <v>0.89219999999999999</v>
      </c>
      <c r="Z10" s="3364">
        <f>ROUND((-0.5556*(Z9^2)-0.2719*Z9+8944)*(10^(-4)),4)</f>
        <v>0.89219999999999999</v>
      </c>
      <c r="AA10" s="3364">
        <f>ROUND((-0.7912*(AA9^2)-11.3794*AA9+8482)*(10^(-4)),4)</f>
        <v>0.83850000000000002</v>
      </c>
      <c r="AB10" s="3364">
        <f>ROUND((-0.7912*(AB9^2)-11.3794*AB9+8482)*(10^(-4)),4)</f>
        <v>0.83850000000000002</v>
      </c>
      <c r="AC10" s="3364">
        <f>ROUND((-0.7912*(AC9^2)-11.3794*AC9+8482)*(10^(-4)),4)</f>
        <v>0.83850000000000002</v>
      </c>
      <c r="AD10" s="3364">
        <f>ROUND((-0.7912*(AD9^2)-11.3794*AD9+8482)*(10^(-4)),4)</f>
        <v>0.83850000000000002</v>
      </c>
      <c r="AE10" s="3364">
        <f>ROUND((-0.7912*(AE9^2)-11.3794*AE9+8482)*(10^(-4)),4)</f>
        <v>0.83850000000000002</v>
      </c>
      <c r="AF10" s="3364">
        <f>ROUND((-0.989*(AF9^2)-63.78*AF9+7771)*(10^(-4)),4)</f>
        <v>0.73529999999999995</v>
      </c>
      <c r="AG10" s="3364">
        <f>ROUND((-0.989*(AG9^2)-63.78*AG9+7771)*(10^(-4)),4)</f>
        <v>0.73529999999999995</v>
      </c>
      <c r="AH10" s="3364">
        <f>ROUND((-0.989*(AH9^2)-63.78*AH9+7771)*(10^(-4)),4)</f>
        <v>0.73529999999999995</v>
      </c>
      <c r="AI10" s="3364">
        <f>ROUND((-0.989*(AI9^2)-63.78*AI9+7771)*(10^(-4)),4)</f>
        <v>0.73529999999999995</v>
      </c>
      <c r="AJ10" s="3364">
        <f>ROUND((-0.989*(AJ9^2)-63.78*AJ9+7771)*(10^(-4)),4)</f>
        <v>0.73529999999999995</v>
      </c>
    </row>
    <row r="11" spans="1:36" ht="15.75" thickBot="1">
      <c r="A11" s="3302"/>
      <c r="B11" s="2030" t="s">
        <v>1979</v>
      </c>
      <c r="C11" s="759">
        <f>C10/4</f>
        <v>0</v>
      </c>
      <c r="D11" s="759" t="s">
        <v>115</v>
      </c>
      <c r="E11" s="759" t="e">
        <f>ROUND(C11/E7,4)</f>
        <v>#DIV/0!</v>
      </c>
      <c r="F11" s="2031" t="s">
        <v>1980</v>
      </c>
      <c r="G11" s="2032"/>
      <c r="H11" s="2032"/>
      <c r="I11" s="2032"/>
      <c r="J11" s="2033"/>
      <c r="K11" s="1119"/>
      <c r="L11" s="2003" t="s">
        <v>1981</v>
      </c>
      <c r="M11" s="864">
        <f>SUMPRODUCT((区片价!B358:B377=I2)*(区片价!C3:G3=E2)*(区片价!C358:G377))</f>
        <v>0</v>
      </c>
      <c r="N11" s="866">
        <f>SUMPRODUCT((因素修正幅度!B358:B377=I2)*(因素修正幅度!C3:G3=E2)*(因素修正幅度!C358:G377))</f>
        <v>0</v>
      </c>
      <c r="O11" s="1119"/>
      <c r="P11" s="1119"/>
      <c r="Q11" s="1119"/>
      <c r="R11" s="1212">
        <v>10</v>
      </c>
      <c r="S11" s="1213"/>
      <c r="T11" s="3360">
        <f t="shared" si="0"/>
        <v>0</v>
      </c>
      <c r="U11" s="1213"/>
      <c r="V11" s="3360">
        <f t="shared" si="1"/>
        <v>0</v>
      </c>
      <c r="W11" s="1216"/>
      <c r="X11" s="1216"/>
      <c r="Y11" s="1216"/>
      <c r="Z11" s="1216"/>
      <c r="AA11" s="1216"/>
      <c r="AB11" s="1216"/>
      <c r="AC11" s="1217"/>
      <c r="AD11" s="2788"/>
      <c r="AE11" s="2788"/>
      <c r="AF11" s="2788"/>
      <c r="AG11" s="2788"/>
      <c r="AH11" s="2788"/>
      <c r="AI11" s="2788"/>
      <c r="AJ11" s="2789"/>
    </row>
    <row r="12" spans="1:36" ht="25.5" thickBot="1">
      <c r="A12" s="3303" t="s">
        <v>3245</v>
      </c>
      <c r="B12" s="3304" t="s">
        <v>3246</v>
      </c>
      <c r="C12" s="3305"/>
      <c r="D12" s="3306" t="s">
        <v>3247</v>
      </c>
      <c r="E12" s="3307" t="s">
        <v>3248</v>
      </c>
      <c r="F12" s="3308"/>
      <c r="G12" s="3309"/>
      <c r="H12" s="3309"/>
      <c r="I12" s="3309"/>
      <c r="J12" s="3310"/>
      <c r="K12" s="1119"/>
      <c r="L12" s="2039" t="s">
        <v>1984</v>
      </c>
      <c r="M12" s="865">
        <f>SUMPRODUCT((区片价!B378:B384=I2)*(区片价!C3:G3=E2)*(区片价!C378:G384))</f>
        <v>0</v>
      </c>
      <c r="N12" s="866">
        <f>SUMPRODUCT((因素修正幅度!B378:B384=I2)*(因素修正幅度!C3:G3=E2)*(因素修正幅度!C378:G384))</f>
        <v>0</v>
      </c>
      <c r="O12" s="1119"/>
      <c r="P12" s="1119"/>
      <c r="Q12" s="1119"/>
      <c r="R12" s="1212">
        <v>11</v>
      </c>
      <c r="S12" s="1213"/>
      <c r="T12" s="3360">
        <f t="shared" si="0"/>
        <v>0</v>
      </c>
      <c r="U12" s="1213"/>
      <c r="V12" s="3360">
        <f t="shared" si="1"/>
        <v>0</v>
      </c>
      <c r="W12" s="1216"/>
      <c r="X12" s="1216"/>
      <c r="Y12" s="1216"/>
      <c r="Z12" s="1216"/>
      <c r="AA12" s="1216"/>
      <c r="AB12" s="1216"/>
      <c r="AC12" s="1217"/>
      <c r="AD12" s="2788"/>
      <c r="AE12" s="2788"/>
      <c r="AF12" s="2788"/>
      <c r="AG12" s="2788"/>
      <c r="AH12" s="2788"/>
      <c r="AI12" s="2788"/>
      <c r="AJ12" s="2789"/>
    </row>
    <row r="13" spans="1:36" ht="15.75" thickBot="1">
      <c r="A13" s="3303" t="s">
        <v>3249</v>
      </c>
      <c r="B13" s="2034" t="s">
        <v>1982</v>
      </c>
      <c r="C13" s="755">
        <f>ROUND(C16*D16*E16*F16*G16*H16*I16*J16,4)</f>
        <v>0</v>
      </c>
      <c r="D13" s="2035" t="s">
        <v>1983</v>
      </c>
      <c r="E13" s="2036"/>
      <c r="F13" s="2036"/>
      <c r="G13" s="2037"/>
      <c r="H13" s="2037"/>
      <c r="I13" s="2037"/>
      <c r="J13" s="2038"/>
      <c r="K13" s="1119"/>
      <c r="L13" s="3299"/>
      <c r="M13" s="3300"/>
      <c r="N13" s="3301"/>
      <c r="O13" s="1119"/>
      <c r="P13" s="1119"/>
      <c r="Q13" s="1119"/>
      <c r="R13" s="1212">
        <v>12</v>
      </c>
      <c r="S13" s="1213"/>
      <c r="T13" s="3360">
        <f t="shared" si="0"/>
        <v>0</v>
      </c>
      <c r="U13" s="1213"/>
      <c r="V13" s="3360">
        <f t="shared" si="1"/>
        <v>0</v>
      </c>
      <c r="W13" s="1216"/>
      <c r="X13" s="1216"/>
      <c r="Y13" s="1216"/>
      <c r="Z13" s="1216"/>
      <c r="AA13" s="1216"/>
      <c r="AB13" s="1216"/>
      <c r="AC13" s="1217"/>
      <c r="AD13" s="2788"/>
      <c r="AE13" s="2788"/>
      <c r="AF13" s="2788"/>
      <c r="AG13" s="2788"/>
      <c r="AH13" s="2788"/>
      <c r="AI13" s="2788"/>
      <c r="AJ13" s="2789"/>
    </row>
    <row r="14" spans="1:36" ht="15">
      <c r="A14" s="3297"/>
      <c r="B14" s="2040" t="s">
        <v>1985</v>
      </c>
      <c r="C14" s="2041" t="s">
        <v>1986</v>
      </c>
      <c r="D14" s="1350" t="s">
        <v>1987</v>
      </c>
      <c r="E14" s="27" t="s">
        <v>1988</v>
      </c>
      <c r="F14" s="3311" t="s">
        <v>3250</v>
      </c>
      <c r="G14" s="3311" t="s">
        <v>3250</v>
      </c>
      <c r="H14" s="3311" t="s">
        <v>3250</v>
      </c>
      <c r="I14" s="3311" t="s">
        <v>3250</v>
      </c>
      <c r="J14" s="3311" t="s">
        <v>3250</v>
      </c>
      <c r="K14" s="1119"/>
      <c r="L14" s="1119"/>
      <c r="M14" s="1119"/>
      <c r="N14" s="1119"/>
      <c r="O14" s="1119"/>
      <c r="P14" s="1119"/>
      <c r="Q14" s="1119"/>
      <c r="R14" s="1212">
        <v>13</v>
      </c>
      <c r="S14" s="1213"/>
      <c r="T14" s="3360">
        <f t="shared" si="0"/>
        <v>0</v>
      </c>
      <c r="U14" s="1213"/>
      <c r="V14" s="3360">
        <f t="shared" si="1"/>
        <v>0</v>
      </c>
      <c r="W14" s="1216"/>
      <c r="X14" s="1216"/>
      <c r="Y14" s="1216"/>
      <c r="Z14" s="1216"/>
      <c r="AA14" s="1216"/>
      <c r="AB14" s="1216"/>
      <c r="AC14" s="1217"/>
      <c r="AD14" s="2788"/>
      <c r="AE14" s="2788"/>
      <c r="AF14" s="2788"/>
      <c r="AG14" s="2788"/>
      <c r="AH14" s="2788"/>
      <c r="AI14" s="2788"/>
      <c r="AJ14" s="2789"/>
    </row>
    <row r="15" spans="1:36" ht="15">
      <c r="A15" s="3297"/>
      <c r="B15" s="2042"/>
      <c r="C15" s="2043"/>
      <c r="D15" s="2044"/>
      <c r="E15" s="2045"/>
      <c r="F15" s="3312" t="s">
        <v>3251</v>
      </c>
      <c r="G15" s="3313"/>
      <c r="H15" s="3314"/>
      <c r="I15" s="3315"/>
      <c r="J15" s="3316"/>
      <c r="K15" s="1119"/>
      <c r="L15" s="1119"/>
      <c r="M15" s="1119"/>
      <c r="N15" s="1119"/>
      <c r="O15" s="1119"/>
      <c r="P15" s="1119"/>
      <c r="Q15" s="1119"/>
      <c r="R15" s="1212">
        <v>14</v>
      </c>
      <c r="S15" s="1213"/>
      <c r="T15" s="3360">
        <f t="shared" si="0"/>
        <v>0</v>
      </c>
      <c r="U15" s="1213"/>
      <c r="V15" s="3360">
        <f t="shared" si="1"/>
        <v>0</v>
      </c>
      <c r="W15" s="1216"/>
      <c r="X15" s="1216"/>
      <c r="Y15" s="1216"/>
      <c r="Z15" s="1216"/>
      <c r="AA15" s="1216"/>
      <c r="AB15" s="1216"/>
      <c r="AC15" s="1217"/>
      <c r="AD15" s="2788"/>
      <c r="AE15" s="2788"/>
      <c r="AF15" s="2788"/>
      <c r="AG15" s="2788"/>
      <c r="AH15" s="2788"/>
      <c r="AI15" s="2788"/>
      <c r="AJ15" s="2789"/>
    </row>
    <row r="16" spans="1:36" ht="15.75" thickBot="1">
      <c r="A16" s="3297"/>
      <c r="B16" s="3319" t="s">
        <v>1989</v>
      </c>
      <c r="C16" s="3317"/>
      <c r="D16" s="3317"/>
      <c r="E16" s="3317"/>
      <c r="F16" s="3317">
        <v>1</v>
      </c>
      <c r="G16" s="3317">
        <v>1</v>
      </c>
      <c r="H16" s="3317">
        <v>1</v>
      </c>
      <c r="I16" s="3317">
        <v>1</v>
      </c>
      <c r="J16" s="3318">
        <v>1</v>
      </c>
      <c r="K16" s="1119"/>
      <c r="L16" s="1997"/>
      <c r="M16" s="1997"/>
      <c r="N16" s="1997"/>
      <c r="O16" s="1997"/>
      <c r="P16" s="1997"/>
      <c r="Q16" s="1119"/>
      <c r="R16" s="1212">
        <v>15</v>
      </c>
      <c r="S16" s="1213"/>
      <c r="T16" s="3360">
        <f t="shared" si="0"/>
        <v>0</v>
      </c>
      <c r="U16" s="1213"/>
      <c r="V16" s="3360">
        <f t="shared" si="1"/>
        <v>0</v>
      </c>
      <c r="W16" s="1216"/>
      <c r="X16" s="1216"/>
      <c r="Y16" s="1216"/>
      <c r="Z16" s="1216"/>
      <c r="AA16" s="1216"/>
      <c r="AB16" s="1216"/>
      <c r="AC16" s="1217"/>
      <c r="AD16" s="2788"/>
      <c r="AE16" s="2788"/>
      <c r="AF16" s="2788"/>
      <c r="AG16" s="2788"/>
      <c r="AH16" s="2788"/>
      <c r="AI16" s="2788"/>
      <c r="AJ16" s="2789"/>
    </row>
    <row r="17" spans="1:37">
      <c r="A17" s="3329" t="s">
        <v>3252</v>
      </c>
      <c r="B17" s="3320" t="s">
        <v>3253</v>
      </c>
      <c r="C17" s="3330">
        <f>ROUND(IF(OR(E2="工业",E2="公共服务"),1,IF(AND(E18=0,E19=0),1,IF(AND(E18=J24,E19=G19),0.8,IF(E19=0,1+E17*(-0.2),1+E17*G17*(-0.2))))),4)</f>
        <v>1</v>
      </c>
      <c r="D17" s="3321" t="s">
        <v>3254</v>
      </c>
      <c r="E17" s="3330">
        <f>ROUND(G18/I18,2)</f>
        <v>0</v>
      </c>
      <c r="F17" s="3321" t="s">
        <v>3257</v>
      </c>
      <c r="G17" s="3330" t="e">
        <f>ROUND(E19/G19,2)</f>
        <v>#DIV/0!</v>
      </c>
      <c r="H17" s="3330"/>
      <c r="I17" s="3330"/>
      <c r="J17" s="3331"/>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2"/>
      <c r="B18" s="3009"/>
      <c r="C18" s="3327"/>
      <c r="D18" s="3322" t="s">
        <v>3255</v>
      </c>
      <c r="E18" s="3328"/>
      <c r="F18" s="3323" t="s">
        <v>3258</v>
      </c>
      <c r="G18" s="3327">
        <f>ROUND(1-(1/(POWER(1+G24,E18))),4)</f>
        <v>0</v>
      </c>
      <c r="H18" s="3323" t="s">
        <v>3260</v>
      </c>
      <c r="I18" s="3327">
        <f>ROUND(1-(1/(POWER(1+G24,J24))),4)</f>
        <v>0.88249999999999995</v>
      </c>
      <c r="J18" s="3333"/>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7"/>
    </row>
    <row r="19" spans="1:37" s="2014" customFormat="1" ht="15" thickBot="1">
      <c r="A19" s="3334"/>
      <c r="B19" s="3335"/>
      <c r="C19" s="3336"/>
      <c r="D19" s="3336" t="s">
        <v>3256</v>
      </c>
      <c r="E19" s="3337"/>
      <c r="F19" s="3338" t="s">
        <v>3259</v>
      </c>
      <c r="G19" s="3337"/>
      <c r="H19" s="3336"/>
      <c r="I19" s="3336"/>
      <c r="J19" s="3339"/>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90"/>
      <c r="AH19" s="2141"/>
      <c r="AI19" s="2791"/>
      <c r="AJ19" s="2791"/>
      <c r="AK19" s="2057"/>
    </row>
    <row r="20" spans="1:37" s="2014" customFormat="1" ht="14.25">
      <c r="A20" s="3758" t="s">
        <v>3261</v>
      </c>
      <c r="B20" s="167" t="s">
        <v>1994</v>
      </c>
      <c r="C20" s="3324">
        <f>ROUND(IF(F21="与级别开发程度一致",0,(G21-E21)/C21),0)</f>
        <v>0</v>
      </c>
      <c r="D20" s="3340" t="s">
        <v>1998</v>
      </c>
      <c r="E20" s="3341"/>
      <c r="F20" s="3764" t="s">
        <v>1995</v>
      </c>
      <c r="G20" s="3765"/>
      <c r="H20" s="3325" t="s">
        <v>3418</v>
      </c>
      <c r="I20" s="3325" t="s">
        <v>3419</v>
      </c>
      <c r="J20" s="3326" t="s">
        <v>3420</v>
      </c>
      <c r="K20" s="2047" t="s">
        <v>3421</v>
      </c>
      <c r="L20" s="2047" t="s">
        <v>3422</v>
      </c>
      <c r="M20" s="2047" t="s">
        <v>3424</v>
      </c>
      <c r="N20" s="2047" t="s">
        <v>3425</v>
      </c>
      <c r="O20" s="2048" t="s">
        <v>3426</v>
      </c>
      <c r="P20" s="1997"/>
      <c r="Q20" s="1124"/>
      <c r="R20" s="1124"/>
      <c r="S20" s="1124"/>
      <c r="T20" s="1120"/>
      <c r="U20" s="1120">
        <f>SUM(V2:V7)/D33</f>
        <v>2.0675718561668743</v>
      </c>
      <c r="V20" s="1120"/>
      <c r="W20" s="1119"/>
      <c r="X20" s="1119"/>
      <c r="Y20" s="1119"/>
      <c r="Z20" s="1125"/>
      <c r="AA20" s="1125"/>
      <c r="AB20" s="1125"/>
      <c r="AC20" s="1125"/>
      <c r="AD20" s="1125"/>
      <c r="AE20" s="1125"/>
      <c r="AF20" s="1125"/>
      <c r="AG20" s="2787"/>
      <c r="AH20" s="2787"/>
      <c r="AI20" s="2787"/>
      <c r="AJ20" s="2787"/>
    </row>
    <row r="21" spans="1:37" s="2014" customFormat="1" ht="26.25" thickBot="1">
      <c r="A21" s="3759"/>
      <c r="B21" s="2164" t="s">
        <v>1997</v>
      </c>
      <c r="C21" s="2165">
        <f>IF(E3="M4科研用地",SUMPRODUCT((修正!A2:A7=E3)*(修正!B1:M1=G2)*(修正!B2:M7)),SUMPRODUCT((修正!A2:A7=E2)*(修正!B1:M1=G2)*(修正!B2:M7)))</f>
        <v>2.5</v>
      </c>
      <c r="D21" s="187" t="str">
        <f>IF(OR(G2="八级",G2="九级",G2="十级",G2="十一级",G2="十二级"),"五通一平","七通一平")</f>
        <v>七通一平</v>
      </c>
      <c r="E21" s="2155">
        <f>SUMPRODUCT((修正!B1:M1=G2)*(修正!B17:M17))</f>
        <v>315</v>
      </c>
      <c r="F21" s="2156" t="s">
        <v>3423</v>
      </c>
      <c r="G21" s="2157">
        <f>SUM(H21:O21)</f>
        <v>315</v>
      </c>
      <c r="H21" s="2165">
        <f>SUMPRODUCT((七通一平=H20)*(修正!B1:M1=G2)*(修正!B8:M16))</f>
        <v>70</v>
      </c>
      <c r="I21" s="2165">
        <f>SUMPRODUCT((七通一平=I20)*(修正!B1:M1=G2)*(修正!B8:M16))</f>
        <v>60</v>
      </c>
      <c r="J21" s="2166">
        <f>SUMPRODUCT((七通一平=J20)*(修正!B1:M1=G2)*(修正!B8:M16))</f>
        <v>15</v>
      </c>
      <c r="K21" s="2165">
        <f>SUMPRODUCT((七通一平=K20)*(修正!B1:M1=G2)*(修正!B8:M16))</f>
        <v>25</v>
      </c>
      <c r="L21" s="2165">
        <f>SUMPRODUCT((七通一平=L20)*(修正!B1:M1=G2)*(修正!B8:M16))</f>
        <v>40</v>
      </c>
      <c r="M21" s="2165">
        <f>SUMPRODUCT((七通一平=M20)*(修正!B1:M1=G2)*(修正!B8:M16))</f>
        <v>50</v>
      </c>
      <c r="N21" s="2165">
        <f>SUMPRODUCT((七通一平=N20)*(修正!B1:M1=G2)*(修正!B8:M16))</f>
        <v>40</v>
      </c>
      <c r="O21" s="2167">
        <f>SUMPRODUCT((七通一平=O20)*(修正!B1:M1=G2)*(修正!B8:M16))</f>
        <v>15</v>
      </c>
      <c r="P21" s="1997"/>
      <c r="Q21" s="2787"/>
      <c r="R21" s="1124"/>
      <c r="S21" s="1124"/>
      <c r="T21" s="1120"/>
      <c r="U21" s="1120"/>
      <c r="V21" s="1120"/>
      <c r="W21" s="1119"/>
      <c r="X21" s="1119"/>
      <c r="Y21" s="1119"/>
      <c r="Z21" s="1125"/>
      <c r="AA21" s="1125"/>
      <c r="AB21" s="1125"/>
      <c r="AC21" s="1125"/>
      <c r="AD21" s="1125"/>
      <c r="AE21" s="1125"/>
      <c r="AF21" s="1125"/>
      <c r="AG21" s="2787"/>
      <c r="AH21" s="2787"/>
      <c r="AI21" s="2787"/>
      <c r="AJ21" s="2787"/>
    </row>
    <row r="22" spans="1:37" s="2014" customFormat="1" ht="15.75" thickBot="1">
      <c r="A22" s="2158" t="s">
        <v>363</v>
      </c>
      <c r="B22" s="2159" t="s">
        <v>2000</v>
      </c>
      <c r="C22" s="2160">
        <f>SUMIF(修正!C20:C51,E3,修正!E20:E51)</f>
        <v>1</v>
      </c>
      <c r="D22" s="2161"/>
      <c r="E22" s="2162"/>
      <c r="F22" s="2162"/>
      <c r="G22" s="2162"/>
      <c r="H22" s="2162"/>
      <c r="I22" s="2162"/>
      <c r="J22" s="2163"/>
      <c r="K22" s="1125"/>
      <c r="L22" s="2787"/>
      <c r="M22" s="2787"/>
      <c r="N22" s="2787"/>
      <c r="O22" s="1123"/>
      <c r="P22" s="1123"/>
      <c r="Q22" s="2787"/>
      <c r="R22" s="1124"/>
      <c r="S22" s="1124"/>
      <c r="T22" s="1120"/>
      <c r="U22" s="1120"/>
      <c r="V22" s="1120"/>
      <c r="W22" s="1119"/>
      <c r="X22" s="1119"/>
      <c r="Y22" s="1119"/>
      <c r="Z22" s="1125"/>
      <c r="AA22" s="1125"/>
      <c r="AB22" s="1125"/>
      <c r="AC22" s="1125"/>
      <c r="AD22" s="1125"/>
      <c r="AE22" s="1125"/>
      <c r="AF22" s="1125"/>
      <c r="AG22" s="2787"/>
      <c r="AH22" s="2787"/>
      <c r="AI22" s="2787"/>
      <c r="AJ22" s="2787"/>
    </row>
    <row r="23" spans="1:37" ht="26.25" thickBot="1">
      <c r="A23" s="2050" t="s">
        <v>364</v>
      </c>
      <c r="B23" s="2051" t="s">
        <v>2001</v>
      </c>
      <c r="C23" s="760">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1.0250999999999999</v>
      </c>
      <c r="D23" s="2054" t="s">
        <v>2002</v>
      </c>
      <c r="E23" s="761">
        <v>44197</v>
      </c>
      <c r="F23" s="2054" t="s">
        <v>2003</v>
      </c>
      <c r="G23" s="762">
        <f>'数据-取费表'!B2</f>
        <v>44926</v>
      </c>
      <c r="H23" s="3342" t="s">
        <v>3263</v>
      </c>
      <c r="I23" s="3343" t="str">
        <f>IF(H23="季度增幅（自定义）",SUMIF(N25:N28,E2,O25:O28),"")</f>
        <v/>
      </c>
      <c r="J23" s="3445" t="s">
        <v>3262</v>
      </c>
      <c r="K23" s="1125"/>
      <c r="L23" s="2055" t="s">
        <v>2004</v>
      </c>
      <c r="M23" s="1328">
        <f>ROUND(SUMIF(地价!B2:G2,E2,地价!B16:G16),0)</f>
        <v>350</v>
      </c>
      <c r="N23" s="2056" t="s">
        <v>2005</v>
      </c>
      <c r="O23" s="763">
        <f>ROUNDDOWN(DATEDIF(E23,G23,"M")/3,0)</f>
        <v>7</v>
      </c>
      <c r="P23" s="1122"/>
      <c r="Q23" s="2787"/>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2006</v>
      </c>
      <c r="C24" s="764">
        <f>ROUND(POWER(1+G24,J24-I24)*(POWER(1+G24,I24)-1)/(POWER(1+G24,J24)-1),4)</f>
        <v>0.77800000000000002</v>
      </c>
      <c r="D24" s="2060" t="s">
        <v>2007</v>
      </c>
      <c r="E24" s="1335">
        <f>存贷款利率!E22/100</f>
        <v>4.3499999999999997E-2</v>
      </c>
      <c r="F24" s="2060" t="s">
        <v>1999</v>
      </c>
      <c r="G24" s="768">
        <f>SUMIF(M30:Q30,E2,M33:Q33)</f>
        <v>5.5E-2</v>
      </c>
      <c r="H24" s="2060" t="s">
        <v>2008</v>
      </c>
      <c r="I24" s="769">
        <f>SUMIF('数据-取费表'!C6:C15,E2,'数据-取费表'!F6:F15)/COUNTIF('数据-取费表'!C6:C15,E2)</f>
        <v>21.67</v>
      </c>
      <c r="J24" s="770">
        <f>IF(E2="住宅",70,IF(E2="商业",40,50))</f>
        <v>40</v>
      </c>
      <c r="K24" s="1125"/>
      <c r="L24" s="2061" t="s">
        <v>2009</v>
      </c>
      <c r="M24" s="1329">
        <f>ROUND(SUMPRODUCT((地价!A4:A16=YEAR(G23)&amp;"-"&amp;ROUNDUP(MONTH(G23)/3,0))*(地价!B2:G2=E2)*(地价!B4:G16)),0)</f>
        <v>353</v>
      </c>
      <c r="N24" s="2062" t="s">
        <v>2010</v>
      </c>
      <c r="O24" s="2063" t="s">
        <v>2011</v>
      </c>
      <c r="P24" s="2064" t="s">
        <v>2012</v>
      </c>
      <c r="Q24" s="1997"/>
      <c r="R24" s="1124"/>
      <c r="S24" s="1124"/>
      <c r="T24" s="1120"/>
      <c r="U24" s="1120"/>
      <c r="V24" s="1120"/>
      <c r="W24" s="1119"/>
      <c r="X24" s="1119"/>
      <c r="Y24" s="1119"/>
      <c r="Z24" s="1125"/>
      <c r="AA24" s="1125"/>
      <c r="AB24" s="1125"/>
      <c r="AC24" s="1125"/>
      <c r="AD24" s="1125"/>
      <c r="AE24" s="1125"/>
      <c r="AF24" s="1125"/>
      <c r="AG24" s="2787"/>
      <c r="AH24" s="2787"/>
      <c r="AI24" s="2787"/>
      <c r="AJ24" s="2787"/>
    </row>
    <row r="25" spans="1:37" ht="15">
      <c r="A25" s="2065" t="s">
        <v>366</v>
      </c>
      <c r="B25" s="2066" t="s">
        <v>3994</v>
      </c>
      <c r="C25" s="771">
        <f>IF(B25="容积率修正",IF(G3&lt;10,D26,J26),C27)</f>
        <v>0.84799999999999998</v>
      </c>
      <c r="D25" s="2067"/>
      <c r="E25" s="2067"/>
      <c r="F25" s="2067"/>
      <c r="G25" s="2067"/>
      <c r="H25" s="2067"/>
      <c r="I25" s="2067"/>
      <c r="J25" s="2068"/>
      <c r="K25" s="1125"/>
      <c r="L25" s="2787"/>
      <c r="M25" s="2787"/>
      <c r="N25" s="2069" t="s">
        <v>2013</v>
      </c>
      <c r="O25" s="1173"/>
      <c r="P25" s="1174">
        <f>SUMPRODUCT((地价!A3:A40=YEAR(G23)&amp;"-"&amp;ROUNDUP(MONTH(G23)/3,0))*(地价!AD2:AH2=N25)*(地价!AD3:AH40))</f>
        <v>9.7000000000000003E-3</v>
      </c>
      <c r="Q25" s="2787"/>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2014</v>
      </c>
      <c r="B26" s="2070" t="s">
        <v>2015</v>
      </c>
      <c r="C26" s="3344" t="s">
        <v>3264</v>
      </c>
      <c r="D26" s="1352">
        <f>IF(E26=G26,F26,IF(G3&lt;10,ROUND(F26+(H26-F26)*(G3-E26)/(G26-E26),4),"——"))</f>
        <v>0.99060000000000004</v>
      </c>
      <c r="E26" s="752">
        <f>ROUNDDOWN(G3,1)</f>
        <v>2.6</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0.99350000000000005</v>
      </c>
      <c r="G26" s="752">
        <f>ROUNDUP(G3,1)</f>
        <v>2.7</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0.98770000000000002</v>
      </c>
      <c r="I26" s="3344" t="s">
        <v>3265</v>
      </c>
      <c r="J26" s="772" t="str">
        <f>IF(G3&gt;=10,D115,"——")</f>
        <v>——</v>
      </c>
      <c r="K26" s="1125"/>
      <c r="L26" s="2787"/>
      <c r="M26" s="2787"/>
      <c r="N26" s="2069" t="s">
        <v>2016</v>
      </c>
      <c r="O26" s="1173"/>
      <c r="P26" s="1174">
        <f>SUMPRODUCT((地价!A3:A40=YEAR(G23)&amp;"-"&amp;ROUNDUP(MONTH(G23)/3,0))*(地价!AD2:AH2=N26)*(地价!AD3:AH40))</f>
        <v>9.7000000000000003E-3</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2017</v>
      </c>
      <c r="B27" s="2071" t="s">
        <v>2018</v>
      </c>
      <c r="C27" s="841">
        <f>ROUND(IF(I3&lt;6,SUMPRODUCT((B106:B110=I3)*(C105:N105=G2)*(C106:N110)),SUMIF(C105:N105,G2,C112:N112)),4)</f>
        <v>0.84799999999999998</v>
      </c>
      <c r="D27" s="2046"/>
      <c r="E27" s="2046"/>
      <c r="F27" s="2072"/>
      <c r="G27" s="2073"/>
      <c r="H27" s="2074"/>
      <c r="I27" s="2075"/>
      <c r="J27" s="2076"/>
      <c r="K27" s="1119"/>
      <c r="L27" s="1997"/>
      <c r="M27" s="1997"/>
      <c r="N27" s="2069" t="s">
        <v>2019</v>
      </c>
      <c r="O27" s="1173"/>
      <c r="P27" s="1174">
        <f>SUMPRODUCT((地价!A3:A40=YEAR(G23)&amp;"-"&amp;ROUNDUP(MONTH(G23)/3,0))*(地价!AD2:AH2=N27)*(地价!AD3:AH40))</f>
        <v>1.66E-2</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2020</v>
      </c>
      <c r="C28" s="760">
        <f>SUMIF(A47:A101,E2,B47:B101)</f>
        <v>1.0528</v>
      </c>
      <c r="D28" s="2052"/>
      <c r="E28" s="2077"/>
      <c r="F28" s="2077"/>
      <c r="G28" s="2077"/>
      <c r="H28" s="2077"/>
      <c r="I28" s="2077"/>
      <c r="J28" s="2078"/>
      <c r="K28" s="1125"/>
      <c r="L28" s="2787"/>
      <c r="M28" s="2787"/>
      <c r="N28" s="2079" t="s">
        <v>2021</v>
      </c>
      <c r="O28" s="1175"/>
      <c r="P28" s="1176">
        <f>SUMPRODUCT((地价!A3:A40=YEAR(G23)&amp;"-"&amp;ROUNDUP(MONTH(G23)/3,0))*(地价!AD2:AH2=N28)*(地价!AD3:AH40))</f>
        <v>1.0999999999999999E-2</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2022</v>
      </c>
      <c r="C29" s="765"/>
      <c r="D29" s="2024"/>
      <c r="E29" s="2024"/>
      <c r="F29" s="2081"/>
      <c r="G29" s="2024"/>
      <c r="H29" s="2024"/>
      <c r="I29" s="2024"/>
      <c r="J29" s="2025"/>
      <c r="K29" s="1119"/>
      <c r="L29" s="1997"/>
      <c r="M29" s="1997"/>
      <c r="N29" s="2784" t="s">
        <v>2023</v>
      </c>
      <c r="O29" s="2785"/>
      <c r="P29" s="2786">
        <f>SUMPRODUCT((地价!A3:A40=YEAR(G23)&amp;"-"&amp;ROUNDUP(MONTH(G23)/3,0))*(地价!AD2:AH2=N29)*(地价!AD3:AH40))</f>
        <v>1.55E-2</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2024</v>
      </c>
      <c r="C30" s="2321">
        <f>IF(B25="容积率修正",E33+SUM(E37:E42),SUM(V2:V16)+SUM(E37:E42))</f>
        <v>71579</v>
      </c>
      <c r="D30" s="2083"/>
      <c r="E30" s="2046"/>
      <c r="F30" s="2084"/>
      <c r="G30" s="2046"/>
      <c r="H30" s="2046"/>
      <c r="I30" s="2046"/>
      <c r="J30" s="2085"/>
      <c r="K30" s="1119"/>
      <c r="L30" s="3350" t="s">
        <v>1936</v>
      </c>
      <c r="M30" s="3351" t="s">
        <v>1990</v>
      </c>
      <c r="N30" s="3351" t="s">
        <v>1991</v>
      </c>
      <c r="O30" s="3351" t="s">
        <v>1992</v>
      </c>
      <c r="P30" s="3351" t="s">
        <v>1993</v>
      </c>
      <c r="Q30" s="3354" t="s">
        <v>3269</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2025</v>
      </c>
      <c r="C31" s="766">
        <f>E34+SUM(I37:I42)</f>
        <v>1591</v>
      </c>
      <c r="D31" s="2087"/>
      <c r="E31" s="2088"/>
      <c r="F31" s="2089"/>
      <c r="G31" s="2088"/>
      <c r="H31" s="2088"/>
      <c r="I31" s="2088"/>
      <c r="J31" s="2090"/>
      <c r="K31" s="1119"/>
      <c r="L31" s="3352" t="s">
        <v>1996</v>
      </c>
      <c r="M31" s="2000">
        <v>0.25</v>
      </c>
      <c r="N31" s="2000">
        <v>0.2</v>
      </c>
      <c r="O31" s="2000">
        <v>0.15</v>
      </c>
      <c r="P31" s="2000">
        <v>0.1</v>
      </c>
      <c r="Q31" s="3347">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2026</v>
      </c>
      <c r="C32" s="2093" t="s">
        <v>2027</v>
      </c>
      <c r="D32" s="2093" t="s">
        <v>2028</v>
      </c>
      <c r="E32" s="2094" t="s">
        <v>2029</v>
      </c>
      <c r="F32" s="2095"/>
      <c r="G32" s="2037"/>
      <c r="H32" s="2037"/>
      <c r="I32" s="2037"/>
      <c r="J32" s="2038"/>
      <c r="K32" s="1119"/>
      <c r="L32" s="3353" t="s">
        <v>1999</v>
      </c>
      <c r="M32" s="2569">
        <f>ROUND($E$24*(1+M31),3)</f>
        <v>5.3999999999999999E-2</v>
      </c>
      <c r="N32" s="2569">
        <f>ROUND($E$24*(1+N31),3)</f>
        <v>5.1999999999999998E-2</v>
      </c>
      <c r="O32" s="2569">
        <f>ROUND($E$24*(1+O31),3)</f>
        <v>0.05</v>
      </c>
      <c r="P32" s="2569">
        <f>ROUND($E$24*(1+P31),3)</f>
        <v>4.8000000000000001E-2</v>
      </c>
      <c r="Q32" s="3355">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2030</v>
      </c>
      <c r="C33" s="175">
        <f>ROUND(C5*C22*C23*C24*C25*C28,0)</f>
        <v>16376</v>
      </c>
      <c r="D33" s="2098">
        <f>'数据-汇总表'!F27</f>
        <v>31541.83</v>
      </c>
      <c r="E33" s="773">
        <f>ROUND(C33*D33/10000,0)</f>
        <v>51653</v>
      </c>
      <c r="F33" s="3345" t="s">
        <v>3267</v>
      </c>
      <c r="G33" s="2099"/>
      <c r="H33" s="2099"/>
      <c r="I33" s="2099"/>
      <c r="J33" s="2100"/>
      <c r="K33" s="1119"/>
      <c r="L33" s="3348" t="s">
        <v>3270</v>
      </c>
      <c r="M33" s="3349">
        <v>5.5E-2</v>
      </c>
      <c r="N33" s="3349">
        <v>5.5E-2</v>
      </c>
      <c r="O33" s="3349">
        <v>0.05</v>
      </c>
      <c r="P33" s="3349">
        <v>0.05</v>
      </c>
      <c r="Q33" s="3349">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2031</v>
      </c>
      <c r="C34" s="187" t="e">
        <f>ROUND(IF(E2="工业",C33*M42,IF(B25="楼层修正",SUM(V2:V16)*M41*10000/D34,C33*M41)),0)</f>
        <v>#DIV/0!</v>
      </c>
      <c r="D34" s="2103"/>
      <c r="E34" s="773">
        <f>ROUND(IF(B25="楼层修正",SUM(V2:V16)*M40,C34*D34/10000),0)</f>
        <v>0</v>
      </c>
      <c r="F34" s="2104" t="s">
        <v>2032</v>
      </c>
      <c r="G34" s="2105"/>
      <c r="H34" s="2105"/>
      <c r="I34" s="2105"/>
      <c r="J34" s="2106"/>
      <c r="K34" s="1119"/>
      <c r="L34" s="3348" t="s">
        <v>3271</v>
      </c>
      <c r="M34" s="3349">
        <v>6.5000000000000002E-2</v>
      </c>
      <c r="N34" s="3349">
        <v>6.5000000000000002E-2</v>
      </c>
      <c r="O34" s="3349">
        <v>0.06</v>
      </c>
      <c r="P34" s="3349">
        <v>0.06</v>
      </c>
      <c r="Q34" s="3349">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2033</v>
      </c>
      <c r="C35" s="3346" t="s">
        <v>3268</v>
      </c>
      <c r="D35" s="2037"/>
      <c r="E35" s="2109"/>
      <c r="F35" s="2109"/>
      <c r="G35" s="2035" t="s">
        <v>2034</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2027</v>
      </c>
      <c r="D36" s="447" t="s">
        <v>2028</v>
      </c>
      <c r="E36" s="447" t="s">
        <v>2029</v>
      </c>
      <c r="F36" s="342" t="s">
        <v>2035</v>
      </c>
      <c r="G36" s="2112" t="s">
        <v>2027</v>
      </c>
      <c r="H36" s="2112" t="s">
        <v>2028</v>
      </c>
      <c r="I36" s="2112" t="s">
        <v>2029</v>
      </c>
      <c r="J36" s="243"/>
      <c r="K36" s="3356" t="s">
        <v>3272</v>
      </c>
      <c r="L36" s="3446">
        <f ca="1">'数据-取费表'!B40</f>
        <v>4.1499999999999995E-2</v>
      </c>
      <c r="M36" s="3357">
        <f ca="1">ROUND($L$36*(1+M31),3)</f>
        <v>5.1999999999999998E-2</v>
      </c>
      <c r="N36" s="3357">
        <f ca="1">ROUND($L$36*(1+N31),3)</f>
        <v>0.05</v>
      </c>
      <c r="O36" s="3357">
        <f ca="1">ROUND($L$36*(1+O31),3)</f>
        <v>4.8000000000000001E-2</v>
      </c>
      <c r="P36" s="3357">
        <f ca="1">ROUND($L$36*(1+P31),3)</f>
        <v>4.5999999999999999E-2</v>
      </c>
      <c r="Q36" s="3357">
        <f ca="1">ROUND($L$36*(1+Q31),3)</f>
        <v>4.8000000000000001E-2</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762"/>
      <c r="B37" s="2113" t="s">
        <v>2036</v>
      </c>
      <c r="C37" s="175">
        <f>ROUND(D5*C22*C23*C24*C28*F37,0)</f>
        <v>11587</v>
      </c>
      <c r="D37" s="2098"/>
      <c r="E37" s="171">
        <f>ROUND(C37*D37/10000,0)</f>
        <v>0</v>
      </c>
      <c r="F37" s="171">
        <f>SUMIF(修正!A57:A68,G2,修正!B57:B68)</f>
        <v>0.6</v>
      </c>
      <c r="G37" s="171">
        <f>ROUND(IF(E2="工业",C37*$M$42,C37*$M$41),0)</f>
        <v>2897</v>
      </c>
      <c r="H37" s="171">
        <f>D37</f>
        <v>0</v>
      </c>
      <c r="I37" s="171">
        <f>ROUND(G37*H37/10000,0)</f>
        <v>0</v>
      </c>
      <c r="J37" s="3011"/>
      <c r="K37" s="3358" t="s">
        <v>3273</v>
      </c>
      <c r="L37" s="3356">
        <f ca="1">L36+K38</f>
        <v>4.6499999999999993E-2</v>
      </c>
      <c r="M37" s="3357">
        <f ca="1">ROUND($L$37*(1+M31),3)</f>
        <v>5.8000000000000003E-2</v>
      </c>
      <c r="N37" s="3357">
        <f t="shared" ref="N37:Q37" ca="1" si="3">ROUND($L$37*(1+N31),3)</f>
        <v>5.6000000000000001E-2</v>
      </c>
      <c r="O37" s="3357">
        <f t="shared" ca="1" si="3"/>
        <v>5.2999999999999999E-2</v>
      </c>
      <c r="P37" s="3357">
        <f t="shared" ca="1" si="3"/>
        <v>5.0999999999999997E-2</v>
      </c>
      <c r="Q37" s="3357">
        <f t="shared" ca="1" si="3"/>
        <v>5.2999999999999999E-2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763"/>
      <c r="B38" s="2041" t="s">
        <v>2037</v>
      </c>
      <c r="C38" s="175">
        <f>ROUND(D5*C22*C23*C24*C28*F38,0)</f>
        <v>5793</v>
      </c>
      <c r="D38" s="2098"/>
      <c r="E38" s="171">
        <f t="shared" ref="E38:E42" si="4">ROUND(C38*D38/10000,0)</f>
        <v>0</v>
      </c>
      <c r="F38" s="171">
        <f>SUMIF(修正!A57:A68,G2,修正!C57:C68)</f>
        <v>0.3</v>
      </c>
      <c r="G38" s="171">
        <f>ROUND(IF(E2="工业",C38*$M$42,C38*$M$41),0)</f>
        <v>1448</v>
      </c>
      <c r="H38" s="171">
        <f t="shared" ref="H38:H42" si="5">D38</f>
        <v>0</v>
      </c>
      <c r="I38" s="171">
        <f t="shared" ref="I38:I42" si="6">ROUND(G38*H38/10000,0)</f>
        <v>0</v>
      </c>
      <c r="J38" s="3010"/>
      <c r="K38" s="3356">
        <v>5.0000000000000001E-3</v>
      </c>
      <c r="L38" s="3356"/>
      <c r="M38" s="3356"/>
      <c r="N38" s="3356"/>
      <c r="O38" s="3356"/>
      <c r="P38" s="3356"/>
      <c r="Q38" s="3356"/>
      <c r="R38" s="1119"/>
      <c r="S38" s="1119"/>
      <c r="T38" s="1119"/>
      <c r="U38" s="1119"/>
      <c r="V38" s="1119"/>
      <c r="W38" s="1119"/>
      <c r="X38" s="1119"/>
      <c r="Y38" s="1119"/>
      <c r="Z38" s="1120"/>
      <c r="AA38" s="1120"/>
      <c r="AB38" s="1120"/>
      <c r="AC38" s="1120"/>
      <c r="AD38" s="1120"/>
    </row>
    <row r="39" spans="1:37" ht="13.5" thickBot="1">
      <c r="A39" s="3763"/>
      <c r="B39" s="2041" t="s">
        <v>3266</v>
      </c>
      <c r="C39" s="175">
        <f>ROUND(D5*C22*C23*C24*C28*F39,0)</f>
        <v>4828</v>
      </c>
      <c r="D39" s="2098"/>
      <c r="E39" s="171">
        <f t="shared" si="4"/>
        <v>0</v>
      </c>
      <c r="F39" s="171">
        <f>SUMIF(修正!A57:A68,G2,修正!D57:D68)</f>
        <v>0.25</v>
      </c>
      <c r="G39" s="171">
        <f>ROUND(IF(E2="工业",C39*$M$42,C39*$M$41),0)</f>
        <v>1207</v>
      </c>
      <c r="H39" s="171">
        <f t="shared" si="5"/>
        <v>0</v>
      </c>
      <c r="I39" s="171">
        <f t="shared" si="6"/>
        <v>0</v>
      </c>
      <c r="J39" s="3010"/>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2038</v>
      </c>
      <c r="C40" s="171">
        <f>ROUND(D5*C22*C23*C24*C28*F40,0)</f>
        <v>4828</v>
      </c>
      <c r="D40" s="2098"/>
      <c r="E40" s="171">
        <f t="shared" si="4"/>
        <v>0</v>
      </c>
      <c r="F40" s="175">
        <f>SUMIF(修正!A57:A68,G2,修正!E57:E68)</f>
        <v>0.25</v>
      </c>
      <c r="G40" s="171">
        <f>ROUND(IF(E2="工业",C40*$M$42,C40*$M$41),0)</f>
        <v>1207</v>
      </c>
      <c r="H40" s="171">
        <f t="shared" si="5"/>
        <v>0</v>
      </c>
      <c r="I40" s="171">
        <f t="shared" si="6"/>
        <v>0</v>
      </c>
      <c r="J40" s="2114"/>
      <c r="L40" s="2116" t="s">
        <v>2039</v>
      </c>
      <c r="M40" s="2117"/>
      <c r="Z40" s="1120"/>
      <c r="AA40" s="1120"/>
      <c r="AB40" s="1120"/>
      <c r="AC40" s="1120"/>
      <c r="AD40" s="1120"/>
      <c r="AE40" s="1120"/>
      <c r="AF40" s="1120"/>
      <c r="AG40" s="1120"/>
      <c r="AH40" s="1120"/>
      <c r="AI40" s="1120"/>
      <c r="AJ40" s="1120"/>
    </row>
    <row r="41" spans="1:37" s="1119" customFormat="1">
      <c r="A41" s="2115"/>
      <c r="B41" s="2041" t="s">
        <v>2040</v>
      </c>
      <c r="C41" s="171">
        <f>ROUND(D5*C22*C23*C44*C28*F41,0)</f>
        <v>5441</v>
      </c>
      <c r="D41" s="2098"/>
      <c r="E41" s="171">
        <f t="shared" si="4"/>
        <v>0</v>
      </c>
      <c r="F41" s="175">
        <f>SUMIF(修正!A57:A68,G2,修正!F57:F68)</f>
        <v>0.25</v>
      </c>
      <c r="G41" s="171">
        <f>ROUND(IF(E2="工业",C41*$M$42,C41*$M$41),0)</f>
        <v>1360</v>
      </c>
      <c r="H41" s="171">
        <f t="shared" si="5"/>
        <v>0</v>
      </c>
      <c r="I41" s="171">
        <f t="shared" si="6"/>
        <v>0</v>
      </c>
      <c r="J41" s="2114"/>
      <c r="L41" s="3359" t="s">
        <v>3274</v>
      </c>
      <c r="M41" s="2118">
        <v>0.25</v>
      </c>
      <c r="Z41" s="1120"/>
      <c r="AA41" s="1120"/>
      <c r="AB41" s="1120"/>
      <c r="AC41" s="1120"/>
      <c r="AD41" s="1120"/>
      <c r="AE41" s="1120"/>
      <c r="AF41" s="1120"/>
      <c r="AG41" s="1120"/>
      <c r="AH41" s="1120"/>
      <c r="AI41" s="1120"/>
      <c r="AJ41" s="1120"/>
    </row>
    <row r="42" spans="1:37" s="1119" customFormat="1" ht="13.5" thickBot="1">
      <c r="A42" s="2101"/>
      <c r="B42" s="2119" t="s">
        <v>2041</v>
      </c>
      <c r="C42" s="187">
        <f>ROUND(D5*C22*C23*C44*C28*F42,0)</f>
        <v>3265</v>
      </c>
      <c r="D42" s="2103">
        <f>'数据-汇总表'!G27</f>
        <v>19492.63</v>
      </c>
      <c r="E42" s="187">
        <f t="shared" si="4"/>
        <v>6364</v>
      </c>
      <c r="F42" s="767">
        <f>SUMIF(修正!A57:A68,G2,修正!G57:G68)</f>
        <v>0.15</v>
      </c>
      <c r="G42" s="187">
        <f>ROUND(IF(E2="工业",C42*$M$42,C42*$M$41),0)</f>
        <v>816</v>
      </c>
      <c r="H42" s="187">
        <f t="shared" si="5"/>
        <v>19492.63</v>
      </c>
      <c r="I42" s="187">
        <f t="shared" si="6"/>
        <v>1591</v>
      </c>
      <c r="J42" s="2120"/>
      <c r="L42" s="2121" t="s">
        <v>1993</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2122</v>
      </c>
      <c r="C44" s="342">
        <f>ROUND(POWER(1+E44,H44-G44)*(POWER(1+E44,G44)-1)/(POWER(1+E44,H44)-1),4)</f>
        <v>0.87680000000000002</v>
      </c>
      <c r="D44" s="171" t="s">
        <v>1999</v>
      </c>
      <c r="E44" s="2153">
        <f>G24</f>
        <v>5.5E-2</v>
      </c>
      <c r="F44" s="171" t="s">
        <v>2008</v>
      </c>
      <c r="G44" s="183">
        <f>项目基本情况!F15+10</f>
        <v>31.67</v>
      </c>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2042</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c r="A48" s="2126" t="s">
        <v>2043</v>
      </c>
      <c r="B48" s="2127">
        <f>1+E50</f>
        <v>1.0528</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c r="A49" s="2130" t="s">
        <v>2044</v>
      </c>
      <c r="B49" s="1351" t="s">
        <v>2045</v>
      </c>
      <c r="C49" s="1351" t="s">
        <v>2046</v>
      </c>
      <c r="D49" s="1351" t="s">
        <v>2047</v>
      </c>
      <c r="E49" s="743" t="s">
        <v>2048</v>
      </c>
      <c r="F49" s="2131" t="s">
        <v>2049</v>
      </c>
      <c r="G49" s="1351" t="s">
        <v>310</v>
      </c>
      <c r="H49" s="2132" t="s">
        <v>2050</v>
      </c>
      <c r="I49" s="1351" t="s">
        <v>2051</v>
      </c>
      <c r="J49" s="552" t="s">
        <v>1721</v>
      </c>
      <c r="K49" s="552" t="s">
        <v>1722</v>
      </c>
      <c r="L49" s="552" t="s">
        <v>1723</v>
      </c>
      <c r="M49" s="552" t="s">
        <v>1724</v>
      </c>
      <c r="N49" s="552" t="s">
        <v>1725</v>
      </c>
      <c r="AA49" s="1120"/>
      <c r="AB49" s="1120"/>
      <c r="AC49" s="1120"/>
      <c r="AD49" s="1120"/>
      <c r="AE49" s="1120"/>
      <c r="AF49" s="1120"/>
      <c r="AG49" s="1120"/>
      <c r="AH49" s="1120"/>
      <c r="AI49" s="1120"/>
      <c r="AJ49" s="1120"/>
      <c r="AK49" s="1120"/>
    </row>
    <row r="50" spans="1:37" s="1119" customFormat="1" ht="38.25">
      <c r="A50" s="2130" t="s">
        <v>2052</v>
      </c>
      <c r="B50" s="2133" t="str">
        <f>估价对象房地状况!C4</f>
        <v>估价对象位于XX商圈，周边商业氛围成熟，人流量大，商业繁华度好</v>
      </c>
      <c r="C50" s="2044" t="s">
        <v>3427</v>
      </c>
      <c r="D50" s="1065">
        <f t="shared" ref="D50:D58" si="7">SUMIF($J$49:$N$49,C50,J50:N50)</f>
        <v>1.4800000000000001E-2</v>
      </c>
      <c r="E50" s="744">
        <f>ROUND(SUM(D50:D58),4)</f>
        <v>5.28E-2</v>
      </c>
      <c r="F50" s="1814">
        <f>IF(E2="商业",SUMIF(L1:L12,G2,N1:N12),"——")</f>
        <v>9.9000000000000005E-2</v>
      </c>
      <c r="G50" s="1063">
        <f>H50</f>
        <v>1.4800000000000001E-2</v>
      </c>
      <c r="H50" s="1066">
        <f t="shared" ref="H50:H58" si="8">IFERROR(ROUNDDOWN($F$50*I50/2,4),"——")</f>
        <v>1.4800000000000001E-2</v>
      </c>
      <c r="I50" s="3366">
        <v>0.3</v>
      </c>
      <c r="J50" s="1064">
        <f t="shared" ref="J50:J58" si="9">K50+$G50</f>
        <v>2.9600000000000001E-2</v>
      </c>
      <c r="K50" s="1064">
        <f t="shared" ref="K50:K58" si="10">$L50+$G50</f>
        <v>1.4800000000000001E-2</v>
      </c>
      <c r="L50" s="1064">
        <v>0</v>
      </c>
      <c r="M50" s="1064">
        <f t="shared" ref="M50:N58" si="11">L50-$G50</f>
        <v>-1.4800000000000001E-2</v>
      </c>
      <c r="N50" s="1064">
        <f t="shared" si="11"/>
        <v>-2.9600000000000001E-2</v>
      </c>
      <c r="AA50" s="1120"/>
      <c r="AB50" s="1120"/>
      <c r="AC50" s="1120"/>
      <c r="AD50" s="1120"/>
      <c r="AE50" s="1120"/>
      <c r="AF50" s="1120"/>
      <c r="AG50" s="1120"/>
      <c r="AH50" s="1120"/>
      <c r="AI50" s="1120"/>
      <c r="AJ50" s="1120"/>
      <c r="AK50" s="1120"/>
    </row>
    <row r="51" spans="1:37" s="1119" customFormat="1" ht="14.25">
      <c r="A51" s="2130" t="s">
        <v>2053</v>
      </c>
      <c r="B51" s="2134" t="str">
        <f>估价对象房地状况!C18</f>
        <v>光熙门536米</v>
      </c>
      <c r="C51" s="2044" t="s">
        <v>3427</v>
      </c>
      <c r="D51" s="1065">
        <f t="shared" si="7"/>
        <v>1.0800000000000001E-2</v>
      </c>
      <c r="E51" s="745"/>
      <c r="F51" s="1814"/>
      <c r="G51" s="1063">
        <f t="shared" ref="G51:G58" si="12">H51</f>
        <v>1.0800000000000001E-2</v>
      </c>
      <c r="H51" s="1066">
        <f t="shared" si="8"/>
        <v>1.0800000000000001E-2</v>
      </c>
      <c r="I51" s="3366">
        <v>0.22</v>
      </c>
      <c r="J51" s="1064">
        <f t="shared" si="9"/>
        <v>2.1600000000000001E-2</v>
      </c>
      <c r="K51" s="1064">
        <f t="shared" si="10"/>
        <v>1.0800000000000001E-2</v>
      </c>
      <c r="L51" s="1064">
        <v>0</v>
      </c>
      <c r="M51" s="1064">
        <f t="shared" si="11"/>
        <v>-1.0800000000000001E-2</v>
      </c>
      <c r="N51" s="1064">
        <f t="shared" si="11"/>
        <v>-2.1600000000000001E-2</v>
      </c>
      <c r="AA51" s="1120"/>
      <c r="AB51" s="1120"/>
      <c r="AC51" s="1120"/>
      <c r="AD51" s="1120"/>
      <c r="AE51" s="1120"/>
      <c r="AF51" s="1120"/>
      <c r="AG51" s="1120"/>
      <c r="AH51" s="1120"/>
      <c r="AI51" s="1120"/>
      <c r="AJ51" s="1120"/>
      <c r="AK51" s="1120"/>
    </row>
    <row r="52" spans="1:37" s="1119" customFormat="1" ht="36">
      <c r="A52" s="3368" t="s">
        <v>3276</v>
      </c>
      <c r="B52" s="2134">
        <f>估价对象房地状况!C19</f>
        <v>0</v>
      </c>
      <c r="C52" s="2044" t="s">
        <v>3427</v>
      </c>
      <c r="D52" s="1065">
        <f t="shared" si="7"/>
        <v>5.8999999999999999E-3</v>
      </c>
      <c r="E52" s="745"/>
      <c r="F52" s="1814"/>
      <c r="G52" s="1063">
        <f t="shared" si="12"/>
        <v>5.8999999999999999E-3</v>
      </c>
      <c r="H52" s="1066">
        <f t="shared" si="8"/>
        <v>5.8999999999999999E-3</v>
      </c>
      <c r="I52" s="3366">
        <v>0.12</v>
      </c>
      <c r="J52" s="1064">
        <f t="shared" si="9"/>
        <v>1.18E-2</v>
      </c>
      <c r="K52" s="1064">
        <f t="shared" si="10"/>
        <v>5.8999999999999999E-3</v>
      </c>
      <c r="L52" s="1064">
        <v>0</v>
      </c>
      <c r="M52" s="1064">
        <f t="shared" si="11"/>
        <v>-5.8999999999999999E-3</v>
      </c>
      <c r="N52" s="1064">
        <f t="shared" si="11"/>
        <v>-1.18E-2</v>
      </c>
      <c r="AA52" s="1120"/>
      <c r="AB52" s="1120"/>
      <c r="AC52" s="1120"/>
      <c r="AD52" s="1120"/>
      <c r="AE52" s="1120"/>
      <c r="AF52" s="1120"/>
      <c r="AG52" s="1120"/>
      <c r="AH52" s="1120"/>
      <c r="AI52" s="1120"/>
      <c r="AJ52" s="1120"/>
      <c r="AK52" s="1120"/>
    </row>
    <row r="53" spans="1:37" s="1119" customFormat="1" ht="36.75">
      <c r="A53" s="2130" t="s">
        <v>2054</v>
      </c>
      <c r="B53" s="2135" t="s">
        <v>2055</v>
      </c>
      <c r="C53" s="2044" t="s">
        <v>3427</v>
      </c>
      <c r="D53" s="1065">
        <f t="shared" si="7"/>
        <v>2.3999999999999998E-3</v>
      </c>
      <c r="E53" s="745"/>
      <c r="F53" s="1814"/>
      <c r="G53" s="1063">
        <f t="shared" si="12"/>
        <v>2.3999999999999998E-3</v>
      </c>
      <c r="H53" s="1066">
        <f t="shared" si="8"/>
        <v>2.3999999999999998E-3</v>
      </c>
      <c r="I53" s="3366">
        <v>0.05</v>
      </c>
      <c r="J53" s="1064">
        <f t="shared" si="9"/>
        <v>4.7999999999999996E-3</v>
      </c>
      <c r="K53" s="1064">
        <f t="shared" si="10"/>
        <v>2.3999999999999998E-3</v>
      </c>
      <c r="L53" s="1064">
        <v>0</v>
      </c>
      <c r="M53" s="1064">
        <f t="shared" si="11"/>
        <v>-2.3999999999999998E-3</v>
      </c>
      <c r="N53" s="1064">
        <f t="shared" si="11"/>
        <v>-4.7999999999999996E-3</v>
      </c>
      <c r="AA53" s="1120"/>
      <c r="AB53" s="1120"/>
      <c r="AC53" s="1120"/>
      <c r="AD53" s="1120"/>
      <c r="AE53" s="1120"/>
      <c r="AF53" s="1120"/>
      <c r="AG53" s="1120"/>
      <c r="AH53" s="1120"/>
      <c r="AI53" s="1120"/>
      <c r="AJ53" s="1120"/>
      <c r="AK53" s="1120"/>
    </row>
    <row r="54" spans="1:37" s="1119" customFormat="1" ht="24">
      <c r="A54" s="2130" t="s">
        <v>2056</v>
      </c>
      <c r="B54" s="2134">
        <f>估价对象房地状况!C24</f>
        <v>0</v>
      </c>
      <c r="C54" s="2044" t="s">
        <v>3427</v>
      </c>
      <c r="D54" s="1065">
        <f t="shared" si="7"/>
        <v>3.8999999999999998E-3</v>
      </c>
      <c r="E54" s="745"/>
      <c r="F54" s="1814"/>
      <c r="G54" s="1063">
        <f t="shared" si="12"/>
        <v>3.8999999999999998E-3</v>
      </c>
      <c r="H54" s="1066">
        <f t="shared" si="8"/>
        <v>3.8999999999999998E-3</v>
      </c>
      <c r="I54" s="3366">
        <v>0.08</v>
      </c>
      <c r="J54" s="1064">
        <f t="shared" si="9"/>
        <v>7.7999999999999996E-3</v>
      </c>
      <c r="K54" s="1064">
        <f t="shared" si="10"/>
        <v>3.8999999999999998E-3</v>
      </c>
      <c r="L54" s="1064">
        <v>0</v>
      </c>
      <c r="M54" s="1064">
        <f t="shared" si="11"/>
        <v>-3.8999999999999998E-3</v>
      </c>
      <c r="N54" s="1064">
        <f t="shared" si="11"/>
        <v>-7.7999999999999996E-3</v>
      </c>
      <c r="AA54" s="1120"/>
      <c r="AB54" s="1120"/>
      <c r="AC54" s="1120"/>
      <c r="AD54" s="1120"/>
      <c r="AE54" s="1120"/>
      <c r="AF54" s="1120"/>
      <c r="AG54" s="1120"/>
      <c r="AH54" s="1120"/>
      <c r="AI54" s="1120"/>
      <c r="AJ54" s="1120"/>
      <c r="AK54" s="1120"/>
    </row>
    <row r="55" spans="1:37" s="1119" customFormat="1" ht="24">
      <c r="A55" s="2130" t="s">
        <v>2057</v>
      </c>
      <c r="B55" s="2136" t="s">
        <v>2058</v>
      </c>
      <c r="C55" s="2044" t="s">
        <v>3427</v>
      </c>
      <c r="D55" s="1065">
        <f t="shared" si="7"/>
        <v>2.3999999999999998E-3</v>
      </c>
      <c r="E55" s="745"/>
      <c r="F55" s="1814"/>
      <c r="G55" s="1063">
        <f t="shared" si="12"/>
        <v>2.3999999999999998E-3</v>
      </c>
      <c r="H55" s="1066">
        <f t="shared" si="8"/>
        <v>2.3999999999999998E-3</v>
      </c>
      <c r="I55" s="3366">
        <v>0.05</v>
      </c>
      <c r="J55" s="1064">
        <f t="shared" si="9"/>
        <v>4.7999999999999996E-3</v>
      </c>
      <c r="K55" s="1064">
        <f t="shared" si="10"/>
        <v>2.3999999999999998E-3</v>
      </c>
      <c r="L55" s="1064">
        <v>0</v>
      </c>
      <c r="M55" s="1064">
        <f t="shared" si="11"/>
        <v>-2.3999999999999998E-3</v>
      </c>
      <c r="N55" s="1064">
        <f t="shared" si="11"/>
        <v>-4.7999999999999996E-3</v>
      </c>
      <c r="AA55" s="1120"/>
      <c r="AB55" s="1120"/>
      <c r="AC55" s="1120"/>
      <c r="AD55" s="1120"/>
      <c r="AE55" s="1120"/>
      <c r="AF55" s="1120"/>
      <c r="AG55" s="1120"/>
      <c r="AH55" s="1120"/>
      <c r="AI55" s="1120"/>
      <c r="AJ55" s="1120"/>
      <c r="AK55" s="1120"/>
    </row>
    <row r="56" spans="1:37" s="1119" customFormat="1" ht="25.5">
      <c r="A56" s="2137" t="s">
        <v>2059</v>
      </c>
      <c r="B56" s="1326" t="str">
        <f>估价对象房地状况!C21</f>
        <v>估价对象所在区域公共配套设施齐备情况</v>
      </c>
      <c r="C56" s="2044" t="s">
        <v>3427</v>
      </c>
      <c r="D56" s="1065">
        <f t="shared" si="7"/>
        <v>2.3999999999999998E-3</v>
      </c>
      <c r="E56" s="745"/>
      <c r="F56" s="1814"/>
      <c r="G56" s="1063">
        <f t="shared" si="12"/>
        <v>2.3999999999999998E-3</v>
      </c>
      <c r="H56" s="1066">
        <f t="shared" si="8"/>
        <v>2.3999999999999998E-3</v>
      </c>
      <c r="I56" s="3366">
        <v>0.05</v>
      </c>
      <c r="J56" s="1064">
        <f t="shared" si="9"/>
        <v>4.7999999999999996E-3</v>
      </c>
      <c r="K56" s="1064">
        <f t="shared" si="10"/>
        <v>2.3999999999999998E-3</v>
      </c>
      <c r="L56" s="1064">
        <v>0</v>
      </c>
      <c r="M56" s="1064">
        <f t="shared" si="11"/>
        <v>-2.3999999999999998E-3</v>
      </c>
      <c r="N56" s="1064">
        <f t="shared" si="11"/>
        <v>-4.7999999999999996E-3</v>
      </c>
      <c r="AA56" s="1120"/>
      <c r="AB56" s="1120"/>
      <c r="AC56" s="1120"/>
      <c r="AD56" s="1120"/>
      <c r="AE56" s="1120"/>
      <c r="AF56" s="1120"/>
      <c r="AG56" s="1120"/>
      <c r="AH56" s="1120"/>
      <c r="AI56" s="1120"/>
      <c r="AJ56" s="1120"/>
      <c r="AK56" s="1120"/>
    </row>
    <row r="57" spans="1:37" s="1119" customFormat="1" ht="25.5">
      <c r="A57" s="2137" t="s">
        <v>2060</v>
      </c>
      <c r="B57" s="2134" t="str">
        <f>估价对象房地状况!C22</f>
        <v>估价对象所在区域基础设施水平</v>
      </c>
      <c r="C57" s="2044" t="s">
        <v>3428</v>
      </c>
      <c r="D57" s="1065">
        <f t="shared" si="7"/>
        <v>7.7999999999999996E-3</v>
      </c>
      <c r="E57" s="745"/>
      <c r="F57" s="1814"/>
      <c r="G57" s="1063">
        <f t="shared" si="12"/>
        <v>3.8999999999999998E-3</v>
      </c>
      <c r="H57" s="1066">
        <f t="shared" si="8"/>
        <v>3.8999999999999998E-3</v>
      </c>
      <c r="I57" s="3366">
        <v>0.08</v>
      </c>
      <c r="J57" s="1064">
        <f t="shared" si="9"/>
        <v>7.7999999999999996E-3</v>
      </c>
      <c r="K57" s="1064">
        <f t="shared" si="10"/>
        <v>3.8999999999999998E-3</v>
      </c>
      <c r="L57" s="1064">
        <v>0</v>
      </c>
      <c r="M57" s="1064">
        <f t="shared" si="11"/>
        <v>-3.8999999999999998E-3</v>
      </c>
      <c r="N57" s="1064">
        <f t="shared" si="11"/>
        <v>-7.7999999999999996E-3</v>
      </c>
      <c r="AA57" s="1120"/>
      <c r="AB57" s="1120"/>
      <c r="AC57" s="1120"/>
      <c r="AD57" s="1120"/>
      <c r="AE57" s="1120"/>
      <c r="AF57" s="1120"/>
      <c r="AG57" s="1120"/>
      <c r="AH57" s="1120"/>
      <c r="AI57" s="1120"/>
      <c r="AJ57" s="1120"/>
      <c r="AK57" s="1120"/>
    </row>
    <row r="58" spans="1:37" s="1119" customFormat="1" ht="26.25" thickBot="1">
      <c r="A58" s="2138" t="s">
        <v>2061</v>
      </c>
      <c r="B58" s="2139" t="str">
        <f>估价对象房地状况!C20</f>
        <v>区域自然环境：；人文环境；综合评价环境状况一般</v>
      </c>
      <c r="C58" s="2044" t="s">
        <v>3427</v>
      </c>
      <c r="D58" s="1065">
        <f t="shared" si="7"/>
        <v>2.3999999999999998E-3</v>
      </c>
      <c r="E58" s="746"/>
      <c r="F58" s="1814"/>
      <c r="G58" s="1063">
        <f t="shared" si="12"/>
        <v>2.3999999999999998E-3</v>
      </c>
      <c r="H58" s="1066">
        <f t="shared" si="8"/>
        <v>2.3999999999999998E-3</v>
      </c>
      <c r="I58" s="3367">
        <v>0.05</v>
      </c>
      <c r="J58" s="1064">
        <f t="shared" si="9"/>
        <v>4.7999999999999996E-3</v>
      </c>
      <c r="K58" s="1064">
        <f t="shared" si="10"/>
        <v>2.3999999999999998E-3</v>
      </c>
      <c r="L58" s="1064">
        <v>0</v>
      </c>
      <c r="M58" s="1064">
        <f t="shared" si="11"/>
        <v>-2.3999999999999998E-3</v>
      </c>
      <c r="N58" s="1064">
        <f t="shared" si="11"/>
        <v>-4.7999999999999996E-3</v>
      </c>
      <c r="AA58" s="1120"/>
      <c r="AB58" s="1120"/>
      <c r="AC58" s="1120"/>
      <c r="AD58" s="1120"/>
      <c r="AE58" s="1120"/>
      <c r="AF58" s="1120"/>
      <c r="AG58" s="1120"/>
      <c r="AH58" s="1120"/>
      <c r="AI58" s="1120"/>
      <c r="AJ58" s="1120"/>
      <c r="AK58" s="1120"/>
    </row>
    <row r="59" spans="1:37" s="1119" customFormat="1" ht="15">
      <c r="A59" s="2126" t="s">
        <v>2062</v>
      </c>
      <c r="B59" s="2127">
        <f>1+E61</f>
        <v>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2044</v>
      </c>
      <c r="B60" s="1351"/>
      <c r="C60" s="1351" t="s">
        <v>2046</v>
      </c>
      <c r="D60" s="1351" t="s">
        <v>2047</v>
      </c>
      <c r="E60" s="743" t="s">
        <v>2048</v>
      </c>
      <c r="F60" s="2131" t="s">
        <v>2063</v>
      </c>
      <c r="G60" s="1351" t="s">
        <v>310</v>
      </c>
      <c r="H60" s="2132" t="s">
        <v>2050</v>
      </c>
      <c r="I60" s="1351" t="s">
        <v>2051</v>
      </c>
      <c r="J60" s="552" t="s">
        <v>1721</v>
      </c>
      <c r="K60" s="552" t="s">
        <v>1722</v>
      </c>
      <c r="L60" s="552" t="s">
        <v>1723</v>
      </c>
      <c r="M60" s="552" t="s">
        <v>1724</v>
      </c>
      <c r="N60" s="552" t="s">
        <v>1725</v>
      </c>
      <c r="AA60" s="1120"/>
      <c r="AB60" s="1120"/>
      <c r="AC60" s="1120"/>
      <c r="AD60" s="1120"/>
      <c r="AE60" s="1120"/>
      <c r="AF60" s="1120"/>
      <c r="AG60" s="1120"/>
      <c r="AH60" s="1120"/>
      <c r="AI60" s="1120"/>
      <c r="AJ60" s="1120"/>
      <c r="AK60" s="1120"/>
    </row>
    <row r="61" spans="1:37" s="1119" customFormat="1" ht="38.25">
      <c r="A61" s="2130" t="s">
        <v>2064</v>
      </c>
      <c r="B61" s="2133" t="str">
        <f>估价对象房地状况!C17</f>
        <v>估价对象位于XX商圈，周边办公楼项目较多，入驻率高，办公集聚程度较好</v>
      </c>
      <c r="C61" s="2044"/>
      <c r="D61" s="1065">
        <f t="shared" ref="D61:D69" si="13">SUMIF($J$60:$N$60,C61,J61:N61)</f>
        <v>0</v>
      </c>
      <c r="E61" s="744">
        <f>ROUND(SUM(D61:D69),4)</f>
        <v>0</v>
      </c>
      <c r="F61" s="1814" t="str">
        <f>IF(E2="办公",SUMIF(L1:L12,G2,N1:N12),"——")</f>
        <v>——</v>
      </c>
      <c r="G61" s="1063"/>
      <c r="H61" s="1066" t="str">
        <f t="shared" ref="H61:H69" si="14">IFERROR(ROUNDDOWN($F$61*I61/2,4),"——")</f>
        <v>——</v>
      </c>
      <c r="I61" s="3366">
        <v>0.25</v>
      </c>
      <c r="J61" s="1064">
        <f t="shared" ref="J61:J69" si="15">K61+$G61</f>
        <v>0</v>
      </c>
      <c r="K61" s="1064">
        <f t="shared" ref="K61:K69" si="16">$L61+$G61</f>
        <v>0</v>
      </c>
      <c r="L61" s="1064">
        <v>0</v>
      </c>
      <c r="M61" s="1064">
        <f t="shared" ref="M61:N69" si="17">L61-$G61</f>
        <v>0</v>
      </c>
      <c r="N61" s="1064">
        <f t="shared" si="17"/>
        <v>0</v>
      </c>
      <c r="AA61" s="1120"/>
      <c r="AB61" s="1120"/>
      <c r="AC61" s="1120"/>
      <c r="AD61" s="1120"/>
      <c r="AE61" s="1120"/>
      <c r="AF61" s="1120"/>
      <c r="AG61" s="1120"/>
      <c r="AH61" s="1120"/>
      <c r="AI61" s="1120"/>
      <c r="AJ61" s="1120"/>
      <c r="AK61" s="1120"/>
    </row>
    <row r="62" spans="1:37" s="1119" customFormat="1" ht="14.25">
      <c r="A62" s="2130" t="s">
        <v>2053</v>
      </c>
      <c r="B62" s="2134" t="str">
        <f>估价对象房地状况!C18</f>
        <v>光熙门536米</v>
      </c>
      <c r="C62" s="2044"/>
      <c r="D62" s="1065">
        <f t="shared" si="13"/>
        <v>0</v>
      </c>
      <c r="E62" s="745"/>
      <c r="F62" s="1814"/>
      <c r="G62" s="1063"/>
      <c r="H62" s="1066" t="str">
        <f t="shared" si="14"/>
        <v>——</v>
      </c>
      <c r="I62" s="3366">
        <v>0.26</v>
      </c>
      <c r="J62" s="1064">
        <f t="shared" si="15"/>
        <v>0</v>
      </c>
      <c r="K62" s="1064">
        <f t="shared" si="16"/>
        <v>0</v>
      </c>
      <c r="L62" s="1064">
        <v>0</v>
      </c>
      <c r="M62" s="1064">
        <f t="shared" si="17"/>
        <v>0</v>
      </c>
      <c r="N62" s="1064">
        <f t="shared" si="17"/>
        <v>0</v>
      </c>
      <c r="AA62" s="1120"/>
      <c r="AB62" s="1120"/>
      <c r="AC62" s="1120"/>
      <c r="AD62" s="1120"/>
      <c r="AE62" s="1120"/>
      <c r="AF62" s="1120"/>
      <c r="AG62" s="1120"/>
      <c r="AH62" s="1120"/>
      <c r="AI62" s="1120"/>
      <c r="AJ62" s="1120"/>
      <c r="AK62" s="1120"/>
    </row>
    <row r="63" spans="1:37" s="1119" customFormat="1" ht="36">
      <c r="A63" s="3368" t="s">
        <v>3276</v>
      </c>
      <c r="B63" s="2134">
        <f>估价对象房地状况!C19</f>
        <v>0</v>
      </c>
      <c r="C63" s="2044"/>
      <c r="D63" s="1065">
        <f t="shared" si="13"/>
        <v>0</v>
      </c>
      <c r="E63" s="745"/>
      <c r="F63" s="1814"/>
      <c r="G63" s="1063"/>
      <c r="H63" s="1066" t="str">
        <f t="shared" si="14"/>
        <v>——</v>
      </c>
      <c r="I63" s="3366">
        <v>0.11</v>
      </c>
      <c r="J63" s="1064">
        <f t="shared" si="15"/>
        <v>0</v>
      </c>
      <c r="K63" s="1064">
        <f t="shared" si="16"/>
        <v>0</v>
      </c>
      <c r="L63" s="1064">
        <v>0</v>
      </c>
      <c r="M63" s="1064">
        <f t="shared" si="17"/>
        <v>0</v>
      </c>
      <c r="N63" s="1064">
        <f t="shared" si="17"/>
        <v>0</v>
      </c>
      <c r="AA63" s="1120"/>
      <c r="AB63" s="1120"/>
      <c r="AC63" s="1120"/>
      <c r="AD63" s="1120"/>
      <c r="AE63" s="1120"/>
      <c r="AF63" s="1120"/>
      <c r="AG63" s="1120"/>
      <c r="AH63" s="1120"/>
      <c r="AI63" s="1120"/>
      <c r="AJ63" s="1120"/>
      <c r="AK63" s="1120"/>
    </row>
    <row r="64" spans="1:37" s="1119" customFormat="1" ht="36.75">
      <c r="A64" s="2130" t="s">
        <v>2054</v>
      </c>
      <c r="B64" s="2135" t="s">
        <v>2055</v>
      </c>
      <c r="C64" s="2044"/>
      <c r="D64" s="1065">
        <f t="shared" si="13"/>
        <v>0</v>
      </c>
      <c r="E64" s="745"/>
      <c r="F64" s="1814"/>
      <c r="G64" s="1063"/>
      <c r="H64" s="1066" t="str">
        <f t="shared" si="14"/>
        <v>——</v>
      </c>
      <c r="I64" s="3366">
        <v>0.05</v>
      </c>
      <c r="J64" s="1064">
        <f t="shared" si="15"/>
        <v>0</v>
      </c>
      <c r="K64" s="1064">
        <f t="shared" si="16"/>
        <v>0</v>
      </c>
      <c r="L64" s="1064">
        <v>0</v>
      </c>
      <c r="M64" s="1064">
        <f t="shared" si="17"/>
        <v>0</v>
      </c>
      <c r="N64" s="1064">
        <f t="shared" si="17"/>
        <v>0</v>
      </c>
      <c r="AA64" s="1120"/>
      <c r="AB64" s="1120"/>
      <c r="AC64" s="1120"/>
      <c r="AD64" s="1120"/>
      <c r="AE64" s="1120"/>
      <c r="AF64" s="1120"/>
      <c r="AG64" s="1120"/>
      <c r="AH64" s="1120"/>
      <c r="AI64" s="1120"/>
      <c r="AJ64" s="1120"/>
      <c r="AK64" s="1120"/>
    </row>
    <row r="65" spans="1:37" s="1119" customFormat="1" ht="24">
      <c r="A65" s="2130" t="s">
        <v>2056</v>
      </c>
      <c r="B65" s="2134">
        <f>估价对象房地状况!C24</f>
        <v>0</v>
      </c>
      <c r="C65" s="2044"/>
      <c r="D65" s="1065">
        <f t="shared" si="13"/>
        <v>0</v>
      </c>
      <c r="E65" s="745"/>
      <c r="F65" s="1814"/>
      <c r="G65" s="1063"/>
      <c r="H65" s="1066" t="str">
        <f t="shared" si="14"/>
        <v>——</v>
      </c>
      <c r="I65" s="3366">
        <v>0.05</v>
      </c>
      <c r="J65" s="1064">
        <f t="shared" si="15"/>
        <v>0</v>
      </c>
      <c r="K65" s="1064">
        <f t="shared" si="16"/>
        <v>0</v>
      </c>
      <c r="L65" s="1064">
        <v>0</v>
      </c>
      <c r="M65" s="1064">
        <f t="shared" si="17"/>
        <v>0</v>
      </c>
      <c r="N65" s="1064">
        <f t="shared" si="17"/>
        <v>0</v>
      </c>
      <c r="AA65" s="1120"/>
      <c r="AB65" s="1120"/>
      <c r="AC65" s="1120"/>
      <c r="AD65" s="1120"/>
      <c r="AE65" s="1120"/>
      <c r="AF65" s="1120"/>
      <c r="AG65" s="1120"/>
      <c r="AH65" s="1120"/>
      <c r="AI65" s="1120"/>
      <c r="AJ65" s="1120"/>
      <c r="AK65" s="1120"/>
    </row>
    <row r="66" spans="1:37" s="1119" customFormat="1" ht="24">
      <c r="A66" s="2130" t="s">
        <v>2057</v>
      </c>
      <c r="B66" s="2136" t="s">
        <v>2058</v>
      </c>
      <c r="C66" s="2044"/>
      <c r="D66" s="1065">
        <f t="shared" si="13"/>
        <v>0</v>
      </c>
      <c r="E66" s="745"/>
      <c r="F66" s="1814"/>
      <c r="G66" s="1063"/>
      <c r="H66" s="1066" t="str">
        <f t="shared" si="14"/>
        <v>——</v>
      </c>
      <c r="I66" s="3366">
        <v>0.06</v>
      </c>
      <c r="J66" s="1064">
        <f t="shared" si="15"/>
        <v>0</v>
      </c>
      <c r="K66" s="1064">
        <f t="shared" si="16"/>
        <v>0</v>
      </c>
      <c r="L66" s="1064">
        <v>0</v>
      </c>
      <c r="M66" s="1064">
        <f t="shared" si="17"/>
        <v>0</v>
      </c>
      <c r="N66" s="1064">
        <f t="shared" si="17"/>
        <v>0</v>
      </c>
      <c r="AA66" s="1120"/>
      <c r="AB66" s="1120"/>
      <c r="AC66" s="1120"/>
      <c r="AD66" s="1120"/>
      <c r="AE66" s="1120"/>
      <c r="AF66" s="1120"/>
      <c r="AG66" s="1120"/>
      <c r="AH66" s="1120"/>
      <c r="AI66" s="1120"/>
      <c r="AJ66" s="1120"/>
      <c r="AK66" s="1120"/>
    </row>
    <row r="67" spans="1:37" s="1119" customFormat="1" ht="25.5">
      <c r="A67" s="2130" t="s">
        <v>2059</v>
      </c>
      <c r="B67" s="1326" t="str">
        <f>估价对象房地状况!C21</f>
        <v>估价对象所在区域公共配套设施齐备情况</v>
      </c>
      <c r="C67" s="2044"/>
      <c r="D67" s="1065">
        <f t="shared" si="13"/>
        <v>0</v>
      </c>
      <c r="E67" s="745"/>
      <c r="F67" s="1814"/>
      <c r="G67" s="1063"/>
      <c r="H67" s="1066" t="str">
        <f t="shared" si="14"/>
        <v>——</v>
      </c>
      <c r="I67" s="3366">
        <v>0.06</v>
      </c>
      <c r="J67" s="1064">
        <f t="shared" si="15"/>
        <v>0</v>
      </c>
      <c r="K67" s="1064">
        <f t="shared" si="16"/>
        <v>0</v>
      </c>
      <c r="L67" s="1064">
        <v>0</v>
      </c>
      <c r="M67" s="1064">
        <f t="shared" si="17"/>
        <v>0</v>
      </c>
      <c r="N67" s="1064">
        <f t="shared" si="17"/>
        <v>0</v>
      </c>
      <c r="AA67" s="1120"/>
      <c r="AB67" s="1120"/>
      <c r="AC67" s="1120"/>
      <c r="AD67" s="1120"/>
      <c r="AE67" s="1120"/>
      <c r="AF67" s="1120"/>
      <c r="AG67" s="1120"/>
      <c r="AH67" s="1120"/>
      <c r="AI67" s="1120"/>
      <c r="AJ67" s="1120"/>
      <c r="AK67" s="1120"/>
    </row>
    <row r="68" spans="1:37" s="1119" customFormat="1" ht="25.5">
      <c r="A68" s="2130" t="s">
        <v>2060</v>
      </c>
      <c r="B68" s="1326" t="str">
        <f>估价对象房地状况!C22</f>
        <v>估价对象所在区域基础设施水平</v>
      </c>
      <c r="C68" s="2044"/>
      <c r="D68" s="1065">
        <f t="shared" si="13"/>
        <v>0</v>
      </c>
      <c r="E68" s="745"/>
      <c r="F68" s="1814"/>
      <c r="G68" s="1063"/>
      <c r="H68" s="1066" t="str">
        <f t="shared" si="14"/>
        <v>——</v>
      </c>
      <c r="I68" s="3366">
        <v>0.09</v>
      </c>
      <c r="J68" s="1064">
        <f t="shared" si="15"/>
        <v>0</v>
      </c>
      <c r="K68" s="1064">
        <f t="shared" si="16"/>
        <v>0</v>
      </c>
      <c r="L68" s="1064">
        <v>0</v>
      </c>
      <c r="M68" s="1064">
        <f t="shared" si="17"/>
        <v>0</v>
      </c>
      <c r="N68" s="1064">
        <f t="shared" si="17"/>
        <v>0</v>
      </c>
      <c r="AA68" s="1120"/>
      <c r="AB68" s="1120"/>
      <c r="AC68" s="1120"/>
      <c r="AD68" s="1120"/>
      <c r="AE68" s="1120"/>
      <c r="AF68" s="1120"/>
      <c r="AG68" s="1120"/>
      <c r="AH68" s="1120"/>
      <c r="AI68" s="1120"/>
      <c r="AJ68" s="1120"/>
      <c r="AK68" s="1120"/>
    </row>
    <row r="69" spans="1:37" s="1119" customFormat="1" ht="26.25" thickBot="1">
      <c r="A69" s="2138" t="s">
        <v>2061</v>
      </c>
      <c r="B69" s="2140" t="str">
        <f>估价对象房地状况!C20</f>
        <v>区域自然环境：；人文环境；综合评价环境状况一般</v>
      </c>
      <c r="C69" s="2044"/>
      <c r="D69" s="1065">
        <f t="shared" si="13"/>
        <v>0</v>
      </c>
      <c r="E69" s="746"/>
      <c r="F69" s="1814"/>
      <c r="G69" s="1063"/>
      <c r="H69" s="1066" t="str">
        <f t="shared" si="14"/>
        <v>——</v>
      </c>
      <c r="I69" s="3367">
        <v>7.0000000000000007E-2</v>
      </c>
      <c r="J69" s="1064">
        <f t="shared" si="15"/>
        <v>0</v>
      </c>
      <c r="K69" s="1064">
        <f t="shared" si="16"/>
        <v>0</v>
      </c>
      <c r="L69" s="1064">
        <v>0</v>
      </c>
      <c r="M69" s="1064">
        <f t="shared" si="17"/>
        <v>0</v>
      </c>
      <c r="N69" s="1064">
        <f t="shared" si="17"/>
        <v>0</v>
      </c>
      <c r="AA69" s="1120"/>
      <c r="AB69" s="1120"/>
      <c r="AC69" s="1120"/>
      <c r="AD69" s="1120"/>
      <c r="AE69" s="1120"/>
      <c r="AF69" s="1120"/>
      <c r="AG69" s="1120"/>
      <c r="AH69" s="1120"/>
      <c r="AI69" s="1120"/>
      <c r="AJ69" s="1120"/>
      <c r="AK69" s="1120"/>
    </row>
    <row r="70" spans="1:37" s="1119" customFormat="1" ht="15">
      <c r="A70" s="2126" t="s">
        <v>2065</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2044</v>
      </c>
      <c r="B71" s="1351"/>
      <c r="C71" s="1351" t="s">
        <v>2046</v>
      </c>
      <c r="D71" s="1351" t="s">
        <v>2047</v>
      </c>
      <c r="E71" s="743" t="s">
        <v>2048</v>
      </c>
      <c r="F71" s="2131" t="s">
        <v>2063</v>
      </c>
      <c r="G71" s="1351" t="s">
        <v>310</v>
      </c>
      <c r="H71" s="2132" t="s">
        <v>2050</v>
      </c>
      <c r="I71" s="1351" t="s">
        <v>2051</v>
      </c>
      <c r="J71" s="552" t="s">
        <v>1721</v>
      </c>
      <c r="K71" s="552" t="s">
        <v>1722</v>
      </c>
      <c r="L71" s="552" t="s">
        <v>1723</v>
      </c>
      <c r="M71" s="552" t="s">
        <v>1724</v>
      </c>
      <c r="N71" s="552" t="s">
        <v>1725</v>
      </c>
      <c r="AA71" s="1120"/>
      <c r="AB71" s="1120"/>
      <c r="AC71" s="1120"/>
      <c r="AD71" s="1120"/>
      <c r="AE71" s="1120"/>
      <c r="AF71" s="1120"/>
      <c r="AG71" s="1120"/>
      <c r="AH71" s="1120"/>
      <c r="AI71" s="1120"/>
      <c r="AJ71" s="1120"/>
      <c r="AK71" s="1120"/>
    </row>
    <row r="72" spans="1:37" s="1119" customFormat="1" ht="51">
      <c r="A72" s="2130" t="s">
        <v>2066</v>
      </c>
      <c r="B72" s="2133" t="str">
        <f>估价对象房地状况!C15</f>
        <v>估价对象周边居住用地比例、居住小区规模和社区发展完善程度，综合评价居住社区成熟度一般</v>
      </c>
      <c r="C72" s="2044"/>
      <c r="D72" s="1065">
        <f t="shared" ref="D72:D80" si="18">SUMIF($J$71:$N$71,C72,J72:N72)</f>
        <v>0</v>
      </c>
      <c r="E72" s="744">
        <f>ROUND(SUM(D72:D80),4)</f>
        <v>0</v>
      </c>
      <c r="F72" s="1814" t="str">
        <f>IF(E2="住宅",SUMIF(L1:L12,G2,N1:N12),"——")</f>
        <v>——</v>
      </c>
      <c r="G72" s="1063"/>
      <c r="H72" s="1066" t="str">
        <f t="shared" ref="H72:H80" si="19">IFERROR(ROUNDDOWN($F$72*I72/2,4),"——")</f>
        <v>——</v>
      </c>
      <c r="I72" s="3366">
        <v>0.2</v>
      </c>
      <c r="J72" s="1064">
        <f t="shared" ref="J72:J80" si="20">K72+$G72</f>
        <v>0</v>
      </c>
      <c r="K72" s="1064">
        <f t="shared" ref="K72:K80" si="21">$L72+$G72</f>
        <v>0</v>
      </c>
      <c r="L72" s="1064">
        <v>0</v>
      </c>
      <c r="M72" s="1064">
        <f t="shared" ref="M72:N80" si="22">L72-$G72</f>
        <v>0</v>
      </c>
      <c r="N72" s="1064">
        <f t="shared" si="22"/>
        <v>0</v>
      </c>
      <c r="AA72" s="1120"/>
      <c r="AB72" s="1120"/>
      <c r="AC72" s="1120"/>
      <c r="AD72" s="1120"/>
      <c r="AE72" s="1120"/>
      <c r="AF72" s="1120"/>
      <c r="AG72" s="1120"/>
      <c r="AH72" s="1120"/>
      <c r="AI72" s="1120"/>
      <c r="AJ72" s="1120"/>
      <c r="AK72" s="1120"/>
    </row>
    <row r="73" spans="1:37" s="1119" customFormat="1" ht="14.25">
      <c r="A73" s="2130" t="s">
        <v>2053</v>
      </c>
      <c r="B73" s="2134" t="str">
        <f>估价对象房地状况!C18</f>
        <v>光熙门536米</v>
      </c>
      <c r="C73" s="2044"/>
      <c r="D73" s="1065">
        <f t="shared" si="18"/>
        <v>0</v>
      </c>
      <c r="E73" s="747"/>
      <c r="F73" s="1814"/>
      <c r="G73" s="1063"/>
      <c r="H73" s="1066" t="str">
        <f t="shared" si="19"/>
        <v>——</v>
      </c>
      <c r="I73" s="3366">
        <v>0.26</v>
      </c>
      <c r="J73" s="1064">
        <f t="shared" si="20"/>
        <v>0</v>
      </c>
      <c r="K73" s="1064">
        <f t="shared" si="21"/>
        <v>0</v>
      </c>
      <c r="L73" s="1064">
        <v>0</v>
      </c>
      <c r="M73" s="1064">
        <f t="shared" si="22"/>
        <v>0</v>
      </c>
      <c r="N73" s="1064">
        <f t="shared" si="22"/>
        <v>0</v>
      </c>
      <c r="AA73" s="1120"/>
      <c r="AB73" s="1120"/>
      <c r="AC73" s="1120"/>
      <c r="AD73" s="1120"/>
      <c r="AE73" s="1120"/>
      <c r="AF73" s="1120"/>
      <c r="AG73" s="1120"/>
      <c r="AH73" s="1120"/>
      <c r="AI73" s="1120"/>
      <c r="AJ73" s="1120"/>
      <c r="AK73" s="1120"/>
    </row>
    <row r="74" spans="1:37" s="1997" customFormat="1" ht="36">
      <c r="A74" s="3368" t="s">
        <v>3276</v>
      </c>
      <c r="B74" s="2134">
        <f>估价对象房地状况!C19</f>
        <v>0</v>
      </c>
      <c r="C74" s="2044"/>
      <c r="D74" s="1065">
        <f t="shared" si="18"/>
        <v>0</v>
      </c>
      <c r="E74" s="747"/>
      <c r="F74" s="1814"/>
      <c r="G74" s="1063"/>
      <c r="H74" s="1066" t="str">
        <f t="shared" si="19"/>
        <v>——</v>
      </c>
      <c r="I74" s="3366">
        <v>0.1</v>
      </c>
      <c r="J74" s="1064">
        <f t="shared" si="20"/>
        <v>0</v>
      </c>
      <c r="K74" s="1064">
        <f t="shared" si="21"/>
        <v>0</v>
      </c>
      <c r="L74" s="1064">
        <v>0</v>
      </c>
      <c r="M74" s="1064">
        <f t="shared" si="22"/>
        <v>0</v>
      </c>
      <c r="N74" s="1064">
        <f t="shared" si="22"/>
        <v>0</v>
      </c>
      <c r="O74" s="1119"/>
      <c r="P74" s="1119"/>
      <c r="Q74" s="1119"/>
      <c r="AA74" s="2141"/>
      <c r="AB74" s="1120"/>
      <c r="AC74" s="1120"/>
      <c r="AD74" s="1120"/>
      <c r="AE74" s="1120"/>
      <c r="AF74" s="1120"/>
      <c r="AG74" s="1120"/>
      <c r="AH74" s="2141"/>
      <c r="AI74" s="2141"/>
      <c r="AJ74" s="2141"/>
      <c r="AK74" s="2141"/>
    </row>
    <row r="75" spans="1:37" ht="14.25">
      <c r="A75" s="2130" t="s">
        <v>2067</v>
      </c>
      <c r="B75" s="2134">
        <f>估价对象房地状况!C24</f>
        <v>0</v>
      </c>
      <c r="C75" s="2044"/>
      <c r="D75" s="1065">
        <f t="shared" si="18"/>
        <v>0</v>
      </c>
      <c r="E75" s="747"/>
      <c r="F75" s="1814"/>
      <c r="G75" s="1063"/>
      <c r="H75" s="1066" t="str">
        <f t="shared" si="19"/>
        <v>——</v>
      </c>
      <c r="I75" s="3366">
        <v>0.05</v>
      </c>
      <c r="J75" s="1064">
        <f t="shared" si="20"/>
        <v>0</v>
      </c>
      <c r="K75" s="1064">
        <f t="shared" si="21"/>
        <v>0</v>
      </c>
      <c r="L75" s="1064">
        <v>0</v>
      </c>
      <c r="M75" s="1064">
        <f t="shared" si="22"/>
        <v>0</v>
      </c>
      <c r="N75" s="1064">
        <f t="shared" si="22"/>
        <v>0</v>
      </c>
      <c r="O75" s="1119"/>
      <c r="P75" s="1119"/>
      <c r="Q75" s="1997"/>
      <c r="Z75" s="1998"/>
      <c r="AA75" s="2053"/>
      <c r="AG75" s="1121"/>
      <c r="AK75" s="2053"/>
    </row>
    <row r="76" spans="1:37" ht="25.5">
      <c r="A76" s="2130" t="s">
        <v>2059</v>
      </c>
      <c r="B76" s="1326" t="str">
        <f>估价对象房地状况!C21</f>
        <v>估价对象所在区域公共配套设施齐备情况</v>
      </c>
      <c r="C76" s="2044"/>
      <c r="D76" s="1065">
        <f t="shared" si="18"/>
        <v>0</v>
      </c>
      <c r="E76" s="747"/>
      <c r="F76" s="1814"/>
      <c r="G76" s="1063"/>
      <c r="H76" s="1066" t="str">
        <f t="shared" si="19"/>
        <v>——</v>
      </c>
      <c r="I76" s="3366">
        <v>0.08</v>
      </c>
      <c r="J76" s="1064">
        <f t="shared" si="20"/>
        <v>0</v>
      </c>
      <c r="K76" s="1064">
        <f t="shared" si="21"/>
        <v>0</v>
      </c>
      <c r="L76" s="1064">
        <v>0</v>
      </c>
      <c r="M76" s="1064">
        <f t="shared" si="22"/>
        <v>0</v>
      </c>
      <c r="N76" s="1064">
        <f t="shared" si="22"/>
        <v>0</v>
      </c>
      <c r="O76" s="1119"/>
      <c r="P76" s="1119"/>
      <c r="Z76" s="1998"/>
      <c r="AA76" s="2053"/>
      <c r="AG76" s="1121"/>
      <c r="AK76" s="2053"/>
    </row>
    <row r="77" spans="1:37" ht="25.5">
      <c r="A77" s="2130" t="s">
        <v>2060</v>
      </c>
      <c r="B77" s="1326" t="str">
        <f>估价对象房地状况!C22</f>
        <v>估价对象所在区域基础设施水平</v>
      </c>
      <c r="C77" s="2044"/>
      <c r="D77" s="1065">
        <f t="shared" si="18"/>
        <v>0</v>
      </c>
      <c r="E77" s="747"/>
      <c r="F77" s="1814"/>
      <c r="G77" s="1063"/>
      <c r="H77" s="1066" t="str">
        <f t="shared" si="19"/>
        <v>——</v>
      </c>
      <c r="I77" s="3366">
        <v>0.09</v>
      </c>
      <c r="J77" s="1064">
        <f t="shared" si="20"/>
        <v>0</v>
      </c>
      <c r="K77" s="1064">
        <f t="shared" si="21"/>
        <v>0</v>
      </c>
      <c r="L77" s="1064">
        <v>0</v>
      </c>
      <c r="M77" s="1064">
        <f t="shared" si="22"/>
        <v>0</v>
      </c>
      <c r="N77" s="1064">
        <f t="shared" si="22"/>
        <v>0</v>
      </c>
      <c r="O77" s="1119"/>
      <c r="P77" s="1119"/>
      <c r="Z77" s="1998"/>
      <c r="AA77" s="2053"/>
      <c r="AG77" s="1121"/>
      <c r="AK77" s="2053"/>
    </row>
    <row r="78" spans="1:37" ht="24">
      <c r="A78" s="2130" t="s">
        <v>2057</v>
      </c>
      <c r="B78" s="2136" t="s">
        <v>2058</v>
      </c>
      <c r="C78" s="2044"/>
      <c r="D78" s="1065">
        <f t="shared" si="18"/>
        <v>0</v>
      </c>
      <c r="E78" s="747"/>
      <c r="F78" s="1814"/>
      <c r="G78" s="1063"/>
      <c r="H78" s="1066" t="str">
        <f t="shared" si="19"/>
        <v>——</v>
      </c>
      <c r="I78" s="3366">
        <v>0.05</v>
      </c>
      <c r="J78" s="1064">
        <f t="shared" si="20"/>
        <v>0</v>
      </c>
      <c r="K78" s="1064">
        <f t="shared" si="21"/>
        <v>0</v>
      </c>
      <c r="L78" s="1064">
        <v>0</v>
      </c>
      <c r="M78" s="1064">
        <f t="shared" si="22"/>
        <v>0</v>
      </c>
      <c r="N78" s="1064">
        <f t="shared" si="22"/>
        <v>0</v>
      </c>
      <c r="O78" s="1997"/>
      <c r="P78" s="1997"/>
      <c r="Z78" s="1998"/>
      <c r="AA78" s="2053"/>
      <c r="AG78" s="1121"/>
      <c r="AK78" s="2053"/>
    </row>
    <row r="79" spans="1:37" ht="25.5">
      <c r="A79" s="2130" t="s">
        <v>2061</v>
      </c>
      <c r="B79" s="2133" t="str">
        <f>估价对象房地状况!C20</f>
        <v>区域自然环境：；人文环境；综合评价环境状况一般</v>
      </c>
      <c r="C79" s="2044"/>
      <c r="D79" s="1065">
        <f t="shared" si="18"/>
        <v>0</v>
      </c>
      <c r="E79" s="747"/>
      <c r="F79" s="1814"/>
      <c r="G79" s="1063"/>
      <c r="H79" s="1066" t="str">
        <f t="shared" si="19"/>
        <v>——</v>
      </c>
      <c r="I79" s="3366">
        <v>0.12</v>
      </c>
      <c r="J79" s="1064">
        <f t="shared" si="20"/>
        <v>0</v>
      </c>
      <c r="K79" s="1064">
        <f t="shared" si="21"/>
        <v>0</v>
      </c>
      <c r="L79" s="1064">
        <v>0</v>
      </c>
      <c r="M79" s="1064">
        <f t="shared" si="22"/>
        <v>0</v>
      </c>
      <c r="N79" s="1064">
        <f t="shared" si="22"/>
        <v>0</v>
      </c>
      <c r="Z79" s="1998"/>
      <c r="AA79" s="2053"/>
      <c r="AG79" s="1121"/>
      <c r="AK79" s="2053"/>
    </row>
    <row r="80" spans="1:37" ht="24.75" thickBot="1">
      <c r="A80" s="2138" t="s">
        <v>2068</v>
      </c>
      <c r="B80" s="2142"/>
      <c r="C80" s="2044"/>
      <c r="D80" s="1065">
        <f t="shared" si="18"/>
        <v>0</v>
      </c>
      <c r="E80" s="748"/>
      <c r="F80" s="1814"/>
      <c r="G80" s="1063"/>
      <c r="H80" s="1066" t="str">
        <f t="shared" si="19"/>
        <v>——</v>
      </c>
      <c r="I80" s="3367">
        <v>0.05</v>
      </c>
      <c r="J80" s="1064">
        <f t="shared" si="20"/>
        <v>0</v>
      </c>
      <c r="K80" s="1064">
        <f t="shared" si="21"/>
        <v>0</v>
      </c>
      <c r="L80" s="1064">
        <v>0</v>
      </c>
      <c r="M80" s="1064">
        <f t="shared" si="22"/>
        <v>0</v>
      </c>
      <c r="N80" s="1064">
        <f t="shared" si="22"/>
        <v>0</v>
      </c>
      <c r="Z80" s="1998"/>
      <c r="AA80" s="2053"/>
      <c r="AG80" s="1121"/>
      <c r="AK80" s="2053"/>
    </row>
    <row r="81" spans="1:37" ht="15">
      <c r="A81" s="2126" t="s">
        <v>2069</v>
      </c>
      <c r="B81" s="2127">
        <f>1+E83</f>
        <v>1</v>
      </c>
      <c r="C81" s="741"/>
      <c r="D81" s="741"/>
      <c r="E81" s="742"/>
      <c r="F81" s="2129"/>
      <c r="G81" s="3"/>
      <c r="H81" s="3"/>
      <c r="I81" s="3"/>
      <c r="J81" s="4"/>
      <c r="K81" s="4"/>
      <c r="L81" s="4"/>
      <c r="M81" s="4"/>
      <c r="N81" s="4"/>
      <c r="Z81" s="1998"/>
      <c r="AA81" s="2053"/>
      <c r="AG81" s="1121"/>
      <c r="AK81" s="2053"/>
    </row>
    <row r="82" spans="1:37" ht="24.75">
      <c r="A82" s="2130" t="s">
        <v>2044</v>
      </c>
      <c r="B82" s="1351"/>
      <c r="C82" s="1351" t="s">
        <v>2046</v>
      </c>
      <c r="D82" s="1351" t="s">
        <v>2047</v>
      </c>
      <c r="E82" s="743" t="s">
        <v>2048</v>
      </c>
      <c r="F82" s="2131" t="s">
        <v>2063</v>
      </c>
      <c r="G82" s="1351" t="s">
        <v>310</v>
      </c>
      <c r="H82" s="2132" t="s">
        <v>2050</v>
      </c>
      <c r="I82" s="1351" t="s">
        <v>2051</v>
      </c>
      <c r="J82" s="552" t="s">
        <v>1721</v>
      </c>
      <c r="K82" s="552" t="s">
        <v>1722</v>
      </c>
      <c r="L82" s="552" t="s">
        <v>1723</v>
      </c>
      <c r="M82" s="552" t="s">
        <v>1724</v>
      </c>
      <c r="N82" s="552" t="s">
        <v>1725</v>
      </c>
      <c r="Z82" s="1998"/>
      <c r="AA82" s="2053"/>
      <c r="AG82" s="1121"/>
      <c r="AK82" s="2053"/>
    </row>
    <row r="83" spans="1:37" ht="38.25">
      <c r="A83" s="2130" t="s">
        <v>2070</v>
      </c>
      <c r="B83" s="2134" t="str">
        <f>估价对象房地状况!G15</f>
        <v>估价对象位于XX开发区，园区建设成熟度XX，产业集聚程度XX</v>
      </c>
      <c r="C83" s="2044"/>
      <c r="D83" s="1065">
        <f t="shared" ref="D83:D90" si="23">SUMIF($J$82:$N$82,C83,J83:N83)</f>
        <v>0</v>
      </c>
      <c r="E83" s="744">
        <f>ROUND(SUM(D83:D90),4)</f>
        <v>0</v>
      </c>
      <c r="F83" s="1814" t="str">
        <f>IF(E2="工业",SUMIF(L1:L12,G2,N1:N12),"——")</f>
        <v>——</v>
      </c>
      <c r="G83" s="1063"/>
      <c r="H83" s="1066" t="str">
        <f t="shared" ref="H83:H90" si="24">IFERROR(ROUNDDOWN($F$83*I83/2,4),"——")</f>
        <v>——</v>
      </c>
      <c r="I83" s="3366">
        <v>0.26</v>
      </c>
      <c r="J83" s="1064">
        <f t="shared" ref="J83:J90" si="25">K83+$G83</f>
        <v>0</v>
      </c>
      <c r="K83" s="1064">
        <f t="shared" ref="K83:K90" si="26">$L83+$G83</f>
        <v>0</v>
      </c>
      <c r="L83" s="1064">
        <v>0</v>
      </c>
      <c r="M83" s="1064">
        <f t="shared" ref="M83:N90" si="27">L83-$G83</f>
        <v>0</v>
      </c>
      <c r="N83" s="1064">
        <f t="shared" si="27"/>
        <v>0</v>
      </c>
      <c r="Z83" s="1998"/>
      <c r="AA83" s="2053"/>
      <c r="AG83" s="1121"/>
      <c r="AK83" s="2053"/>
    </row>
    <row r="84" spans="1:37" ht="38.25">
      <c r="A84" s="2130" t="s">
        <v>2053</v>
      </c>
      <c r="B84" s="2134" t="str">
        <f>估价对象房地状况!G16</f>
        <v>估价对象周边道路状况、公共交通通达情况、停车便捷程度，综合评价交通便捷度较好</v>
      </c>
      <c r="C84" s="2044"/>
      <c r="D84" s="1065">
        <f t="shared" si="23"/>
        <v>0</v>
      </c>
      <c r="E84" s="747"/>
      <c r="F84" s="1814"/>
      <c r="G84" s="1063"/>
      <c r="H84" s="1066" t="str">
        <f t="shared" si="24"/>
        <v>——</v>
      </c>
      <c r="I84" s="3366">
        <v>0.3</v>
      </c>
      <c r="J84" s="1064">
        <f t="shared" si="25"/>
        <v>0</v>
      </c>
      <c r="K84" s="1064">
        <f t="shared" si="26"/>
        <v>0</v>
      </c>
      <c r="L84" s="1064">
        <v>0</v>
      </c>
      <c r="M84" s="1064">
        <f t="shared" si="27"/>
        <v>0</v>
      </c>
      <c r="N84" s="1064">
        <f t="shared" si="27"/>
        <v>0</v>
      </c>
      <c r="Z84" s="1998"/>
      <c r="AA84" s="2053"/>
      <c r="AG84" s="1121"/>
      <c r="AK84" s="2053"/>
    </row>
    <row r="85" spans="1:37" ht="36">
      <c r="A85" s="3368" t="s">
        <v>3277</v>
      </c>
      <c r="B85" s="2134">
        <f>估价对象房地状况!G17</f>
        <v>0</v>
      </c>
      <c r="C85" s="2044"/>
      <c r="D85" s="1065">
        <f t="shared" si="23"/>
        <v>0</v>
      </c>
      <c r="E85" s="747"/>
      <c r="F85" s="1814"/>
      <c r="G85" s="1063"/>
      <c r="H85" s="1066" t="str">
        <f t="shared" si="24"/>
        <v>——</v>
      </c>
      <c r="I85" s="3366">
        <v>0.1</v>
      </c>
      <c r="J85" s="1064">
        <f t="shared" si="25"/>
        <v>0</v>
      </c>
      <c r="K85" s="1064">
        <f t="shared" si="26"/>
        <v>0</v>
      </c>
      <c r="L85" s="1064">
        <v>0</v>
      </c>
      <c r="M85" s="1064">
        <f t="shared" si="27"/>
        <v>0</v>
      </c>
      <c r="N85" s="1064">
        <f t="shared" si="27"/>
        <v>0</v>
      </c>
      <c r="Z85" s="1998"/>
      <c r="AA85" s="2053"/>
      <c r="AG85" s="1121"/>
      <c r="AK85" s="2053"/>
    </row>
    <row r="86" spans="1:37" ht="14.25">
      <c r="A86" s="2130" t="s">
        <v>2067</v>
      </c>
      <c r="B86" s="2134">
        <f>估价对象房地状况!G22</f>
        <v>0</v>
      </c>
      <c r="C86" s="2044"/>
      <c r="D86" s="1065">
        <f t="shared" si="23"/>
        <v>0</v>
      </c>
      <c r="E86" s="747"/>
      <c r="F86" s="1814"/>
      <c r="G86" s="1063"/>
      <c r="H86" s="1066" t="str">
        <f t="shared" si="24"/>
        <v>——</v>
      </c>
      <c r="I86" s="3366">
        <v>0.05</v>
      </c>
      <c r="J86" s="1064">
        <f t="shared" si="25"/>
        <v>0</v>
      </c>
      <c r="K86" s="1064">
        <f t="shared" si="26"/>
        <v>0</v>
      </c>
      <c r="L86" s="1064">
        <v>0</v>
      </c>
      <c r="M86" s="1064">
        <f t="shared" si="27"/>
        <v>0</v>
      </c>
      <c r="N86" s="1064">
        <f t="shared" si="27"/>
        <v>0</v>
      </c>
      <c r="Z86" s="1998"/>
      <c r="AA86" s="2053"/>
      <c r="AG86" s="1121"/>
      <c r="AK86" s="2053"/>
    </row>
    <row r="87" spans="1:37" ht="25.5">
      <c r="A87" s="2130" t="s">
        <v>2059</v>
      </c>
      <c r="B87" s="1326" t="str">
        <f>估价对象房地状况!G19</f>
        <v>估价对象所在区域公共配套设施齐备情况</v>
      </c>
      <c r="C87" s="2044"/>
      <c r="D87" s="1065">
        <f t="shared" si="23"/>
        <v>0</v>
      </c>
      <c r="E87" s="747"/>
      <c r="F87" s="1814"/>
      <c r="G87" s="1063"/>
      <c r="H87" s="1066" t="str">
        <f t="shared" si="24"/>
        <v>——</v>
      </c>
      <c r="I87" s="3366">
        <v>0.06</v>
      </c>
      <c r="J87" s="1064">
        <f t="shared" si="25"/>
        <v>0</v>
      </c>
      <c r="K87" s="1064">
        <f t="shared" si="26"/>
        <v>0</v>
      </c>
      <c r="L87" s="1064">
        <v>0</v>
      </c>
      <c r="M87" s="1064">
        <f t="shared" si="27"/>
        <v>0</v>
      </c>
      <c r="N87" s="1064">
        <f t="shared" si="27"/>
        <v>0</v>
      </c>
    </row>
    <row r="88" spans="1:37" ht="25.5">
      <c r="A88" s="2130" t="s">
        <v>2060</v>
      </c>
      <c r="B88" s="1326" t="str">
        <f>估价对象房地状况!G20</f>
        <v>估价对象所在区域基础设施水平</v>
      </c>
      <c r="C88" s="2044"/>
      <c r="D88" s="1065">
        <f t="shared" si="23"/>
        <v>0</v>
      </c>
      <c r="E88" s="747"/>
      <c r="F88" s="1814"/>
      <c r="G88" s="1063"/>
      <c r="H88" s="1066" t="str">
        <f t="shared" si="24"/>
        <v>——</v>
      </c>
      <c r="I88" s="3366">
        <v>0.12</v>
      </c>
      <c r="J88" s="1064">
        <f t="shared" si="25"/>
        <v>0</v>
      </c>
      <c r="K88" s="1064">
        <f t="shared" si="26"/>
        <v>0</v>
      </c>
      <c r="L88" s="1064">
        <v>0</v>
      </c>
      <c r="M88" s="1064">
        <f t="shared" si="27"/>
        <v>0</v>
      </c>
      <c r="N88" s="1064">
        <f t="shared" si="27"/>
        <v>0</v>
      </c>
    </row>
    <row r="89" spans="1:37" ht="24">
      <c r="A89" s="2130" t="s">
        <v>2057</v>
      </c>
      <c r="B89" s="2136" t="s">
        <v>2071</v>
      </c>
      <c r="C89" s="2044"/>
      <c r="D89" s="1065">
        <f t="shared" si="23"/>
        <v>0</v>
      </c>
      <c r="E89" s="747"/>
      <c r="F89" s="1814"/>
      <c r="G89" s="1063"/>
      <c r="H89" s="1066" t="str">
        <f t="shared" si="24"/>
        <v>——</v>
      </c>
      <c r="I89" s="3366">
        <v>0.06</v>
      </c>
      <c r="J89" s="1064">
        <f t="shared" si="25"/>
        <v>0</v>
      </c>
      <c r="K89" s="1064">
        <f t="shared" si="26"/>
        <v>0</v>
      </c>
      <c r="L89" s="1064">
        <v>0</v>
      </c>
      <c r="M89" s="1064">
        <f t="shared" si="27"/>
        <v>0</v>
      </c>
      <c r="N89" s="1064">
        <f t="shared" si="27"/>
        <v>0</v>
      </c>
    </row>
    <row r="90" spans="1:37" ht="39" thickBot="1">
      <c r="A90" s="2138" t="s">
        <v>2072</v>
      </c>
      <c r="B90" s="2143" t="str">
        <f>估价对象房地状况!G18</f>
        <v>该园区内是否有污染型企业，绿化情况，卫生条件，整体环境状况判断</v>
      </c>
      <c r="C90" s="2044"/>
      <c r="D90" s="1065">
        <f t="shared" si="23"/>
        <v>0</v>
      </c>
      <c r="E90" s="748"/>
      <c r="F90" s="1814"/>
      <c r="G90" s="1063"/>
      <c r="H90" s="1066" t="str">
        <f t="shared" si="24"/>
        <v>——</v>
      </c>
      <c r="I90" s="3367">
        <v>0.05</v>
      </c>
      <c r="J90" s="1064">
        <f t="shared" si="25"/>
        <v>0</v>
      </c>
      <c r="K90" s="1064">
        <f t="shared" si="26"/>
        <v>0</v>
      </c>
      <c r="L90" s="1064">
        <v>0</v>
      </c>
      <c r="M90" s="1064">
        <f t="shared" si="27"/>
        <v>0</v>
      </c>
      <c r="N90" s="1064">
        <f t="shared" si="27"/>
        <v>0</v>
      </c>
    </row>
    <row r="91" spans="1:37" ht="15">
      <c r="A91" s="3376" t="s">
        <v>2615</v>
      </c>
      <c r="B91" s="3377">
        <f>1+E93</f>
        <v>1</v>
      </c>
      <c r="C91" s="3370"/>
      <c r="D91" s="3371"/>
      <c r="E91" s="1814"/>
      <c r="F91" s="1814"/>
      <c r="G91" s="3372"/>
      <c r="H91" s="3373"/>
      <c r="I91" s="3374"/>
      <c r="J91" s="3375"/>
      <c r="K91" s="3375"/>
      <c r="L91" s="3375"/>
      <c r="M91" s="3375"/>
      <c r="N91" s="3375"/>
    </row>
    <row r="92" spans="1:37" ht="24.75">
      <c r="A92" s="3378" t="s">
        <v>3278</v>
      </c>
      <c r="B92" s="3365"/>
      <c r="C92" s="3365" t="s">
        <v>3287</v>
      </c>
      <c r="D92" s="3365" t="s">
        <v>3288</v>
      </c>
      <c r="E92" s="3347" t="s">
        <v>3289</v>
      </c>
      <c r="F92" s="3380" t="s">
        <v>3290</v>
      </c>
      <c r="G92" s="3365" t="s">
        <v>3291</v>
      </c>
      <c r="H92" s="3387" t="s">
        <v>3294</v>
      </c>
      <c r="I92" s="3365" t="s">
        <v>3295</v>
      </c>
      <c r="J92" s="3388" t="s">
        <v>3296</v>
      </c>
      <c r="K92" s="3388" t="s">
        <v>3297</v>
      </c>
      <c r="L92" s="3388" t="s">
        <v>3298</v>
      </c>
      <c r="M92" s="3388" t="s">
        <v>3299</v>
      </c>
      <c r="N92" s="3388" t="s">
        <v>3300</v>
      </c>
    </row>
    <row r="93" spans="1:37" ht="24">
      <c r="A93" s="3368" t="s">
        <v>3279</v>
      </c>
      <c r="B93" s="1306"/>
      <c r="C93" s="2044"/>
      <c r="D93" s="3365">
        <f>SUMIF($J$92:$N$92,C93,J93:N93)</f>
        <v>0</v>
      </c>
      <c r="E93" s="3381">
        <f>ROUND(SUM(D93:D101),4)</f>
        <v>0</v>
      </c>
      <c r="F93" s="1814" t="str">
        <f>IF(E2="公共服务",SUMIF(L1:L12,G2,N1:N12),"——")</f>
        <v>——</v>
      </c>
      <c r="G93" s="3372"/>
      <c r="H93" s="3420" t="str">
        <f>IFERROR(ROUNDDOWN($F$93*I93/2,4),"——")</f>
        <v>——</v>
      </c>
      <c r="I93" s="3366">
        <v>0.25</v>
      </c>
      <c r="J93" s="3344">
        <f t="shared" ref="J93:J101" si="28">K93+$G93</f>
        <v>0</v>
      </c>
      <c r="K93" s="3344">
        <f t="shared" ref="K93:K101" si="29">$L93+$G93</f>
        <v>0</v>
      </c>
      <c r="L93" s="3344">
        <v>0</v>
      </c>
      <c r="M93" s="3344">
        <f t="shared" ref="M93:N101" si="30">L93-$G93</f>
        <v>0</v>
      </c>
      <c r="N93" s="3344">
        <f t="shared" si="30"/>
        <v>0</v>
      </c>
    </row>
    <row r="94" spans="1:37" ht="14.25">
      <c r="A94" s="3378" t="s">
        <v>3280</v>
      </c>
      <c r="B94" s="3369" t="str">
        <f>估价对象房地状况!C18</f>
        <v>光熙门536米</v>
      </c>
      <c r="C94" s="2044"/>
      <c r="D94" s="3365">
        <f t="shared" ref="D94:D101" si="31">SUMIF($J$60:$N$60,C94,J94:N94)</f>
        <v>0</v>
      </c>
      <c r="E94" s="3382"/>
      <c r="F94" s="1814"/>
      <c r="G94" s="3372"/>
      <c r="H94" s="3420" t="str">
        <f>IFERROR(ROUNDDOWN($F$93*I94/2,4),"——")</f>
        <v>——</v>
      </c>
      <c r="I94" s="3366">
        <v>0.26</v>
      </c>
      <c r="J94" s="3344">
        <f t="shared" si="28"/>
        <v>0</v>
      </c>
      <c r="K94" s="3344">
        <f t="shared" si="29"/>
        <v>0</v>
      </c>
      <c r="L94" s="3344">
        <v>0</v>
      </c>
      <c r="M94" s="3344">
        <f t="shared" si="30"/>
        <v>0</v>
      </c>
      <c r="N94" s="3344">
        <f t="shared" si="30"/>
        <v>0</v>
      </c>
    </row>
    <row r="95" spans="1:37" ht="36">
      <c r="A95" s="3368" t="s">
        <v>3276</v>
      </c>
      <c r="B95" s="3369">
        <f>估价对象房地状况!C19</f>
        <v>0</v>
      </c>
      <c r="C95" s="2044"/>
      <c r="D95" s="3365">
        <f t="shared" si="31"/>
        <v>0</v>
      </c>
      <c r="E95" s="3382"/>
      <c r="F95" s="1814"/>
      <c r="G95" s="3372"/>
      <c r="H95" s="3420" t="str">
        <f t="shared" ref="H95:H101" si="32">IFERROR(ROUNDDOWN($F$93*I95/2,4),"——")</f>
        <v>——</v>
      </c>
      <c r="I95" s="3366">
        <v>0.11</v>
      </c>
      <c r="J95" s="3344">
        <f t="shared" si="28"/>
        <v>0</v>
      </c>
      <c r="K95" s="3344">
        <f t="shared" si="29"/>
        <v>0</v>
      </c>
      <c r="L95" s="3344">
        <v>0</v>
      </c>
      <c r="M95" s="3344">
        <f t="shared" si="30"/>
        <v>0</v>
      </c>
      <c r="N95" s="3344">
        <f t="shared" si="30"/>
        <v>0</v>
      </c>
    </row>
    <row r="96" spans="1:37" ht="36.75">
      <c r="A96" s="3378" t="s">
        <v>3281</v>
      </c>
      <c r="B96" s="3384" t="s">
        <v>3292</v>
      </c>
      <c r="C96" s="2044"/>
      <c r="D96" s="3365">
        <f t="shared" si="31"/>
        <v>0</v>
      </c>
      <c r="E96" s="3382"/>
      <c r="F96" s="1814"/>
      <c r="G96" s="3372"/>
      <c r="H96" s="3420" t="str">
        <f t="shared" si="32"/>
        <v>——</v>
      </c>
      <c r="I96" s="3366">
        <v>0.05</v>
      </c>
      <c r="J96" s="3344">
        <f t="shared" si="28"/>
        <v>0</v>
      </c>
      <c r="K96" s="3344">
        <f t="shared" si="29"/>
        <v>0</v>
      </c>
      <c r="L96" s="3344">
        <v>0</v>
      </c>
      <c r="M96" s="3344">
        <f t="shared" si="30"/>
        <v>0</v>
      </c>
      <c r="N96" s="3344">
        <f t="shared" si="30"/>
        <v>0</v>
      </c>
    </row>
    <row r="97" spans="1:14" ht="24">
      <c r="A97" s="3378" t="s">
        <v>3282</v>
      </c>
      <c r="B97" s="3369">
        <f>估价对象房地状况!C24</f>
        <v>0</v>
      </c>
      <c r="C97" s="2044"/>
      <c r="D97" s="3365">
        <f t="shared" si="31"/>
        <v>0</v>
      </c>
      <c r="E97" s="3382"/>
      <c r="F97" s="1814"/>
      <c r="G97" s="3372"/>
      <c r="H97" s="3420" t="str">
        <f t="shared" si="32"/>
        <v>——</v>
      </c>
      <c r="I97" s="3366">
        <v>0.05</v>
      </c>
      <c r="J97" s="3344">
        <f t="shared" si="28"/>
        <v>0</v>
      </c>
      <c r="K97" s="3344">
        <f t="shared" si="29"/>
        <v>0</v>
      </c>
      <c r="L97" s="3344">
        <v>0</v>
      </c>
      <c r="M97" s="3344">
        <f t="shared" si="30"/>
        <v>0</v>
      </c>
      <c r="N97" s="3344">
        <f t="shared" si="30"/>
        <v>0</v>
      </c>
    </row>
    <row r="98" spans="1:14" ht="24">
      <c r="A98" s="3378" t="s">
        <v>3283</v>
      </c>
      <c r="B98" s="3385" t="s">
        <v>3293</v>
      </c>
      <c r="C98" s="2044"/>
      <c r="D98" s="3365">
        <f t="shared" si="31"/>
        <v>0</v>
      </c>
      <c r="E98" s="3382"/>
      <c r="F98" s="1814"/>
      <c r="G98" s="3372"/>
      <c r="H98" s="3420" t="str">
        <f t="shared" si="32"/>
        <v>——</v>
      </c>
      <c r="I98" s="3366">
        <v>0.06</v>
      </c>
      <c r="J98" s="3344">
        <f t="shared" si="28"/>
        <v>0</v>
      </c>
      <c r="K98" s="3344">
        <f t="shared" si="29"/>
        <v>0</v>
      </c>
      <c r="L98" s="3344">
        <v>0</v>
      </c>
      <c r="M98" s="3344">
        <f t="shared" si="30"/>
        <v>0</v>
      </c>
      <c r="N98" s="3344">
        <f t="shared" si="30"/>
        <v>0</v>
      </c>
    </row>
    <row r="99" spans="1:14" ht="25.5">
      <c r="A99" s="3378" t="s">
        <v>3284</v>
      </c>
      <c r="B99" s="3369" t="str">
        <f>估价对象房地状况!C21</f>
        <v>估价对象所在区域公共配套设施齐备情况</v>
      </c>
      <c r="C99" s="2044"/>
      <c r="D99" s="3365">
        <f t="shared" si="31"/>
        <v>0</v>
      </c>
      <c r="E99" s="3382"/>
      <c r="F99" s="1814"/>
      <c r="G99" s="3372"/>
      <c r="H99" s="3420" t="str">
        <f t="shared" si="32"/>
        <v>——</v>
      </c>
      <c r="I99" s="3366">
        <v>0.06</v>
      </c>
      <c r="J99" s="3344">
        <f t="shared" si="28"/>
        <v>0</v>
      </c>
      <c r="K99" s="3344">
        <f t="shared" si="29"/>
        <v>0</v>
      </c>
      <c r="L99" s="3344">
        <v>0</v>
      </c>
      <c r="M99" s="3344">
        <f t="shared" si="30"/>
        <v>0</v>
      </c>
      <c r="N99" s="3344">
        <f t="shared" si="30"/>
        <v>0</v>
      </c>
    </row>
    <row r="100" spans="1:14" ht="25.5">
      <c r="A100" s="3378" t="s">
        <v>3285</v>
      </c>
      <c r="B100" s="3369" t="str">
        <f>估价对象房地状况!C22</f>
        <v>估价对象所在区域基础设施水平</v>
      </c>
      <c r="C100" s="2044"/>
      <c r="D100" s="3365">
        <f t="shared" si="31"/>
        <v>0</v>
      </c>
      <c r="E100" s="3382"/>
      <c r="F100" s="1814"/>
      <c r="G100" s="3372"/>
      <c r="H100" s="3420" t="str">
        <f t="shared" si="32"/>
        <v>——</v>
      </c>
      <c r="I100" s="3366">
        <v>0.09</v>
      </c>
      <c r="J100" s="3344">
        <f t="shared" si="28"/>
        <v>0</v>
      </c>
      <c r="K100" s="3344">
        <f t="shared" si="29"/>
        <v>0</v>
      </c>
      <c r="L100" s="3344">
        <v>0</v>
      </c>
      <c r="M100" s="3344">
        <f t="shared" si="30"/>
        <v>0</v>
      </c>
      <c r="N100" s="3344">
        <f t="shared" si="30"/>
        <v>0</v>
      </c>
    </row>
    <row r="101" spans="1:14" ht="26.25" thickBot="1">
      <c r="A101" s="3379" t="s">
        <v>3286</v>
      </c>
      <c r="B101" s="3386" t="str">
        <f>估价对象房地状况!C20</f>
        <v>区域自然环境：；人文环境；综合评价环境状况一般</v>
      </c>
      <c r="C101" s="2044"/>
      <c r="D101" s="3365">
        <f t="shared" si="31"/>
        <v>0</v>
      </c>
      <c r="E101" s="3383"/>
      <c r="F101" s="1814"/>
      <c r="G101" s="3372"/>
      <c r="H101" s="3420" t="str">
        <f t="shared" si="32"/>
        <v>——</v>
      </c>
      <c r="I101" s="3367">
        <v>7.0000000000000007E-2</v>
      </c>
      <c r="J101" s="3344">
        <f t="shared" si="28"/>
        <v>0</v>
      </c>
      <c r="K101" s="3344">
        <f t="shared" si="29"/>
        <v>0</v>
      </c>
      <c r="L101" s="3344">
        <v>0</v>
      </c>
      <c r="M101" s="3344">
        <f t="shared" si="30"/>
        <v>0</v>
      </c>
      <c r="N101" s="3344">
        <f t="shared" si="30"/>
        <v>0</v>
      </c>
    </row>
    <row r="103" spans="1:14">
      <c r="A103" s="3760" t="s">
        <v>3301</v>
      </c>
      <c r="B103" s="3760"/>
      <c r="C103" s="3760"/>
      <c r="D103" s="3760"/>
      <c r="E103" s="3760"/>
      <c r="F103" s="3760"/>
      <c r="G103" s="3760"/>
      <c r="H103" s="3760"/>
      <c r="I103" s="3760"/>
      <c r="J103" s="3760"/>
      <c r="K103" s="3389"/>
      <c r="L103" s="3389"/>
      <c r="M103" s="3389"/>
      <c r="N103" s="3389"/>
    </row>
    <row r="104" spans="1:14">
      <c r="A104" s="3761" t="s">
        <v>3302</v>
      </c>
      <c r="B104" s="3761" t="s">
        <v>3303</v>
      </c>
      <c r="C104" s="3390" t="s">
        <v>3304</v>
      </c>
      <c r="D104" s="3391"/>
      <c r="E104" s="3391"/>
      <c r="F104" s="3391"/>
      <c r="G104" s="3391"/>
      <c r="H104" s="3391"/>
      <c r="I104" s="3391"/>
      <c r="J104" s="3392"/>
      <c r="K104" s="3393"/>
      <c r="L104" s="3393"/>
      <c r="M104" s="3393"/>
      <c r="N104" s="3393"/>
    </row>
    <row r="105" spans="1:14">
      <c r="A105" s="3761"/>
      <c r="B105" s="3761"/>
      <c r="C105" s="3394" t="s">
        <v>3305</v>
      </c>
      <c r="D105" s="3394" t="s">
        <v>3306</v>
      </c>
      <c r="E105" s="3394" t="s">
        <v>3307</v>
      </c>
      <c r="F105" s="3394" t="s">
        <v>3308</v>
      </c>
      <c r="G105" s="3394" t="s">
        <v>3309</v>
      </c>
      <c r="H105" s="3394" t="s">
        <v>3310</v>
      </c>
      <c r="I105" s="3394" t="s">
        <v>3311</v>
      </c>
      <c r="J105" s="3394" t="s">
        <v>3312</v>
      </c>
      <c r="K105" s="3394" t="s">
        <v>3313</v>
      </c>
      <c r="L105" s="3394" t="s">
        <v>3314</v>
      </c>
      <c r="M105" s="3394" t="s">
        <v>3315</v>
      </c>
      <c r="N105" s="3394" t="s">
        <v>3316</v>
      </c>
    </row>
    <row r="106" spans="1:14">
      <c r="A106" s="3747" t="s">
        <v>3317</v>
      </c>
      <c r="B106" s="3394">
        <v>1</v>
      </c>
      <c r="C106" s="3394">
        <v>1.5206</v>
      </c>
      <c r="D106" s="3394">
        <v>1.5206</v>
      </c>
      <c r="E106" s="3394">
        <v>1.5019</v>
      </c>
      <c r="F106" s="3394">
        <v>1.5019</v>
      </c>
      <c r="G106" s="3394">
        <v>1.5019</v>
      </c>
      <c r="H106" s="3394">
        <v>1.5019</v>
      </c>
      <c r="I106" s="3394">
        <v>1.5019</v>
      </c>
      <c r="J106" s="3394">
        <v>1.5418000000000001</v>
      </c>
      <c r="K106" s="3394">
        <v>1.5418000000000001</v>
      </c>
      <c r="L106" s="3394">
        <v>1.5418000000000001</v>
      </c>
      <c r="M106" s="3394">
        <v>1.5418000000000001</v>
      </c>
      <c r="N106" s="3394">
        <v>1.5418000000000001</v>
      </c>
    </row>
    <row r="107" spans="1:14">
      <c r="A107" s="3748"/>
      <c r="B107" s="3394">
        <v>2</v>
      </c>
      <c r="C107" s="3394">
        <v>1.2072000000000001</v>
      </c>
      <c r="D107" s="3394">
        <v>1.2072000000000001</v>
      </c>
      <c r="E107" s="3394">
        <v>1.1838</v>
      </c>
      <c r="F107" s="3394">
        <v>1.1838</v>
      </c>
      <c r="G107" s="3394">
        <v>1.1838</v>
      </c>
      <c r="H107" s="3394">
        <v>1.1838</v>
      </c>
      <c r="I107" s="3394">
        <v>1.1838</v>
      </c>
      <c r="J107" s="3394">
        <v>1.1883999999999999</v>
      </c>
      <c r="K107" s="3394">
        <v>1.1883999999999999</v>
      </c>
      <c r="L107" s="3394">
        <v>1.1883999999999999</v>
      </c>
      <c r="M107" s="3394">
        <v>1.1883999999999999</v>
      </c>
      <c r="N107" s="3394">
        <v>1.1883999999999999</v>
      </c>
    </row>
    <row r="108" spans="1:14">
      <c r="A108" s="3748"/>
      <c r="B108" s="3394">
        <v>3</v>
      </c>
      <c r="C108" s="3394">
        <v>1.0430999999999999</v>
      </c>
      <c r="D108" s="3394">
        <v>1.0430999999999999</v>
      </c>
      <c r="E108" s="3394">
        <v>1.0004999999999999</v>
      </c>
      <c r="F108" s="3394">
        <v>1.0004999999999999</v>
      </c>
      <c r="G108" s="3394">
        <v>1.0004999999999999</v>
      </c>
      <c r="H108" s="3394">
        <v>1.0004999999999999</v>
      </c>
      <c r="I108" s="3394">
        <v>1.0004999999999999</v>
      </c>
      <c r="J108" s="3394">
        <v>0.96940000000000004</v>
      </c>
      <c r="K108" s="3394">
        <v>0.96940000000000004</v>
      </c>
      <c r="L108" s="3394">
        <v>0.96940000000000004</v>
      </c>
      <c r="M108" s="3394">
        <v>0.96940000000000004</v>
      </c>
      <c r="N108" s="3394">
        <v>0.96940000000000004</v>
      </c>
    </row>
    <row r="109" spans="1:14">
      <c r="A109" s="3748"/>
      <c r="B109" s="3394">
        <v>4</v>
      </c>
      <c r="C109" s="3394">
        <v>0.94389999999999996</v>
      </c>
      <c r="D109" s="3394">
        <v>0.94389999999999996</v>
      </c>
      <c r="E109" s="3394">
        <v>0.88239999999999996</v>
      </c>
      <c r="F109" s="3394">
        <v>0.88239999999999996</v>
      </c>
      <c r="G109" s="3394">
        <v>0.88239999999999996</v>
      </c>
      <c r="H109" s="3394">
        <v>0.88239999999999996</v>
      </c>
      <c r="I109" s="3394">
        <v>0.88239999999999996</v>
      </c>
      <c r="J109" s="3394">
        <v>0.82299999999999995</v>
      </c>
      <c r="K109" s="3394">
        <v>0.82299999999999995</v>
      </c>
      <c r="L109" s="3394">
        <v>0.82299999999999995</v>
      </c>
      <c r="M109" s="3394">
        <v>0.82299999999999995</v>
      </c>
      <c r="N109" s="3394">
        <v>0.82299999999999995</v>
      </c>
    </row>
    <row r="110" spans="1:14">
      <c r="A110" s="3748"/>
      <c r="B110" s="3394">
        <v>5</v>
      </c>
      <c r="C110" s="3394">
        <v>0.89959999999999996</v>
      </c>
      <c r="D110" s="3394">
        <v>0.89959999999999996</v>
      </c>
      <c r="E110" s="3394">
        <v>0.84799999999999998</v>
      </c>
      <c r="F110" s="3394">
        <v>0.84799999999999998</v>
      </c>
      <c r="G110" s="3394">
        <v>0.84799999999999998</v>
      </c>
      <c r="H110" s="3394">
        <v>0.84799999999999998</v>
      </c>
      <c r="I110" s="3394">
        <v>0.84799999999999998</v>
      </c>
      <c r="J110" s="3394">
        <v>0.74980000000000002</v>
      </c>
      <c r="K110" s="3394">
        <v>0.74980000000000002</v>
      </c>
      <c r="L110" s="3394">
        <v>0.74980000000000002</v>
      </c>
      <c r="M110" s="3394">
        <v>0.74980000000000002</v>
      </c>
      <c r="N110" s="3394">
        <v>0.74980000000000002</v>
      </c>
    </row>
    <row r="111" spans="1:14">
      <c r="A111" s="3748"/>
      <c r="B111" s="3394" t="s">
        <v>3275</v>
      </c>
      <c r="C111" s="3395">
        <f>$I$3</f>
        <v>5</v>
      </c>
      <c r="D111" s="3395">
        <f t="shared" ref="D111:M111" si="33">$I$3</f>
        <v>5</v>
      </c>
      <c r="E111" s="3395">
        <f t="shared" si="33"/>
        <v>5</v>
      </c>
      <c r="F111" s="3395">
        <f t="shared" si="33"/>
        <v>5</v>
      </c>
      <c r="G111" s="3395">
        <f t="shared" si="33"/>
        <v>5</v>
      </c>
      <c r="H111" s="3395">
        <f t="shared" si="33"/>
        <v>5</v>
      </c>
      <c r="I111" s="3395">
        <f t="shared" si="33"/>
        <v>5</v>
      </c>
      <c r="J111" s="3395">
        <f t="shared" si="33"/>
        <v>5</v>
      </c>
      <c r="K111" s="3395">
        <f t="shared" si="33"/>
        <v>5</v>
      </c>
      <c r="L111" s="3395">
        <f t="shared" si="33"/>
        <v>5</v>
      </c>
      <c r="M111" s="3395">
        <f t="shared" si="33"/>
        <v>5</v>
      </c>
      <c r="N111" s="3395">
        <f>$I$3</f>
        <v>5</v>
      </c>
    </row>
    <row r="112" spans="1:14">
      <c r="A112" s="3749"/>
      <c r="B112" s="3394">
        <v>6</v>
      </c>
      <c r="C112" s="3387">
        <f>(-0.5556*(C111^2)-0.2719*C111+8944)*(10^(-4))</f>
        <v>0.89287505</v>
      </c>
      <c r="D112" s="3387">
        <f>(-0.5556*(D111^2)-0.2719*D111+8944)*(10^(-4))</f>
        <v>0.89287505</v>
      </c>
      <c r="E112" s="3387">
        <f>(-0.7912*(E111^2)-11.3794*E111+8482)*(10^(-4))</f>
        <v>0.84053230000000012</v>
      </c>
      <c r="F112" s="3387">
        <f t="shared" ref="F112:I112" si="34">(-0.7912*(F111^2)-11.3794*F111+8482)*(10^(-4))</f>
        <v>0.84053230000000012</v>
      </c>
      <c r="G112" s="3387">
        <f t="shared" si="34"/>
        <v>0.84053230000000012</v>
      </c>
      <c r="H112" s="3387">
        <f t="shared" si="34"/>
        <v>0.84053230000000012</v>
      </c>
      <c r="I112" s="3387">
        <f t="shared" si="34"/>
        <v>0.84053230000000012</v>
      </c>
      <c r="J112" s="3387">
        <f>(-0.989*(J111^2)-63.78*J111+7771)*(10^(-4))</f>
        <v>0.74273750000000005</v>
      </c>
      <c r="K112" s="3387">
        <f t="shared" ref="K112:N112" si="35">(-0.989*(K111^2)-63.78*K111+7771)*(10^(-4))</f>
        <v>0.74273750000000005</v>
      </c>
      <c r="L112" s="3387">
        <f t="shared" si="35"/>
        <v>0.74273750000000005</v>
      </c>
      <c r="M112" s="3387">
        <f t="shared" si="35"/>
        <v>0.74273750000000005</v>
      </c>
      <c r="N112" s="3387">
        <f t="shared" si="35"/>
        <v>0.74273750000000005</v>
      </c>
    </row>
    <row r="113" spans="1:14">
      <c r="A113" s="3750" t="s">
        <v>3318</v>
      </c>
      <c r="B113" s="3750"/>
      <c r="C113" s="3750"/>
      <c r="D113" s="3750"/>
      <c r="E113" s="3750"/>
      <c r="F113" s="3750"/>
      <c r="G113" s="3750"/>
      <c r="H113" s="3750"/>
      <c r="I113" s="3750"/>
      <c r="J113" s="3750"/>
      <c r="K113" s="3396"/>
      <c r="L113" s="3396"/>
      <c r="M113" s="3396"/>
      <c r="N113" s="3396"/>
    </row>
    <row r="114" spans="1:14">
      <c r="A114" s="3397"/>
      <c r="B114" s="3397"/>
      <c r="C114" s="3397"/>
      <c r="D114" s="3397"/>
      <c r="E114" s="3397"/>
      <c r="F114" s="3397"/>
      <c r="G114" s="3397"/>
      <c r="H114" s="3397"/>
      <c r="I114" s="3397"/>
      <c r="J114" s="3397"/>
      <c r="K114" s="3356"/>
      <c r="L114" s="3397"/>
      <c r="M114" s="3397"/>
      <c r="N114" s="3397"/>
    </row>
    <row r="115" spans="1:14" ht="13.5" thickBot="1">
      <c r="A115" s="3397"/>
      <c r="B115" s="3397"/>
      <c r="C115" s="3397"/>
      <c r="D115" s="3397"/>
      <c r="E115" s="3397"/>
      <c r="F115" s="3397"/>
      <c r="G115" s="3397"/>
      <c r="H115" s="3397"/>
      <c r="I115" s="3397"/>
      <c r="J115" s="3397"/>
      <c r="K115" s="3356"/>
      <c r="L115" s="3397"/>
      <c r="M115" s="3397"/>
      <c r="N115" s="3397"/>
    </row>
    <row r="116" spans="1:14" ht="25.5" thickBot="1">
      <c r="A116" s="3398" t="s">
        <v>3319</v>
      </c>
      <c r="B116" s="3415">
        <f>G3</f>
        <v>2.65</v>
      </c>
      <c r="C116" s="3399" t="s">
        <v>3320</v>
      </c>
      <c r="D116" s="3400">
        <f>SUMPRODUCT((A118:A122=F116)*(B117:M117=H116)*B118:M122)</f>
        <v>0.91190000000000004</v>
      </c>
      <c r="E116" s="2000" t="s">
        <v>3321</v>
      </c>
      <c r="F116" s="3401" t="str">
        <f>E2</f>
        <v>商业</v>
      </c>
      <c r="G116" s="2000" t="s">
        <v>3322</v>
      </c>
      <c r="H116" s="3401" t="str">
        <f>G2</f>
        <v>三级</v>
      </c>
      <c r="I116" s="2000"/>
      <c r="J116" s="3402"/>
      <c r="K116" s="3402"/>
      <c r="L116" s="3402"/>
      <c r="M116" s="3402"/>
      <c r="N116" s="3397"/>
    </row>
    <row r="117" spans="1:14">
      <c r="A117" s="3403"/>
      <c r="B117" s="3404" t="s">
        <v>3323</v>
      </c>
      <c r="C117" s="3404" t="s">
        <v>3324</v>
      </c>
      <c r="D117" s="3404" t="s">
        <v>3325</v>
      </c>
      <c r="E117" s="3405" t="s">
        <v>3326</v>
      </c>
      <c r="F117" s="3405" t="s">
        <v>3327</v>
      </c>
      <c r="G117" s="3405" t="s">
        <v>3328</v>
      </c>
      <c r="H117" s="3406" t="s">
        <v>3329</v>
      </c>
      <c r="I117" s="3406" t="s">
        <v>3330</v>
      </c>
      <c r="J117" s="3407" t="s">
        <v>3331</v>
      </c>
      <c r="K117" s="3407" t="s">
        <v>3332</v>
      </c>
      <c r="L117" s="3407" t="s">
        <v>3333</v>
      </c>
      <c r="M117" s="3408" t="s">
        <v>3334</v>
      </c>
      <c r="N117" s="3397"/>
    </row>
    <row r="118" spans="1:14">
      <c r="A118" s="3409" t="s">
        <v>3335</v>
      </c>
      <c r="B118" s="3387">
        <f>ROUND(0.9968-0.011*B116,4)</f>
        <v>0.9677</v>
      </c>
      <c r="C118" s="3387">
        <f>B118</f>
        <v>0.9677</v>
      </c>
      <c r="D118" s="3387">
        <f>ROUND(0.949-0.014*B116,4)</f>
        <v>0.91190000000000004</v>
      </c>
      <c r="E118" s="3387">
        <f>D118</f>
        <v>0.91190000000000004</v>
      </c>
      <c r="F118" s="3387">
        <f>E118</f>
        <v>0.91190000000000004</v>
      </c>
      <c r="G118" s="3387">
        <f>F118</f>
        <v>0.91190000000000004</v>
      </c>
      <c r="H118" s="3387">
        <f>G118</f>
        <v>0.91190000000000004</v>
      </c>
      <c r="I118" s="3387">
        <f>ROUND(0.8486-0.018*B116,4)</f>
        <v>0.80089999999999995</v>
      </c>
      <c r="J118" s="3387">
        <f t="shared" ref="J118:M122" si="36">I118</f>
        <v>0.80089999999999995</v>
      </c>
      <c r="K118" s="3387">
        <f t="shared" si="36"/>
        <v>0.80089999999999995</v>
      </c>
      <c r="L118" s="3387">
        <f t="shared" si="36"/>
        <v>0.80089999999999995</v>
      </c>
      <c r="M118" s="3410">
        <f t="shared" si="36"/>
        <v>0.80089999999999995</v>
      </c>
      <c r="N118" s="3397"/>
    </row>
    <row r="119" spans="1:14">
      <c r="A119" s="3409" t="s">
        <v>3336</v>
      </c>
      <c r="B119" s="3387">
        <f>ROUND(0.993-0.0112*B116,4)</f>
        <v>0.96330000000000005</v>
      </c>
      <c r="C119" s="3387">
        <f>B119</f>
        <v>0.96330000000000005</v>
      </c>
      <c r="D119" s="3387">
        <f>ROUND(0.9415-0.0142*B116,4)</f>
        <v>0.90390000000000004</v>
      </c>
      <c r="E119" s="3387">
        <f t="shared" ref="E119:H120" si="37">D119</f>
        <v>0.90390000000000004</v>
      </c>
      <c r="F119" s="3387">
        <f t="shared" si="37"/>
        <v>0.90390000000000004</v>
      </c>
      <c r="G119" s="3387">
        <f t="shared" si="37"/>
        <v>0.90390000000000004</v>
      </c>
      <c r="H119" s="3387">
        <f t="shared" si="37"/>
        <v>0.90390000000000004</v>
      </c>
      <c r="I119" s="3387">
        <f>ROUND(0.838-0.0182*B116,4)</f>
        <v>0.78979999999999995</v>
      </c>
      <c r="J119" s="3387">
        <f t="shared" si="36"/>
        <v>0.78979999999999995</v>
      </c>
      <c r="K119" s="3387">
        <f t="shared" si="36"/>
        <v>0.78979999999999995</v>
      </c>
      <c r="L119" s="3387">
        <f t="shared" si="36"/>
        <v>0.78979999999999995</v>
      </c>
      <c r="M119" s="3410">
        <f t="shared" si="36"/>
        <v>0.78979999999999995</v>
      </c>
      <c r="N119" s="3397"/>
    </row>
    <row r="120" spans="1:14">
      <c r="A120" s="3409" t="s">
        <v>3337</v>
      </c>
      <c r="B120" s="3387">
        <f>ROUND(0.9448-0.0115*B116,4)</f>
        <v>0.9143</v>
      </c>
      <c r="C120" s="3387">
        <f>B120</f>
        <v>0.9143</v>
      </c>
      <c r="D120" s="3387">
        <f>ROUND(0.937-0.0145*B116,4)</f>
        <v>0.89859999999999995</v>
      </c>
      <c r="E120" s="3387">
        <f t="shared" si="37"/>
        <v>0.89859999999999995</v>
      </c>
      <c r="F120" s="3387">
        <f t="shared" si="37"/>
        <v>0.89859999999999995</v>
      </c>
      <c r="G120" s="3387">
        <f t="shared" si="37"/>
        <v>0.89859999999999995</v>
      </c>
      <c r="H120" s="3387">
        <f t="shared" si="37"/>
        <v>0.89859999999999995</v>
      </c>
      <c r="I120" s="3387">
        <f>ROUND(0.7965-0.0185*B116,4)</f>
        <v>0.74750000000000005</v>
      </c>
      <c r="J120" s="3387">
        <f t="shared" si="36"/>
        <v>0.74750000000000005</v>
      </c>
      <c r="K120" s="3387">
        <f t="shared" si="36"/>
        <v>0.74750000000000005</v>
      </c>
      <c r="L120" s="3387">
        <f t="shared" si="36"/>
        <v>0.74750000000000005</v>
      </c>
      <c r="M120" s="3410">
        <f t="shared" si="36"/>
        <v>0.74750000000000005</v>
      </c>
      <c r="N120" s="3397"/>
    </row>
    <row r="121" spans="1:14" ht="13.5" thickBot="1">
      <c r="A121" s="3411" t="s">
        <v>3338</v>
      </c>
      <c r="B121" s="3412">
        <f>ROUND(0.7836-0.012*B116,4)</f>
        <v>0.75180000000000002</v>
      </c>
      <c r="C121" s="3412">
        <f>B121</f>
        <v>0.75180000000000002</v>
      </c>
      <c r="D121" s="3412">
        <f>ROUND(0.753-0.015*B116,4)</f>
        <v>0.71330000000000005</v>
      </c>
      <c r="E121" s="3412">
        <f>D121</f>
        <v>0.71330000000000005</v>
      </c>
      <c r="F121" s="3412">
        <f>E121</f>
        <v>0.71330000000000005</v>
      </c>
      <c r="G121" s="3412">
        <f>ROUND(0.6612-0.018*B116,4)</f>
        <v>0.61350000000000005</v>
      </c>
      <c r="H121" s="3412">
        <f>G121</f>
        <v>0.61350000000000005</v>
      </c>
      <c r="I121" s="3412">
        <f>ROUND(0.5905-0.019*B116,4)</f>
        <v>0.54020000000000001</v>
      </c>
      <c r="J121" s="3412">
        <f t="shared" si="36"/>
        <v>0.54020000000000001</v>
      </c>
      <c r="K121" s="3412">
        <f t="shared" si="36"/>
        <v>0.54020000000000001</v>
      </c>
      <c r="L121" s="3412">
        <f t="shared" si="36"/>
        <v>0.54020000000000001</v>
      </c>
      <c r="M121" s="3413">
        <f t="shared" si="36"/>
        <v>0.54020000000000001</v>
      </c>
      <c r="N121" s="3397"/>
    </row>
    <row r="122" spans="1:14">
      <c r="A122" s="3414" t="s">
        <v>2615</v>
      </c>
      <c r="B122" s="3387">
        <f>ROUND(0.9404-0.0106*B116,4)</f>
        <v>0.9123</v>
      </c>
      <c r="C122" s="3387">
        <f>B122</f>
        <v>0.9123</v>
      </c>
      <c r="D122" s="3387">
        <f>ROUND(0.8955-0.0135*B116,4)</f>
        <v>0.85970000000000002</v>
      </c>
      <c r="E122" s="3387">
        <f t="shared" ref="E122:H122" si="38">D122</f>
        <v>0.85970000000000002</v>
      </c>
      <c r="F122" s="3387">
        <f t="shared" si="38"/>
        <v>0.85970000000000002</v>
      </c>
      <c r="G122" s="3387">
        <f t="shared" si="38"/>
        <v>0.85970000000000002</v>
      </c>
      <c r="H122" s="3387">
        <f t="shared" si="38"/>
        <v>0.85970000000000002</v>
      </c>
      <c r="I122" s="3387">
        <f>ROUND(0.7632-0.0166*B116,4)</f>
        <v>0.71919999999999995</v>
      </c>
      <c r="J122" s="3387">
        <f t="shared" si="36"/>
        <v>0.71919999999999995</v>
      </c>
      <c r="K122" s="3387">
        <f t="shared" si="36"/>
        <v>0.71919999999999995</v>
      </c>
      <c r="L122" s="3387">
        <f t="shared" si="36"/>
        <v>0.71919999999999995</v>
      </c>
      <c r="M122" s="3410">
        <f t="shared" si="36"/>
        <v>0.71919999999999995</v>
      </c>
      <c r="N122" s="3397"/>
    </row>
  </sheetData>
  <sheetProtection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71" priority="6" stopIfTrue="1" operator="notEqual">
      <formula>"——"</formula>
    </cfRule>
  </conditionalFormatting>
  <conditionalFormatting sqref="F61">
    <cfRule type="cellIs" dxfId="170" priority="5" stopIfTrue="1" operator="notEqual">
      <formula>"——"</formula>
    </cfRule>
  </conditionalFormatting>
  <conditionalFormatting sqref="F72">
    <cfRule type="cellIs" dxfId="169" priority="4" stopIfTrue="1" operator="notEqual">
      <formula>"——"</formula>
    </cfRule>
  </conditionalFormatting>
  <conditionalFormatting sqref="F83">
    <cfRule type="cellIs" dxfId="168" priority="3" stopIfTrue="1" operator="notEqual">
      <formula>"——"</formula>
    </cfRule>
  </conditionalFormatting>
  <conditionalFormatting sqref="H50:H58 H61:H69 H72:H80 H83:H91">
    <cfRule type="cellIs" dxfId="167" priority="2" operator="notEqual">
      <formula>"——"</formula>
    </cfRule>
  </conditionalFormatting>
  <conditionalFormatting sqref="H93:H101">
    <cfRule type="cellIs" dxfId="166"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abSelected="1" view="pageBreakPreview" zoomScale="85" zoomScaleNormal="70" zoomScaleSheetLayoutView="85" workbookViewId="0">
      <selection activeCell="J11" sqref="J11"/>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3404</v>
      </c>
      <c r="D1" s="1362" t="s">
        <v>43</v>
      </c>
      <c r="E1" s="1363" t="s">
        <v>678</v>
      </c>
      <c r="F1" s="1062">
        <f ca="1">J53</f>
        <v>21.67</v>
      </c>
      <c r="G1" s="1378">
        <f>MATCH(C1,'数据-取费表'!A6:A16,0)+5</f>
        <v>6</v>
      </c>
      <c r="H1" s="2691"/>
      <c r="I1" s="2692"/>
      <c r="J1" s="2692"/>
      <c r="K1" s="2693"/>
      <c r="L1" s="2692"/>
      <c r="M1" s="2692"/>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185857</v>
      </c>
      <c r="C2" s="1387" t="s">
        <v>805</v>
      </c>
      <c r="D2" s="1387"/>
      <c r="E2" s="1388"/>
      <c r="F2" s="1389"/>
      <c r="G2" s="2705"/>
      <c r="H2" s="2694"/>
      <c r="I2" s="2694"/>
      <c r="J2" s="2694"/>
      <c r="K2" s="2695"/>
      <c r="L2" s="2694"/>
      <c r="M2" s="2694"/>
    </row>
    <row r="3" spans="1:37" ht="18" customHeight="1" thickBot="1">
      <c r="A3" s="1390" t="s">
        <v>806</v>
      </c>
      <c r="B3" s="1391">
        <f ca="1">IF(ISERROR(B2*10000/F43),0,ROUND(B2*10000/F43,0))</f>
        <v>46603</v>
      </c>
      <c r="C3" s="1387" t="s">
        <v>807</v>
      </c>
      <c r="D3" s="1387"/>
      <c r="E3" s="1388"/>
      <c r="F3" s="1389"/>
      <c r="G3" s="2705"/>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15706</v>
      </c>
      <c r="D5" s="1364" t="s">
        <v>693</v>
      </c>
      <c r="E5" s="1071"/>
      <c r="F5" s="1072"/>
      <c r="G5" s="1384"/>
      <c r="H5" s="299">
        <v>1</v>
      </c>
      <c r="I5" s="300" t="s">
        <v>692</v>
      </c>
      <c r="J5" s="1070">
        <f ca="1">J6+J10+J12</f>
        <v>15333</v>
      </c>
      <c r="K5" s="1364" t="s">
        <v>693</v>
      </c>
      <c r="L5" s="1071"/>
      <c r="M5" s="1072"/>
    </row>
    <row r="6" spans="1:37" ht="18" customHeight="1">
      <c r="A6" s="1069" t="s">
        <v>398</v>
      </c>
      <c r="B6" s="3768" t="s">
        <v>694</v>
      </c>
      <c r="C6" s="1074">
        <f ca="1">ROUND(F6*F8*F7*(1-F9)/10000,0)</f>
        <v>15649</v>
      </c>
      <c r="D6" s="155" t="s">
        <v>2109</v>
      </c>
      <c r="E6" s="302" t="s">
        <v>696</v>
      </c>
      <c r="F6" s="303">
        <f ca="1">INDIRECT("'数据-取费表'!u"&amp;$G$1)</f>
        <v>327</v>
      </c>
      <c r="G6" s="1384"/>
      <c r="H6" s="1069" t="s">
        <v>398</v>
      </c>
      <c r="I6" s="3768" t="s">
        <v>694</v>
      </c>
      <c r="J6" s="301">
        <f ca="1">ROUND(M6*M8*M7*(1-M9)/10000,0)</f>
        <v>15276</v>
      </c>
      <c r="K6" s="155" t="s">
        <v>2108</v>
      </c>
      <c r="L6" s="302" t="s">
        <v>696</v>
      </c>
      <c r="M6" s="303">
        <f ca="1">INDIRECT("'数据-取费表'!z"&amp;$G$1)</f>
        <v>336</v>
      </c>
    </row>
    <row r="7" spans="1:37" ht="18" customHeight="1">
      <c r="A7" s="1073"/>
      <c r="B7" s="3769"/>
      <c r="C7" s="1075"/>
      <c r="D7" s="307"/>
      <c r="E7" s="1076" t="s">
        <v>697</v>
      </c>
      <c r="F7" s="303">
        <f ca="1">IF(INDIRECT("'数据-取费表'!ah"&amp;$G$1)="",INDIRECT("'数据-取费表'!k"&amp;$G$1),INDIRECT("'数据-取费表'!ah"&amp;$G$1))</f>
        <v>39880.700000000004</v>
      </c>
      <c r="G7" s="1384"/>
      <c r="H7" s="304"/>
      <c r="I7" s="3769"/>
      <c r="J7" s="306"/>
      <c r="K7" s="307"/>
      <c r="L7" s="302" t="s">
        <v>697</v>
      </c>
      <c r="M7" s="303">
        <f ca="1">F7</f>
        <v>39880.700000000004</v>
      </c>
    </row>
    <row r="8" spans="1:37" ht="18" customHeight="1">
      <c r="A8" s="304"/>
      <c r="B8" s="3769"/>
      <c r="C8" s="306"/>
      <c r="D8" s="307"/>
      <c r="E8" s="302" t="s">
        <v>698</v>
      </c>
      <c r="F8" s="303">
        <f ca="1">INDIRECT("'数据-取费表'!ai"&amp;$G$1)</f>
        <v>12</v>
      </c>
      <c r="G8" s="1384"/>
      <c r="H8" s="304"/>
      <c r="I8" s="3769"/>
      <c r="J8" s="306"/>
      <c r="K8" s="307"/>
      <c r="L8" s="302" t="s">
        <v>698</v>
      </c>
      <c r="M8" s="303">
        <f ca="1">INDIRECT("'数据-取费表'!ai"&amp;$G$1)</f>
        <v>12</v>
      </c>
    </row>
    <row r="9" spans="1:37" ht="18" customHeight="1">
      <c r="A9" s="304"/>
      <c r="B9" s="3770"/>
      <c r="C9" s="306"/>
      <c r="D9" s="307"/>
      <c r="E9" s="302" t="s">
        <v>699</v>
      </c>
      <c r="F9" s="312">
        <f ca="1">INDIRECT("'数据-取费表'!w"&amp;$G$1)</f>
        <v>0</v>
      </c>
      <c r="G9" s="1384"/>
      <c r="H9" s="304"/>
      <c r="I9" s="3770"/>
      <c r="J9" s="306"/>
      <c r="K9" s="307"/>
      <c r="L9" s="313" t="s">
        <v>699</v>
      </c>
      <c r="M9" s="314">
        <f ca="1">INDIRECT("'数据-取费表'!ab"&amp;$G$1)</f>
        <v>0.05</v>
      </c>
    </row>
    <row r="10" spans="1:37" ht="18" customHeight="1">
      <c r="A10" s="1069" t="s">
        <v>402</v>
      </c>
      <c r="B10" s="1365" t="s">
        <v>700</v>
      </c>
      <c r="C10" s="316">
        <f ca="1">ROUND(IF(F10="押一",C6/12*F11,IF(F10="押二",C6/12*2*F11,IF(F10="押三",C6/12*3*F11,C11*F11))),0)</f>
        <v>57</v>
      </c>
      <c r="D10" s="1366" t="s">
        <v>2117</v>
      </c>
      <c r="E10" s="313" t="s">
        <v>701</v>
      </c>
      <c r="F10" s="1116" t="s">
        <v>3415</v>
      </c>
      <c r="G10" s="1384"/>
      <c r="H10" s="1069" t="s">
        <v>402</v>
      </c>
      <c r="I10" s="1365" t="s">
        <v>700</v>
      </c>
      <c r="J10" s="301">
        <f ca="1">ROUND(IF(M10="押一",J6/12*M11,IF(M10="押二",J6/12*2*M11,IF(M10="押三",J6/12*3*M11,J11*M11))),0)</f>
        <v>57</v>
      </c>
      <c r="K10" s="1366" t="s">
        <v>2116</v>
      </c>
      <c r="L10" s="313" t="s">
        <v>701</v>
      </c>
      <c r="M10" s="1116" t="s">
        <v>3991</v>
      </c>
    </row>
    <row r="11" spans="1:37" ht="18" customHeight="1">
      <c r="A11" s="308"/>
      <c r="B11" s="1367" t="s">
        <v>679</v>
      </c>
      <c r="C11" s="3487">
        <f>面积明细!AA24/10000</f>
        <v>3774.8550649999997</v>
      </c>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29202</v>
      </c>
      <c r="D13" s="1081" t="s">
        <v>705</v>
      </c>
      <c r="E13" s="1081" t="s">
        <v>706</v>
      </c>
      <c r="F13" s="1082">
        <f ca="1">INDIRECT("'数据-取费表'!y"&amp;$G$1)</f>
        <v>0.88</v>
      </c>
      <c r="G13" s="1384"/>
      <c r="H13" s="1079">
        <v>2</v>
      </c>
      <c r="I13" s="1080" t="s">
        <v>704</v>
      </c>
      <c r="J13" s="1068">
        <f ca="1">ROUND(J14*J15,0)</f>
        <v>27211</v>
      </c>
      <c r="K13" s="1087" t="s">
        <v>705</v>
      </c>
      <c r="L13" s="1392"/>
      <c r="M13" s="1393"/>
    </row>
    <row r="14" spans="1:37" ht="18" customHeight="1">
      <c r="A14" s="982" t="s">
        <v>397</v>
      </c>
      <c r="B14" s="302" t="s">
        <v>707</v>
      </c>
      <c r="C14" s="318">
        <f ca="1">INDIRECT("'数据-取费表'!m"&amp;$G$1)+INDIRECT("'数据-取费表'!t"&amp;$G$1)</f>
        <v>21934</v>
      </c>
      <c r="D14" s="1345" t="s">
        <v>708</v>
      </c>
      <c r="E14" s="1342"/>
      <c r="F14" s="319"/>
      <c r="G14" s="1384"/>
      <c r="H14" s="982" t="s">
        <v>398</v>
      </c>
      <c r="I14" s="302" t="s">
        <v>709</v>
      </c>
      <c r="J14" s="21">
        <f ca="1">C29</f>
        <v>33184</v>
      </c>
      <c r="K14" s="12"/>
      <c r="L14" s="807"/>
      <c r="M14" s="808"/>
    </row>
    <row r="15" spans="1:37" s="1397" customFormat="1" ht="18" customHeight="1" thickBot="1">
      <c r="A15" s="982" t="s">
        <v>399</v>
      </c>
      <c r="B15" s="302" t="s">
        <v>710</v>
      </c>
      <c r="C15" s="21">
        <f ca="1">ROUND(C14*F15,0)</f>
        <v>1097</v>
      </c>
      <c r="D15" s="320" t="s">
        <v>711</v>
      </c>
      <c r="E15" s="320" t="s">
        <v>712</v>
      </c>
      <c r="F15" s="321">
        <f>'数据-取费表'!B33</f>
        <v>0.05</v>
      </c>
      <c r="G15" s="1396"/>
      <c r="H15" s="1089" t="s">
        <v>402</v>
      </c>
      <c r="I15" s="1090" t="s">
        <v>706</v>
      </c>
      <c r="J15" s="1099">
        <f ca="1">INDIRECT("'数据-取费表'!ad"&amp;$G$1)</f>
        <v>0.82</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2857</v>
      </c>
      <c r="K16" s="1087" t="s">
        <v>715</v>
      </c>
      <c r="L16" s="1088"/>
      <c r="M16" s="1072"/>
    </row>
    <row r="17" spans="1:37" s="1397" customFormat="1" ht="18" customHeight="1">
      <c r="A17" s="982" t="s">
        <v>681</v>
      </c>
      <c r="B17" s="302" t="s">
        <v>716</v>
      </c>
      <c r="C17" s="21">
        <f ca="1">ROUND(F17*(F43+INDIRECT("'数据-取费表'!S"&amp;$G$1))/10000,0)</f>
        <v>798</v>
      </c>
      <c r="D17" s="302" t="s">
        <v>717</v>
      </c>
      <c r="E17" s="302" t="s">
        <v>718</v>
      </c>
      <c r="F17" s="23">
        <f>'数据-取费表'!B35</f>
        <v>200</v>
      </c>
      <c r="G17" s="1396"/>
      <c r="H17" s="982" t="s">
        <v>398</v>
      </c>
      <c r="I17" s="302" t="s">
        <v>719</v>
      </c>
      <c r="J17" s="2316">
        <f ca="1">ROUND(IF(AND(项目基本情况!B11="自然人",项目基本情况!B10="北京市"),J6*M17/(1+'数据-取费表'!C42),J18+J19+J20),2)</f>
        <v>2577.2600000000002</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329</v>
      </c>
      <c r="D18" s="302" t="s">
        <v>711</v>
      </c>
      <c r="E18" s="302" t="s">
        <v>712</v>
      </c>
      <c r="F18" s="322">
        <f>'数据-取费表'!B36</f>
        <v>1.4999999999999999E-2</v>
      </c>
      <c r="G18" s="1396"/>
      <c r="H18" s="982" t="s">
        <v>397</v>
      </c>
      <c r="I18" s="302" t="s">
        <v>723</v>
      </c>
      <c r="J18" s="21">
        <f ca="1">ROUND(J6*M18/(1+'数据-取费表'!C42),2)</f>
        <v>814.72</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24158</v>
      </c>
      <c r="D19" s="131" t="s">
        <v>726</v>
      </c>
      <c r="E19" s="1360"/>
      <c r="F19" s="23"/>
      <c r="G19" s="1384"/>
      <c r="H19" s="982" t="s">
        <v>399</v>
      </c>
      <c r="I19" s="302" t="s">
        <v>727</v>
      </c>
      <c r="J19" s="21">
        <f ca="1">IF(K19="按租金收入计税",ROUND(J6*M19/(1+'数据-取费表'!C42),2),ROUND(C29*M19*0.7,2))</f>
        <v>1745.83</v>
      </c>
      <c r="K19" s="1370" t="s">
        <v>3342</v>
      </c>
      <c r="L19" s="302" t="s">
        <v>712</v>
      </c>
      <c r="M19" s="322">
        <f>IF(K19="按租金收入计税",'数据-取费表'!B51,'数据-取费表'!B50)</f>
        <v>0.12</v>
      </c>
    </row>
    <row r="20" spans="1:37" s="1397" customFormat="1" ht="18" customHeight="1">
      <c r="A20" s="982" t="s">
        <v>402</v>
      </c>
      <c r="B20" s="302" t="s">
        <v>728</v>
      </c>
      <c r="C20" s="21">
        <f ca="1">ROUND(C19*F20,0)</f>
        <v>483</v>
      </c>
      <c r="D20" s="323" t="s">
        <v>729</v>
      </c>
      <c r="E20" s="302" t="s">
        <v>712</v>
      </c>
      <c r="F20" s="322">
        <f>'数据-取费表'!B37</f>
        <v>0.02</v>
      </c>
      <c r="G20" s="1396"/>
      <c r="H20" s="982" t="s">
        <v>680</v>
      </c>
      <c r="I20" s="155" t="s">
        <v>730</v>
      </c>
      <c r="J20" s="22">
        <f ca="1">ROUND(M20*M21/10000,2)</f>
        <v>16.71</v>
      </c>
      <c r="K20" s="324" t="s">
        <v>731</v>
      </c>
      <c r="L20" s="302" t="s">
        <v>732</v>
      </c>
      <c r="M20" s="325">
        <f>'数据-取费表'!B52</f>
        <v>18</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9284.9599999999991</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99.55</v>
      </c>
      <c r="K22" s="1344" t="s">
        <v>739</v>
      </c>
      <c r="L22" s="302" t="s">
        <v>712</v>
      </c>
      <c r="M22" s="328">
        <f ca="1">INDIRECT("'数据-取费表'!Ak"&amp;$G$1)</f>
        <v>3.0000000000000001E-3</v>
      </c>
    </row>
    <row r="23" spans="1:37" s="1397" customFormat="1" ht="18" customHeight="1">
      <c r="A23" s="982" t="s">
        <v>397</v>
      </c>
      <c r="B23" s="302" t="s">
        <v>740</v>
      </c>
      <c r="C23" s="21">
        <f ca="1">IF('数据-取费表'!B22&lt;=1,ROUND(C19*F24*F23/2,0)+ROUND(C20*F24*F23/2,0),ROUND(C19*(POWER((1+F24),F23/2)-1),0)+ROUND(C20*(POWER((1+F24),F23/2)-1),0))</f>
        <v>1023</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27.21</v>
      </c>
      <c r="K23" s="1344"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8.0000000000000004E-4</v>
      </c>
      <c r="D24" s="329" t="str">
        <f>IF(F23&lt;=1,"销售费用×利率×(建设周期÷2)","销售费用×((1+利率)^(建设周期÷2)-1)")</f>
        <v>销售费用×((1+利率)^(建设周期÷2)-1)</v>
      </c>
      <c r="E24" s="302" t="s">
        <v>747</v>
      </c>
      <c r="F24" s="331">
        <f ca="1">'数据-取费表'!B40</f>
        <v>4.1499999999999995E-2</v>
      </c>
      <c r="G24" s="1396"/>
      <c r="H24" s="1089" t="s">
        <v>684</v>
      </c>
      <c r="I24" s="1090" t="s">
        <v>728</v>
      </c>
      <c r="J24" s="1091">
        <f ca="1">ROUND(J5*M24,2)</f>
        <v>153.33000000000001</v>
      </c>
      <c r="K24" s="1092" t="s">
        <v>748</v>
      </c>
      <c r="L24" s="1090" t="s">
        <v>744</v>
      </c>
      <c r="M24" s="1086">
        <f ca="1">INDIRECT("'数据-取费表'!Am"&amp;$G$1)</f>
        <v>0.01</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12476</v>
      </c>
      <c r="K25" s="1095" t="s">
        <v>753</v>
      </c>
      <c r="L25" s="1096"/>
      <c r="M25" s="1097"/>
    </row>
    <row r="26" spans="1:37">
      <c r="A26" s="982" t="s">
        <v>397</v>
      </c>
      <c r="B26" s="302" t="s">
        <v>754</v>
      </c>
      <c r="C26" s="21">
        <f ca="1">ROUND((C19+C20)*F26,0)</f>
        <v>4928</v>
      </c>
      <c r="D26" s="323" t="s">
        <v>755</v>
      </c>
      <c r="E26" s="313" t="s">
        <v>756</v>
      </c>
      <c r="F26" s="312">
        <f ca="1">INDIRECT("'数据-取费表'!q"&amp;$G$1)</f>
        <v>0.2</v>
      </c>
      <c r="G26" s="1384"/>
      <c r="H26" s="299" t="s">
        <v>395</v>
      </c>
      <c r="I26" s="300" t="s">
        <v>757</v>
      </c>
      <c r="J26" s="301">
        <f ca="1">IF(J5&lt;&gt;0,ROUND(J25*(1-((1+M28)/(1+M26))^M27)/(M26-M28),0),0)</f>
        <v>176272</v>
      </c>
      <c r="K26" s="324" t="s">
        <v>758</v>
      </c>
      <c r="L26" s="302" t="s">
        <v>759</v>
      </c>
      <c r="M26" s="312">
        <f ca="1">INDIRECT("'数据-取费表'!I"&amp;$G$1)</f>
        <v>5.5E-2</v>
      </c>
    </row>
    <row r="27" spans="1:37" ht="18" customHeight="1">
      <c r="A27" s="982" t="s">
        <v>399</v>
      </c>
      <c r="B27" s="302" t="s">
        <v>760</v>
      </c>
      <c r="C27" s="21">
        <f ca="1">ROUND(F21*F26,4)</f>
        <v>4.0000000000000001E-3</v>
      </c>
      <c r="D27" s="323" t="s">
        <v>761</v>
      </c>
      <c r="E27" s="320"/>
      <c r="F27" s="321"/>
      <c r="G27" s="1384"/>
      <c r="H27" s="304"/>
      <c r="I27" s="305"/>
      <c r="J27" s="306"/>
      <c r="K27" s="332" t="s">
        <v>762</v>
      </c>
      <c r="L27" s="302" t="s">
        <v>763</v>
      </c>
      <c r="M27" s="333">
        <f ca="1">INDIRECT("'数据-取费表'!ag"&amp;$G$1)</f>
        <v>18.170000000000002</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0.03</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33184</v>
      </c>
      <c r="D29" s="1092"/>
      <c r="E29" s="1090"/>
      <c r="F29" s="1093"/>
      <c r="G29" s="1396"/>
      <c r="H29" s="334" t="s">
        <v>396</v>
      </c>
      <c r="I29" s="335" t="s">
        <v>768</v>
      </c>
      <c r="J29" s="336">
        <f ca="1">ROUND(J26/(1+F40)^F41,0)</f>
        <v>146150</v>
      </c>
      <c r="K29" s="337" t="s">
        <v>769</v>
      </c>
      <c r="L29" s="338"/>
      <c r="M29" s="339">
        <f ca="1">INDIRECT("'数据-取费表'!k"&amp;$G$1)</f>
        <v>39880.700000000004</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2926</v>
      </c>
      <c r="D30" s="1087" t="s">
        <v>715</v>
      </c>
      <c r="E30" s="1088"/>
      <c r="F30" s="1072"/>
      <c r="G30" s="1384"/>
      <c r="H30" s="2696"/>
      <c r="I30" s="1398"/>
      <c r="J30" s="1399"/>
      <c r="K30" s="2474"/>
      <c r="L30" s="2697"/>
      <c r="M30" s="2698"/>
    </row>
    <row r="31" spans="1:37" ht="18" customHeight="1">
      <c r="A31" s="982" t="s">
        <v>398</v>
      </c>
      <c r="B31" s="302" t="s">
        <v>719</v>
      </c>
      <c r="C31" s="2316">
        <f ca="1">ROUND(IF(AND(项目基本情况!B11="自然人",项目基本情况!B10="北京市"),C6*F31/(1+'数据-取费表'!C42),C32+C33+C34),2)</f>
        <v>2639.78</v>
      </c>
      <c r="D31" s="1345" t="s">
        <v>720</v>
      </c>
      <c r="E31" s="1344" t="s">
        <v>770</v>
      </c>
      <c r="F31" s="2315" t="str">
        <f>IF(项目基本情况!B11="企业","——",IF(M47="住宅",IF(F6*F7*F8/12/(1+'数据-取费表'!F30)&gt;100000,4%,2.5%),IF(F6*F7*F8/12/(1+'数据-取费表'!F30)&gt;100000,12%,7%)))</f>
        <v>——</v>
      </c>
      <c r="G31" s="1384"/>
      <c r="H31" s="2807" t="s">
        <v>2310</v>
      </c>
      <c r="I31" s="1398"/>
      <c r="J31" s="1399"/>
      <c r="K31" s="2474"/>
      <c r="L31" s="2697"/>
      <c r="M31" s="2698"/>
    </row>
    <row r="32" spans="1:37" ht="18" customHeight="1">
      <c r="A32" s="982" t="s">
        <v>397</v>
      </c>
      <c r="B32" s="302" t="s">
        <v>723</v>
      </c>
      <c r="C32" s="21">
        <f ca="1">IF(项目基本情况!B11="自然人","——",ROUND(C6*F32/(1+'数据-取费表'!C42),2))</f>
        <v>834.61</v>
      </c>
      <c r="D32" s="1344" t="s">
        <v>724</v>
      </c>
      <c r="E32" s="302" t="s">
        <v>712</v>
      </c>
      <c r="F32" s="331">
        <f>'数据-取费表'!B41</f>
        <v>5.6000000000000001E-2</v>
      </c>
      <c r="G32" s="1384"/>
      <c r="H32" s="2696"/>
      <c r="I32" s="1398"/>
      <c r="J32" s="1399"/>
      <c r="K32" s="2474"/>
      <c r="L32" s="2697"/>
      <c r="M32" s="2698"/>
    </row>
    <row r="33" spans="1:18" ht="18" customHeight="1">
      <c r="A33" s="982" t="s">
        <v>399</v>
      </c>
      <c r="B33" s="302" t="s">
        <v>727</v>
      </c>
      <c r="C33" s="21">
        <f ca="1">IF(项目基本情况!B11="自然人","——",IF(D33="按租金收入计税",ROUND(C6*F33/(1+'数据-取费表'!C42),2),IF(D33="按房产原值计税",ROUND(C29*F33*0.7,2),INDIRECT("'数据-取费表'!Aj"&amp;$G$1))))</f>
        <v>1788.46</v>
      </c>
      <c r="D33" s="1370" t="s">
        <v>3342</v>
      </c>
      <c r="E33" s="302" t="s">
        <v>712</v>
      </c>
      <c r="F33" s="322">
        <f>IF(D33="按票据","——",IF(D33="按租金收入计税",'数据-取费表'!B51,'数据-取费表'!B50))</f>
        <v>0.12</v>
      </c>
      <c r="G33" s="1384"/>
      <c r="H33" s="2699"/>
      <c r="I33" s="1398"/>
      <c r="J33" s="1399"/>
      <c r="K33" s="2700"/>
      <c r="L33" s="2699"/>
      <c r="M33" s="2699"/>
    </row>
    <row r="34" spans="1:18" ht="18" customHeight="1">
      <c r="A34" s="1069" t="s">
        <v>680</v>
      </c>
      <c r="B34" s="155" t="s">
        <v>730</v>
      </c>
      <c r="C34" s="22">
        <f ca="1">IF(项目基本情况!B11="自然人","——",ROUND(F34*F35/10000,2))</f>
        <v>16.71</v>
      </c>
      <c r="D34" s="324" t="s">
        <v>731</v>
      </c>
      <c r="E34" s="302" t="s">
        <v>732</v>
      </c>
      <c r="F34" s="325">
        <f>'数据-取费表'!B52</f>
        <v>18</v>
      </c>
      <c r="G34" s="1384"/>
      <c r="H34" s="2696"/>
      <c r="I34" s="1398"/>
      <c r="J34" s="1399"/>
      <c r="K34" s="2701"/>
      <c r="L34" s="2702"/>
      <c r="M34" s="2702"/>
    </row>
    <row r="35" spans="1:18" ht="18" customHeight="1">
      <c r="A35" s="1103"/>
      <c r="B35" s="1101"/>
      <c r="C35" s="26"/>
      <c r="D35" s="327"/>
      <c r="E35" s="302" t="s">
        <v>736</v>
      </c>
      <c r="F35" s="303">
        <f ca="1">INDIRECT("'数据-取费表'!r"&amp;$G$1)</f>
        <v>9284.9599999999991</v>
      </c>
      <c r="G35" s="1384"/>
      <c r="H35" s="2696"/>
      <c r="I35" s="1398"/>
      <c r="J35" s="1399"/>
      <c r="K35" s="2700"/>
      <c r="L35" s="2699"/>
      <c r="M35" s="2699"/>
    </row>
    <row r="36" spans="1:18" ht="18" customHeight="1">
      <c r="A36" s="1102" t="s">
        <v>402</v>
      </c>
      <c r="B36" s="302" t="s">
        <v>738</v>
      </c>
      <c r="C36" s="21">
        <f ca="1">ROUND(C29*F36,2)</f>
        <v>99.55</v>
      </c>
      <c r="D36" s="1344" t="s">
        <v>771</v>
      </c>
      <c r="E36" s="302" t="s">
        <v>712</v>
      </c>
      <c r="F36" s="328">
        <f ca="1">INDIRECT("'数据-取费表'!Ak"&amp;$G$1)</f>
        <v>3.0000000000000001E-3</v>
      </c>
      <c r="G36" s="1384"/>
      <c r="H36" s="2699"/>
      <c r="I36" s="1398"/>
      <c r="J36" s="1399"/>
      <c r="K36" s="2543"/>
      <c r="L36" s="2699"/>
      <c r="M36" s="2699"/>
    </row>
    <row r="37" spans="1:18" ht="18" customHeight="1">
      <c r="A37" s="982" t="s">
        <v>437</v>
      </c>
      <c r="B37" s="302" t="s">
        <v>742</v>
      </c>
      <c r="C37" s="21">
        <f ca="1">ROUND(C13*F37,2)</f>
        <v>29.2</v>
      </c>
      <c r="D37" s="1344" t="s">
        <v>743</v>
      </c>
      <c r="E37" s="302" t="s">
        <v>744</v>
      </c>
      <c r="F37" s="330">
        <f ca="1">INDIRECT("'数据-取费表'!Al"&amp;$G$1)</f>
        <v>1E-3</v>
      </c>
      <c r="G37" s="1384"/>
      <c r="H37" s="2699"/>
      <c r="I37" s="1398"/>
      <c r="J37" s="1399"/>
      <c r="K37" s="2543"/>
      <c r="L37" s="2699"/>
      <c r="M37" s="2699"/>
    </row>
    <row r="38" spans="1:18" ht="18" customHeight="1" thickBot="1">
      <c r="A38" s="1089" t="s">
        <v>684</v>
      </c>
      <c r="B38" s="1090" t="s">
        <v>728</v>
      </c>
      <c r="C38" s="1091">
        <f ca="1">ROUND(C5*F38,2)</f>
        <v>157.06</v>
      </c>
      <c r="D38" s="1092" t="s">
        <v>748</v>
      </c>
      <c r="E38" s="1090" t="s">
        <v>744</v>
      </c>
      <c r="F38" s="1086">
        <f ca="1">INDIRECT("'数据-取费表'!Am"&amp;$G$1)</f>
        <v>0.01</v>
      </c>
      <c r="G38" s="1384"/>
      <c r="H38" s="2699"/>
      <c r="I38" s="1398"/>
      <c r="J38" s="1399"/>
      <c r="K38" s="2703"/>
      <c r="L38" s="2699"/>
      <c r="M38" s="2699"/>
    </row>
    <row r="39" spans="1:18" ht="24.6" customHeight="1" thickTop="1">
      <c r="A39" s="1079" t="s">
        <v>394</v>
      </c>
      <c r="B39" s="1094" t="s">
        <v>772</v>
      </c>
      <c r="C39" s="310">
        <f ca="1">C5-C30</f>
        <v>12780</v>
      </c>
      <c r="D39" s="1095" t="s">
        <v>773</v>
      </c>
      <c r="E39" s="1096"/>
      <c r="F39" s="1097"/>
      <c r="G39" s="1384"/>
      <c r="H39" s="2699"/>
      <c r="I39" s="1398"/>
      <c r="J39" s="1399"/>
      <c r="K39" s="2703"/>
      <c r="L39" s="2699"/>
      <c r="M39" s="2699"/>
    </row>
    <row r="40" spans="1:18" ht="18" customHeight="1">
      <c r="A40" s="299" t="s">
        <v>395</v>
      </c>
      <c r="B40" s="300" t="s">
        <v>774</v>
      </c>
      <c r="C40" s="301">
        <f ca="1">ROUND(C39*(1-((1+F42)/(1+F40))^F41)/(F40-F42),0)</f>
        <v>39707</v>
      </c>
      <c r="D40" s="324" t="s">
        <v>758</v>
      </c>
      <c r="E40" s="302" t="s">
        <v>759</v>
      </c>
      <c r="F40" s="312">
        <f ca="1">INDIRECT("'数据-取费表'!I"&amp;$G$1)</f>
        <v>5.5E-2</v>
      </c>
      <c r="G40" s="1384"/>
      <c r="H40" s="1461"/>
      <c r="I40" s="1398"/>
      <c r="J40" s="1399"/>
      <c r="K40" s="2703"/>
      <c r="L40" s="1461"/>
      <c r="M40" s="1461"/>
    </row>
    <row r="41" spans="1:18" ht="18" customHeight="1">
      <c r="A41" s="304"/>
      <c r="B41" s="305"/>
      <c r="C41" s="306"/>
      <c r="D41" s="332" t="s">
        <v>775</v>
      </c>
      <c r="E41" s="302" t="s">
        <v>763</v>
      </c>
      <c r="F41" s="333">
        <f ca="1">IF(INDIRECT("'数据-取费表'!af"&amp;$G$1)=0,INDIRECT("'数据-取费表'!ae"&amp;$G$1),INDIRECT("'数据-取费表'!af"&amp;$G$1))</f>
        <v>3.5</v>
      </c>
      <c r="G41" s="1384"/>
      <c r="H41" s="1191"/>
      <c r="I41" s="1398"/>
      <c r="J41" s="1399"/>
      <c r="K41" s="2543"/>
      <c r="L41" s="1191"/>
      <c r="M41" s="1191"/>
    </row>
    <row r="42" spans="1:18" ht="18" customHeight="1">
      <c r="A42" s="308"/>
      <c r="B42" s="309"/>
      <c r="C42" s="310"/>
      <c r="D42" s="327"/>
      <c r="E42" s="302" t="s">
        <v>766</v>
      </c>
      <c r="F42" s="312">
        <f ca="1">INDIRECT("'数据-取费表'!v"&amp;$G$1)</f>
        <v>0</v>
      </c>
      <c r="G42" s="1384"/>
      <c r="H42" s="1191"/>
      <c r="I42" s="1398"/>
      <c r="J42" s="1399"/>
      <c r="K42" s="2543"/>
      <c r="L42" s="1191"/>
      <c r="M42" s="1191"/>
    </row>
    <row r="43" spans="1:18" ht="18" customHeight="1" thickBot="1">
      <c r="A43" s="334" t="s">
        <v>396</v>
      </c>
      <c r="B43" s="335" t="s">
        <v>776</v>
      </c>
      <c r="C43" s="336">
        <f ca="1">ROUND(C40*10000/F43,0)</f>
        <v>9956</v>
      </c>
      <c r="D43" s="337" t="s">
        <v>777</v>
      </c>
      <c r="E43" s="338" t="s">
        <v>778</v>
      </c>
      <c r="F43" s="339">
        <f ca="1">INDIRECT("'数据-取费表'!k"&amp;$G$1)</f>
        <v>39880.700000000004</v>
      </c>
      <c r="G43" s="1384"/>
      <c r="H43" s="1191"/>
      <c r="I43" s="1191"/>
      <c r="J43" s="1191"/>
      <c r="K43" s="2543"/>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4" t="s">
        <v>808</v>
      </c>
      <c r="P45" s="1461"/>
      <c r="Q45" s="1461"/>
      <c r="R45" s="1461"/>
    </row>
    <row r="46" spans="1:18" s="1384" customFormat="1" ht="13.5" thickBot="1">
      <c r="A46" s="1404" t="s">
        <v>809</v>
      </c>
      <c r="C46" s="1405">
        <f ca="1">C68-C40</f>
        <v>-40161</v>
      </c>
      <c r="D46" s="1406" t="str">
        <f>C2</f>
        <v>万元</v>
      </c>
      <c r="E46" s="1400"/>
      <c r="F46" s="1400"/>
      <c r="I46" s="1407" t="s">
        <v>810</v>
      </c>
      <c r="J46" s="1408"/>
      <c r="K46" s="1409"/>
      <c r="L46" s="1410" t="str">
        <f ca="1">IF(M47="住宅",0,IF(L48&gt;J51,L60,J60))</f>
        <v>0</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3413</v>
      </c>
      <c r="K47" s="1416" t="s">
        <v>816</v>
      </c>
      <c r="L47" s="1417">
        <f ca="1">INDIRECT("'数据-取费表'!d"&amp;$G$1)</f>
        <v>40</v>
      </c>
      <c r="M47" s="1380" t="str">
        <f>IF(ISNUMBER(FIND("住宅",C1)),"住宅","非住宅")</f>
        <v>非住宅</v>
      </c>
      <c r="O47" s="1418" t="s">
        <v>403</v>
      </c>
      <c r="P47" s="1419" t="s">
        <v>817</v>
      </c>
      <c r="Q47" s="1420">
        <f ca="1">C40+J29</f>
        <v>185857</v>
      </c>
      <c r="R47" s="1420" t="s">
        <v>818</v>
      </c>
    </row>
    <row r="48" spans="1:18" s="1384" customFormat="1" ht="28.5" thickBot="1">
      <c r="A48" s="1110" t="s">
        <v>438</v>
      </c>
      <c r="B48" s="300" t="s">
        <v>692</v>
      </c>
      <c r="C48" s="1359">
        <f ca="1">C49+C53+C55</f>
        <v>0</v>
      </c>
      <c r="D48" s="1112"/>
      <c r="E48" s="1113"/>
      <c r="F48" s="962"/>
      <c r="G48" s="722"/>
      <c r="H48" s="723"/>
      <c r="I48" s="1421" t="s">
        <v>819</v>
      </c>
      <c r="J48" s="1422" t="s">
        <v>3414</v>
      </c>
      <c r="K48" s="1423" t="s">
        <v>820</v>
      </c>
      <c r="L48" s="1424">
        <f ca="1">INDIRECT("'数据-取费表'!f"&amp;$G$1)</f>
        <v>21.67</v>
      </c>
      <c r="O48" s="1418" t="s">
        <v>404</v>
      </c>
      <c r="P48" s="1419" t="s">
        <v>821</v>
      </c>
      <c r="Q48" s="1420" t="str">
        <f ca="1">J60</f>
        <v>0</v>
      </c>
      <c r="R48" s="1420" t="s">
        <v>822</v>
      </c>
    </row>
    <row r="49" spans="1:18" s="1384" customFormat="1" ht="13.5" thickBot="1">
      <c r="A49" s="975" t="s">
        <v>439</v>
      </c>
      <c r="B49" s="1371" t="s">
        <v>779</v>
      </c>
      <c r="C49" s="1114">
        <f ca="1">ROUND(F49*F51*F50*(1-F52)/10000,0)</f>
        <v>0</v>
      </c>
      <c r="D49" s="1055" t="s">
        <v>2110</v>
      </c>
      <c r="E49" s="1372" t="s">
        <v>780</v>
      </c>
      <c r="F49" s="1060"/>
      <c r="G49" s="1425"/>
      <c r="H49" s="723"/>
      <c r="I49" s="1421" t="s">
        <v>823</v>
      </c>
      <c r="J49" s="1426">
        <v>2010</v>
      </c>
      <c r="K49" s="1423" t="s">
        <v>824</v>
      </c>
      <c r="L49" s="1427"/>
      <c r="O49" s="1428" t="s">
        <v>405</v>
      </c>
      <c r="P49" s="1419" t="s">
        <v>825</v>
      </c>
      <c r="Q49" s="1420">
        <f ca="1">C29</f>
        <v>33184</v>
      </c>
      <c r="R49" s="1420" t="s">
        <v>818</v>
      </c>
    </row>
    <row r="50" spans="1:18" s="1384" customFormat="1" ht="13.5" thickBot="1">
      <c r="A50" s="976"/>
      <c r="B50" s="979"/>
      <c r="C50" s="1118"/>
      <c r="D50" s="953"/>
      <c r="E50" s="1056" t="s">
        <v>697</v>
      </c>
      <c r="F50" s="1057">
        <f ca="1">F7</f>
        <v>39880.700000000004</v>
      </c>
      <c r="H50" s="723"/>
      <c r="I50" s="1421" t="s">
        <v>826</v>
      </c>
      <c r="J50" s="1429">
        <f>SUMPRODUCT((I63:I65=J47)*(J62:L62=J48)*(J63:L65))</f>
        <v>60</v>
      </c>
      <c r="K50" s="1423" t="s">
        <v>827</v>
      </c>
      <c r="L50" s="1427"/>
      <c r="M50" s="1430"/>
      <c r="O50" s="1428" t="s">
        <v>406</v>
      </c>
      <c r="P50" s="1419" t="s">
        <v>828</v>
      </c>
      <c r="Q50" s="1431" t="e">
        <f ca="1">J58</f>
        <v>#VALUE!</v>
      </c>
      <c r="R50" s="1420"/>
    </row>
    <row r="51" spans="1:18" s="1384" customFormat="1" ht="13.5" thickBot="1">
      <c r="A51" s="977"/>
      <c r="B51" s="979"/>
      <c r="C51" s="980"/>
      <c r="D51" s="953"/>
      <c r="E51" s="981" t="s">
        <v>698</v>
      </c>
      <c r="F51" s="303">
        <f ca="1">F8</f>
        <v>12</v>
      </c>
      <c r="I51" s="1432" t="s">
        <v>829</v>
      </c>
      <c r="J51" s="1433">
        <f>IF(J49="",J50,J49+J50-YEAR('数据-取费表'!B2))</f>
        <v>48</v>
      </c>
      <c r="K51" s="1434" t="s">
        <v>830</v>
      </c>
      <c r="L51" s="1435">
        <f ca="1">ROUND(-PV(INDIRECT("'数据-取费表'!h"&amp;$G$1),J51,(C39-C13*C76),0),0)</f>
        <v>194074</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21.67</v>
      </c>
      <c r="R52" s="1420" t="s">
        <v>835</v>
      </c>
    </row>
    <row r="53" spans="1:18" s="1384" customFormat="1" ht="24.75" thickBot="1">
      <c r="A53" s="1152" t="s">
        <v>440</v>
      </c>
      <c r="B53" s="1373" t="s">
        <v>700</v>
      </c>
      <c r="C53" s="316">
        <f ca="1">ROUND(IF(F53="押一",C49/12*F11,IF(F53="押二",C49/12*2*F11,IF(F53="押三",C49/12*3*F11,C54*F11))),0)</f>
        <v>0</v>
      </c>
      <c r="D53" s="1366" t="s">
        <v>2116</v>
      </c>
      <c r="E53" s="313" t="s">
        <v>701</v>
      </c>
      <c r="F53" s="1116"/>
      <c r="I53" s="1439" t="s">
        <v>836</v>
      </c>
      <c r="J53" s="2168">
        <f ca="1">IF(M47="住宅",IF(D1="——",MAX(J51,L48),MAX(J51,L48-'数据-取费表'!B24)),IF(D1="——",MIN(J51,L48),MIN(J51,L48-'数据-取费表'!B24)))</f>
        <v>21.67</v>
      </c>
      <c r="K53" s="3766" t="s">
        <v>837</v>
      </c>
      <c r="L53" s="3767"/>
      <c r="O53" s="1418" t="s">
        <v>409</v>
      </c>
      <c r="P53" s="1419" t="s">
        <v>838</v>
      </c>
      <c r="Q53" s="1420">
        <f ca="1">Q47+Q48</f>
        <v>185857</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#VALUE!</v>
      </c>
      <c r="K55" s="1445" t="s">
        <v>841</v>
      </c>
      <c r="L55" s="1446"/>
      <c r="O55" s="1411" t="s">
        <v>811</v>
      </c>
      <c r="P55" s="1412" t="s">
        <v>812</v>
      </c>
      <c r="Q55" s="1413" t="s">
        <v>813</v>
      </c>
      <c r="R55" s="1413" t="s">
        <v>814</v>
      </c>
    </row>
    <row r="56" spans="1:18" s="1384" customFormat="1" ht="25.5" thickTop="1" thickBot="1">
      <c r="A56" s="957">
        <v>2</v>
      </c>
      <c r="B56" s="958" t="s">
        <v>704</v>
      </c>
      <c r="C56" s="232">
        <f ca="1">C13</f>
        <v>29202</v>
      </c>
      <c r="D56" s="1447"/>
      <c r="E56" s="1448"/>
      <c r="F56" s="1440"/>
      <c r="I56" s="1449" t="s">
        <v>842</v>
      </c>
      <c r="J56" s="1450" t="s">
        <v>3401</v>
      </c>
      <c r="K56" s="1421" t="s">
        <v>843</v>
      </c>
      <c r="L56" s="1424" t="str">
        <f ca="1">IF(L48&lt;J51,"——",L48-J53)</f>
        <v>——</v>
      </c>
      <c r="O56" s="1418" t="s">
        <v>403</v>
      </c>
      <c r="P56" s="1419" t="s">
        <v>817</v>
      </c>
      <c r="Q56" s="1420">
        <f ca="1">C40+J29</f>
        <v>185857</v>
      </c>
      <c r="R56" s="1420" t="s">
        <v>818</v>
      </c>
    </row>
    <row r="57" spans="1:18" s="1384" customFormat="1" ht="24.75" thickBot="1">
      <c r="A57" s="1451"/>
      <c r="B57" s="950" t="s">
        <v>767</v>
      </c>
      <c r="C57" s="238">
        <f ca="1">C29</f>
        <v>33184</v>
      </c>
      <c r="D57" s="1452"/>
      <c r="E57" s="1453"/>
      <c r="F57" s="1454"/>
      <c r="I57" s="1455" t="s">
        <v>844</v>
      </c>
      <c r="J57" s="1456" t="str">
        <f ca="1">IF(OR(M47="住宅",J51&lt;L48,J56="是"),"——",J51-L48)</f>
        <v>——</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146</v>
      </c>
      <c r="D58" s="960" t="s">
        <v>715</v>
      </c>
      <c r="E58" s="961"/>
      <c r="F58" s="962"/>
      <c r="I58" s="1455" t="s">
        <v>848</v>
      </c>
      <c r="J58" s="1457" t="e">
        <f ca="1">IF(J55&lt;0.4,0.4,J55)</f>
        <v>#VALUE!</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17</v>
      </c>
      <c r="D59" s="963" t="s">
        <v>720</v>
      </c>
      <c r="E59" s="964" t="s">
        <v>721</v>
      </c>
      <c r="F59" s="2315" t="str">
        <f>IF(项目基本情况!B11="企业","——",IF('数据-取费表'!B10="住宅",IF(F49*F50*F51/12/(1+'数据-取费表'!F30)&gt;100000,4%,2.5%),IF(F49*F50*F51/12/(1+'数据-取费表'!F30)&gt;100000,12%,7%)))</f>
        <v>——</v>
      </c>
      <c r="I59" s="1455" t="s">
        <v>851</v>
      </c>
      <c r="J59" s="1456" t="str">
        <f ca="1">IF(OR(M47="住宅",J51&lt;L48,J56="是"),"——",ROUND(C29*J58,0))</f>
        <v>——</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t="str">
        <f ca="1">IF(OR(M47="住宅",J51&lt;L48,J56="是"),"0",ROUND(J59/(1+J52)^J53,0))</f>
        <v>0</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3342</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IF(项目基本情况!B11="自然人","——",ROUND(F62*F63/10000,2))</f>
        <v>16.71</v>
      </c>
      <c r="D62" s="965" t="s">
        <v>786</v>
      </c>
      <c r="E62" s="950" t="s">
        <v>787</v>
      </c>
      <c r="F62" s="325">
        <f t="shared" si="0"/>
        <v>18</v>
      </c>
      <c r="I62" s="1462" t="s">
        <v>858</v>
      </c>
      <c r="J62" s="1463" t="s">
        <v>859</v>
      </c>
      <c r="K62" s="1463" t="s">
        <v>860</v>
      </c>
      <c r="L62" s="1463" t="s">
        <v>861</v>
      </c>
      <c r="M62" s="1464" t="s">
        <v>862</v>
      </c>
      <c r="O62" s="1418" t="s">
        <v>409</v>
      </c>
      <c r="P62" s="1419" t="s">
        <v>863</v>
      </c>
      <c r="Q62" s="1420">
        <f ca="1">Q56+Q57</f>
        <v>185857</v>
      </c>
      <c r="R62" s="1420" t="s">
        <v>410</v>
      </c>
    </row>
    <row r="63" spans="1:18" s="1384" customFormat="1" ht="13.5" thickBot="1">
      <c r="A63" s="326"/>
      <c r="B63" s="956"/>
      <c r="C63" s="26"/>
      <c r="D63" s="966"/>
      <c r="E63" s="950" t="s">
        <v>788</v>
      </c>
      <c r="F63" s="303">
        <f t="shared" ca="1" si="0"/>
        <v>9284.9599999999991</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99.55</v>
      </c>
      <c r="D64" s="964" t="s">
        <v>791</v>
      </c>
      <c r="E64" s="950" t="s">
        <v>783</v>
      </c>
      <c r="F64" s="328">
        <f t="shared" ca="1" si="0"/>
        <v>3.0000000000000001E-3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29.2</v>
      </c>
      <c r="D65" s="964" t="s">
        <v>743</v>
      </c>
      <c r="E65" s="950" t="s">
        <v>744</v>
      </c>
      <c r="F65" s="330">
        <f t="shared" ca="1" si="0"/>
        <v>1E-3</v>
      </c>
      <c r="I65" s="1462" t="s">
        <v>867</v>
      </c>
      <c r="J65" s="1463">
        <v>40</v>
      </c>
      <c r="K65" s="1463">
        <v>30</v>
      </c>
      <c r="L65" s="1463">
        <v>50</v>
      </c>
      <c r="M65" s="1465">
        <v>0.02</v>
      </c>
      <c r="O65" s="1418" t="s">
        <v>403</v>
      </c>
      <c r="P65" s="1419" t="s">
        <v>868</v>
      </c>
      <c r="Q65" s="1420">
        <f ca="1">C40+J29</f>
        <v>185857</v>
      </c>
      <c r="R65" s="1420" t="s">
        <v>818</v>
      </c>
    </row>
    <row r="66" spans="1:18" s="1384" customFormat="1" ht="16.5" thickBot="1">
      <c r="A66" s="982" t="s">
        <v>793</v>
      </c>
      <c r="B66" s="950" t="s">
        <v>728</v>
      </c>
      <c r="C66" s="21">
        <f ca="1">ROUND(C48*F66,2)</f>
        <v>0</v>
      </c>
      <c r="D66" s="964" t="s">
        <v>794</v>
      </c>
      <c r="E66" s="950" t="s">
        <v>712</v>
      </c>
      <c r="F66" s="312">
        <f t="shared" ca="1" si="0"/>
        <v>0.01</v>
      </c>
      <c r="O66" s="1418" t="s">
        <v>404</v>
      </c>
      <c r="P66" s="1419" t="s">
        <v>846</v>
      </c>
      <c r="Q66" s="1420">
        <f ca="1">L60</f>
        <v>0</v>
      </c>
      <c r="R66" s="1420" t="s">
        <v>869</v>
      </c>
    </row>
    <row r="67" spans="1:18" s="1384" customFormat="1" ht="16.5" thickBot="1">
      <c r="A67" s="957" t="s">
        <v>394</v>
      </c>
      <c r="B67" s="967" t="s">
        <v>752</v>
      </c>
      <c r="C67" s="316">
        <f ca="1">C48-C58</f>
        <v>-146</v>
      </c>
      <c r="D67" s="963" t="s">
        <v>753</v>
      </c>
      <c r="E67" s="968"/>
      <c r="F67" s="969"/>
      <c r="O67" s="1428" t="s">
        <v>405</v>
      </c>
      <c r="P67" s="1419" t="s">
        <v>850</v>
      </c>
      <c r="Q67" s="1466">
        <f ca="1">L51</f>
        <v>194074</v>
      </c>
      <c r="R67" s="1420" t="s">
        <v>870</v>
      </c>
    </row>
    <row r="68" spans="1:18" s="1384" customFormat="1" ht="16.5" thickBot="1">
      <c r="A68" s="947" t="s">
        <v>395</v>
      </c>
      <c r="B68" s="948" t="s">
        <v>774</v>
      </c>
      <c r="C68" s="301">
        <f ca="1">ROUND(C67*(1-((1+F70)/(1+F68))^F69)/(F68-F70),0)</f>
        <v>-454</v>
      </c>
      <c r="D68" s="965" t="s">
        <v>758</v>
      </c>
      <c r="E68" s="950" t="s">
        <v>759</v>
      </c>
      <c r="F68" s="312">
        <f ca="1">F40</f>
        <v>5.5E-2</v>
      </c>
      <c r="O68" s="1428" t="s">
        <v>406</v>
      </c>
      <c r="P68" s="1467" t="s">
        <v>871</v>
      </c>
      <c r="Q68" s="1420">
        <f ca="1">ROUND(Q69-Q70*Q71,0)</f>
        <v>10736</v>
      </c>
      <c r="R68" s="1420" t="s">
        <v>414</v>
      </c>
    </row>
    <row r="69" spans="1:18" s="1384" customFormat="1" ht="13.5" thickBot="1">
      <c r="A69" s="951"/>
      <c r="B69" s="952"/>
      <c r="C69" s="306"/>
      <c r="D69" s="970" t="s">
        <v>762</v>
      </c>
      <c r="E69" s="950" t="s">
        <v>763</v>
      </c>
      <c r="F69" s="333">
        <f ca="1">F41</f>
        <v>3.5</v>
      </c>
      <c r="O69" s="1428" t="s">
        <v>411</v>
      </c>
      <c r="P69" s="1467" t="s">
        <v>872</v>
      </c>
      <c r="Q69" s="1420">
        <f ca="1">C39</f>
        <v>12780</v>
      </c>
      <c r="R69" s="1420" t="s">
        <v>818</v>
      </c>
    </row>
    <row r="70" spans="1:18" s="1384" customFormat="1" ht="13.5" thickBot="1">
      <c r="A70" s="954"/>
      <c r="B70" s="955"/>
      <c r="C70" s="310"/>
      <c r="D70" s="966"/>
      <c r="E70" s="950" t="s">
        <v>766</v>
      </c>
      <c r="F70" s="1054"/>
      <c r="O70" s="1428" t="s">
        <v>412</v>
      </c>
      <c r="P70" s="1467" t="s">
        <v>873</v>
      </c>
      <c r="Q70" s="1420">
        <f ca="1">C13</f>
        <v>29202</v>
      </c>
      <c r="R70" s="1420" t="s">
        <v>818</v>
      </c>
    </row>
    <row r="71" spans="1:18" s="1384" customFormat="1" ht="13.5" thickBot="1">
      <c r="A71" s="971" t="s">
        <v>396</v>
      </c>
      <c r="B71" s="972" t="s">
        <v>776</v>
      </c>
      <c r="C71" s="336">
        <f ca="1">ROUND(C68*10000/F71,0)</f>
        <v>-114</v>
      </c>
      <c r="D71" s="973" t="s">
        <v>777</v>
      </c>
      <c r="E71" s="974" t="s">
        <v>778</v>
      </c>
      <c r="F71" s="339">
        <f ca="1">F43</f>
        <v>39880.700000000004</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2044</v>
      </c>
      <c r="D75" s="1384"/>
      <c r="E75" s="1384"/>
      <c r="F75" s="1384"/>
      <c r="K75" s="1402"/>
      <c r="L75" s="1384"/>
      <c r="O75" s="1418" t="s">
        <v>409</v>
      </c>
      <c r="P75" s="1419" t="s">
        <v>838</v>
      </c>
      <c r="Q75" s="1420">
        <f ca="1">Q65+Q66</f>
        <v>185857</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0.84</v>
      </c>
    </row>
    <row r="80" spans="1:18">
      <c r="B80" s="340" t="s">
        <v>800</v>
      </c>
      <c r="C80" s="274">
        <f ca="1">ROUND(C75/C39,3)</f>
        <v>0.16</v>
      </c>
    </row>
    <row r="81" spans="2:3">
      <c r="B81" s="270" t="s">
        <v>801</v>
      </c>
      <c r="C81" s="238"/>
    </row>
    <row r="82" spans="2:3">
      <c r="B82" s="273" t="s">
        <v>802</v>
      </c>
      <c r="C82" s="275">
        <f ca="1">1-C83</f>
        <v>0.26500000000000001</v>
      </c>
    </row>
    <row r="83" spans="2:3">
      <c r="B83" s="273" t="s">
        <v>803</v>
      </c>
      <c r="C83" s="274">
        <f ca="1">ROUND(C13/C40,3)</f>
        <v>0.73499999999999999</v>
      </c>
    </row>
  </sheetData>
  <sheetProtection formatCells="0" formatColumns="0" formatRows="0"/>
  <mergeCells count="3">
    <mergeCell ref="K53:L53"/>
    <mergeCell ref="B6:B9"/>
    <mergeCell ref="I6:I9"/>
  </mergeCells>
  <phoneticPr fontId="3" type="noConversion"/>
  <conditionalFormatting sqref="K55 K60">
    <cfRule type="expression" dxfId="165" priority="56">
      <formula>$L$48&gt;$J$51</formula>
    </cfRule>
  </conditionalFormatting>
  <conditionalFormatting sqref="I55 I60">
    <cfRule type="expression" dxfId="164" priority="57">
      <formula>$J$51&gt;$L$48</formula>
    </cfRule>
  </conditionalFormatting>
  <conditionalFormatting sqref="C11">
    <cfRule type="expression" dxfId="163" priority="3">
      <formula>$F$10="自定义"</formula>
    </cfRule>
  </conditionalFormatting>
  <conditionalFormatting sqref="J11">
    <cfRule type="expression" dxfId="162" priority="2">
      <formula>$M$10="自定义"</formula>
    </cfRule>
  </conditionalFormatting>
  <conditionalFormatting sqref="C54">
    <cfRule type="expression" dxfId="161"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E2" sqref="E2"/>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c r="D1" s="1362" t="s">
        <v>43</v>
      </c>
      <c r="E1" s="1363" t="s">
        <v>678</v>
      </c>
      <c r="F1" s="1062">
        <f ca="1">J53</f>
        <v>0</v>
      </c>
      <c r="G1" s="1378">
        <f>MATCH(C1,'数据-取费表'!A6:A16,0)+5</f>
        <v>8</v>
      </c>
      <c r="H1" s="2691"/>
      <c r="I1" s="2692"/>
      <c r="J1" s="2692"/>
      <c r="K1" s="2693"/>
      <c r="L1" s="2692"/>
      <c r="M1" s="2692"/>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4" t="e">
        <f ca="1">ROUND(D2/10000,4)</f>
        <v>#DIV/0!</v>
      </c>
      <c r="C2" s="1387" t="s">
        <v>879</v>
      </c>
      <c r="D2" s="1471" t="e">
        <f ca="1">C40+J29+L46</f>
        <v>#DIV/0!</v>
      </c>
      <c r="E2" s="1388" t="s">
        <v>880</v>
      </c>
      <c r="F2" s="1389"/>
      <c r="G2" s="2705"/>
      <c r="H2" s="2694"/>
      <c r="I2" s="2694"/>
      <c r="J2" s="2694"/>
      <c r="K2" s="2695"/>
      <c r="L2" s="2694"/>
      <c r="M2" s="2694"/>
    </row>
    <row r="3" spans="1:37" ht="18" customHeight="1" thickBot="1">
      <c r="A3" s="1390" t="s">
        <v>881</v>
      </c>
      <c r="B3" s="1391">
        <f ca="1">IF(ISERROR(D2/F43),0,ROUND(D2/F43,0))</f>
        <v>0</v>
      </c>
      <c r="C3" s="1387" t="s">
        <v>882</v>
      </c>
      <c r="D3" s="1387"/>
      <c r="E3" s="1388"/>
      <c r="F3" s="1389"/>
      <c r="G3" s="2705"/>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0</v>
      </c>
      <c r="D5" s="1364" t="s">
        <v>889</v>
      </c>
      <c r="E5" s="1071"/>
      <c r="F5" s="1072"/>
      <c r="G5" s="1384"/>
      <c r="H5" s="299">
        <v>1</v>
      </c>
      <c r="I5" s="300" t="s">
        <v>888</v>
      </c>
      <c r="J5" s="1070">
        <f ca="1">J6+J10+J12</f>
        <v>0</v>
      </c>
      <c r="K5" s="1364" t="s">
        <v>889</v>
      </c>
      <c r="L5" s="1071"/>
      <c r="M5" s="1072"/>
    </row>
    <row r="6" spans="1:37" ht="18" customHeight="1">
      <c r="A6" s="1069" t="s">
        <v>398</v>
      </c>
      <c r="B6" s="3768" t="s">
        <v>694</v>
      </c>
      <c r="C6" s="1074">
        <f ca="1">ROUND(F6*F8*F7*(1-F9),0)</f>
        <v>0</v>
      </c>
      <c r="D6" s="155" t="s">
        <v>2106</v>
      </c>
      <c r="E6" s="302" t="s">
        <v>696</v>
      </c>
      <c r="F6" s="303">
        <f ca="1">INDIRECT("'数据-取费表'!u"&amp;$G$1)</f>
        <v>0</v>
      </c>
      <c r="G6" s="1384"/>
      <c r="H6" s="1069" t="s">
        <v>398</v>
      </c>
      <c r="I6" s="3768" t="s">
        <v>694</v>
      </c>
      <c r="J6" s="301">
        <f ca="1">ROUND(M6*M8*M7*(1-M9),0)</f>
        <v>0</v>
      </c>
      <c r="K6" s="1376" t="s">
        <v>2107</v>
      </c>
      <c r="L6" s="302" t="s">
        <v>696</v>
      </c>
      <c r="M6" s="303">
        <f ca="1">INDIRECT("'数据-取费表'!z"&amp;$G$1)</f>
        <v>0</v>
      </c>
    </row>
    <row r="7" spans="1:37" ht="18" customHeight="1">
      <c r="A7" s="1073"/>
      <c r="B7" s="3769"/>
      <c r="C7" s="1075"/>
      <c r="D7" s="307"/>
      <c r="E7" s="1076" t="s">
        <v>697</v>
      </c>
      <c r="F7" s="303">
        <f ca="1">IF(INDIRECT("'数据-取费表'!ah"&amp;$G$1)="",INDIRECT("'数据-取费表'!k"&amp;$G$1),INDIRECT("'数据-取费表'!ah"&amp;$G$1))</f>
        <v>0</v>
      </c>
      <c r="G7" s="1384"/>
      <c r="H7" s="304"/>
      <c r="I7" s="3769"/>
      <c r="J7" s="306"/>
      <c r="K7" s="307"/>
      <c r="L7" s="302" t="s">
        <v>697</v>
      </c>
      <c r="M7" s="303">
        <f ca="1">F7</f>
        <v>0</v>
      </c>
    </row>
    <row r="8" spans="1:37" ht="18" customHeight="1">
      <c r="A8" s="304"/>
      <c r="B8" s="3769"/>
      <c r="C8" s="306"/>
      <c r="D8" s="307"/>
      <c r="E8" s="302" t="s">
        <v>698</v>
      </c>
      <c r="F8" s="303">
        <f ca="1">INDIRECT("'数据-取费表'!ai"&amp;$G$1)</f>
        <v>0</v>
      </c>
      <c r="G8" s="1384"/>
      <c r="H8" s="304"/>
      <c r="I8" s="3769"/>
      <c r="J8" s="306"/>
      <c r="K8" s="307"/>
      <c r="L8" s="302" t="s">
        <v>698</v>
      </c>
      <c r="M8" s="303">
        <f ca="1">INDIRECT("'数据-取费表'!ai"&amp;$G$1)</f>
        <v>0</v>
      </c>
    </row>
    <row r="9" spans="1:37" ht="18" customHeight="1">
      <c r="A9" s="304"/>
      <c r="B9" s="3770"/>
      <c r="C9" s="306"/>
      <c r="D9" s="307"/>
      <c r="E9" s="302" t="s">
        <v>699</v>
      </c>
      <c r="F9" s="312">
        <f ca="1">INDIRECT("'数据-取费表'!w"&amp;$G$1)</f>
        <v>0</v>
      </c>
      <c r="G9" s="1384"/>
      <c r="H9" s="304"/>
      <c r="I9" s="3770"/>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2116</v>
      </c>
      <c r="E10" s="313" t="s">
        <v>701</v>
      </c>
      <c r="F10" s="1116"/>
      <c r="G10" s="1384"/>
      <c r="H10" s="1069" t="s">
        <v>402</v>
      </c>
      <c r="I10" s="1365" t="s">
        <v>700</v>
      </c>
      <c r="J10" s="301">
        <f ca="1">ROUND(IF(M10="押一",J6/12*M11,IF(M10="押二",J6/12*2*M11,IF(M10="押三",J6/12*3*M11,J11*M11))),0)</f>
        <v>0</v>
      </c>
      <c r="K10" s="1377" t="s">
        <v>2118</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ROUND(F17*(F43+INDIRECT("'数据-取费表'!S"&amp;$G$1)),0)</f>
        <v>0</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1.4999999999999999E-2</v>
      </c>
      <c r="G18" s="1396"/>
      <c r="H18" s="982" t="s">
        <v>397</v>
      </c>
      <c r="I18" s="302" t="s">
        <v>723</v>
      </c>
      <c r="J18" s="21">
        <f ca="1">ROUND(J6*M18/(1+'数据-取费表'!C42),0)</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IF(K19="按租金收入计税",ROUND(J6*M19/(1+'数据-取费表'!C42),0),ROUND(C29*M19*0.7,0))</f>
        <v>0</v>
      </c>
      <c r="K19" s="1370" t="s">
        <v>3342</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0.02</v>
      </c>
      <c r="G20" s="1396"/>
      <c r="H20" s="982" t="s">
        <v>680</v>
      </c>
      <c r="I20" s="155" t="s">
        <v>730</v>
      </c>
      <c r="J20" s="22">
        <f ca="1">ROUND(M20*M21,0)</f>
        <v>0</v>
      </c>
      <c r="K20" s="324" t="s">
        <v>731</v>
      </c>
      <c r="L20" s="302" t="s">
        <v>732</v>
      </c>
      <c r="M20" s="325">
        <f>'数据-取费表'!B52</f>
        <v>18</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ROUND(J13*M23,0)</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8.0000000000000004E-4</v>
      </c>
      <c r="D24" s="329" t="str">
        <f>IF(F23&lt;=1,"销售费用×利率×(建设周期÷2)","销售费用×((1+利率)^(建设周期÷2)-1)")</f>
        <v>销售费用×((1+利率)^(建设周期÷2)-1)</v>
      </c>
      <c r="E24" s="302" t="s">
        <v>747</v>
      </c>
      <c r="F24" s="331">
        <f ca="1">'数据-取费表'!B40</f>
        <v>4.1499999999999995E-2</v>
      </c>
      <c r="G24" s="1396"/>
      <c r="H24" s="1089" t="s">
        <v>684</v>
      </c>
      <c r="I24" s="1090" t="s">
        <v>728</v>
      </c>
      <c r="J24" s="1091">
        <f ca="1">ROUND(J5*M24,0)</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ht="18" customHeight="1">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6"/>
      <c r="I30" s="1398"/>
      <c r="J30" s="1399"/>
      <c r="K30" s="2474"/>
      <c r="L30" s="2697"/>
      <c r="M30" s="2698"/>
    </row>
    <row r="31" spans="1:37" ht="18" customHeight="1">
      <c r="A31" s="982" t="s">
        <v>398</v>
      </c>
      <c r="B31" s="302" t="s">
        <v>719</v>
      </c>
      <c r="C31" s="2316">
        <f ca="1">ROUND(IF(AND(项目基本情况!B11="自然人",项目基本情况!B10="北京市"),C6*F31/(1+'数据-取费表'!C42),C32+C33+C34),0)</f>
        <v>0</v>
      </c>
      <c r="D31" s="1345" t="s">
        <v>720</v>
      </c>
      <c r="E31" s="1344" t="s">
        <v>770</v>
      </c>
      <c r="F31" s="2315" t="str">
        <f>IF(项目基本情况!B11="企业","——",IF(M47="住宅",IF(F6*F7*F8/12/(1+'数据-取费表'!F30)&gt;100000,4%,2.5%),IF(F6*F7*F8/12/(1+'数据-取费表'!F30)&gt;100000,12%,7%)))</f>
        <v>——</v>
      </c>
      <c r="G31" s="1384"/>
      <c r="H31" s="2807" t="s">
        <v>2310</v>
      </c>
      <c r="I31" s="1398"/>
      <c r="J31" s="1399"/>
      <c r="K31" s="2474"/>
      <c r="L31" s="2697"/>
      <c r="M31" s="2698"/>
    </row>
    <row r="32" spans="1:37" ht="18" customHeight="1">
      <c r="A32" s="982" t="s">
        <v>397</v>
      </c>
      <c r="B32" s="302" t="s">
        <v>723</v>
      </c>
      <c r="C32" s="21">
        <f ca="1">IF(项目基本情况!B11="自然人","——",ROUND(C6*F32/(1+'数据-取费表'!C42),0))</f>
        <v>0</v>
      </c>
      <c r="D32" s="1344" t="s">
        <v>724</v>
      </c>
      <c r="E32" s="302" t="s">
        <v>712</v>
      </c>
      <c r="F32" s="331">
        <f>'数据-取费表'!B41</f>
        <v>5.6000000000000001E-2</v>
      </c>
      <c r="G32" s="1384"/>
      <c r="H32" s="2696"/>
      <c r="I32" s="1398"/>
      <c r="J32" s="1399"/>
      <c r="K32" s="2474"/>
      <c r="L32" s="2697"/>
      <c r="M32" s="2698"/>
    </row>
    <row r="33" spans="1:18" ht="18" customHeight="1">
      <c r="A33" s="982" t="s">
        <v>399</v>
      </c>
      <c r="B33" s="302" t="s">
        <v>727</v>
      </c>
      <c r="C33" s="21">
        <f ca="1">IF(项目基本情况!B11="自然人","——",IF(D33="按租金收入计税",ROUND(C6*F33/(1+'数据-取费表'!C42),0),IF(D33="按房产原值计税",ROUND(C29*F33*0.7,0),INDIRECT("'数据-取费表'!Aj"&amp;$G$1))))</f>
        <v>0</v>
      </c>
      <c r="D33" s="1370" t="s">
        <v>3342</v>
      </c>
      <c r="E33" s="302" t="s">
        <v>712</v>
      </c>
      <c r="F33" s="322">
        <f>IF(D33="按票据","——",IF(D33="按租金收入计税",'数据-取费表'!B51,'数据-取费表'!B50))</f>
        <v>0.12</v>
      </c>
      <c r="G33" s="1384"/>
      <c r="H33" s="2699"/>
      <c r="I33" s="1398"/>
      <c r="J33" s="1399"/>
      <c r="K33" s="2700"/>
      <c r="L33" s="2699"/>
      <c r="M33" s="2699"/>
    </row>
    <row r="34" spans="1:18" ht="18" customHeight="1">
      <c r="A34" s="1069" t="s">
        <v>680</v>
      </c>
      <c r="B34" s="155" t="s">
        <v>730</v>
      </c>
      <c r="C34" s="22">
        <f ca="1">IF(项目基本情况!B11="自然人","——",ROUND(F34*F35,0))</f>
        <v>0</v>
      </c>
      <c r="D34" s="324" t="s">
        <v>731</v>
      </c>
      <c r="E34" s="302" t="s">
        <v>732</v>
      </c>
      <c r="F34" s="325">
        <f>'数据-取费表'!B52</f>
        <v>18</v>
      </c>
      <c r="G34" s="1384"/>
      <c r="H34" s="2696"/>
      <c r="I34" s="1398"/>
      <c r="J34" s="1399"/>
      <c r="K34" s="2701"/>
      <c r="L34" s="2702"/>
      <c r="M34" s="2702"/>
    </row>
    <row r="35" spans="1:18" ht="18" customHeight="1">
      <c r="A35" s="1103"/>
      <c r="B35" s="1101"/>
      <c r="C35" s="26"/>
      <c r="D35" s="327"/>
      <c r="E35" s="302" t="s">
        <v>736</v>
      </c>
      <c r="F35" s="303">
        <f ca="1">INDIRECT("'数据-取费表'!r"&amp;$G$1)</f>
        <v>0</v>
      </c>
      <c r="G35" s="1384"/>
      <c r="H35" s="2696"/>
      <c r="I35" s="1398"/>
      <c r="J35" s="1399"/>
      <c r="K35" s="2700"/>
      <c r="L35" s="2699"/>
      <c r="M35" s="2699"/>
    </row>
    <row r="36" spans="1:18" ht="18" customHeight="1">
      <c r="A36" s="1102" t="s">
        <v>402</v>
      </c>
      <c r="B36" s="302" t="s">
        <v>738</v>
      </c>
      <c r="C36" s="21">
        <f ca="1">ROUND(C29*F36,0)</f>
        <v>0</v>
      </c>
      <c r="D36" s="1344" t="s">
        <v>771</v>
      </c>
      <c r="E36" s="302" t="s">
        <v>712</v>
      </c>
      <c r="F36" s="328">
        <f ca="1">INDIRECT("'数据-取费表'!Ak"&amp;$G$1)</f>
        <v>0</v>
      </c>
      <c r="G36" s="1384"/>
      <c r="H36" s="2699"/>
      <c r="I36" s="1398"/>
      <c r="J36" s="1399"/>
      <c r="K36" s="2543"/>
      <c r="L36" s="2699"/>
      <c r="M36" s="2699"/>
    </row>
    <row r="37" spans="1:18" ht="18" customHeight="1">
      <c r="A37" s="982" t="s">
        <v>437</v>
      </c>
      <c r="B37" s="302" t="s">
        <v>742</v>
      </c>
      <c r="C37" s="21">
        <f ca="1">ROUND(C13*F37,0)</f>
        <v>0</v>
      </c>
      <c r="D37" s="1344" t="s">
        <v>743</v>
      </c>
      <c r="E37" s="302" t="s">
        <v>744</v>
      </c>
      <c r="F37" s="330">
        <f ca="1">INDIRECT("'数据-取费表'!Al"&amp;$G$1)</f>
        <v>0</v>
      </c>
      <c r="G37" s="1384"/>
      <c r="H37" s="2699"/>
      <c r="I37" s="1398"/>
      <c r="J37" s="1399"/>
      <c r="K37" s="2543"/>
      <c r="L37" s="2699"/>
      <c r="M37" s="2699"/>
    </row>
    <row r="38" spans="1:18" ht="18" customHeight="1" thickBot="1">
      <c r="A38" s="1089" t="s">
        <v>684</v>
      </c>
      <c r="B38" s="1090" t="s">
        <v>728</v>
      </c>
      <c r="C38" s="1091">
        <f ca="1">ROUND(C5*F38,0)</f>
        <v>0</v>
      </c>
      <c r="D38" s="1092" t="s">
        <v>748</v>
      </c>
      <c r="E38" s="1090" t="s">
        <v>744</v>
      </c>
      <c r="F38" s="1086">
        <f ca="1">INDIRECT("'数据-取费表'!Am"&amp;$G$1)</f>
        <v>0</v>
      </c>
      <c r="G38" s="1384"/>
      <c r="H38" s="2699"/>
      <c r="I38" s="1398"/>
      <c r="J38" s="1399"/>
      <c r="K38" s="2703"/>
      <c r="L38" s="2699"/>
      <c r="M38" s="2699"/>
    </row>
    <row r="39" spans="1:18" ht="24.6" customHeight="1" thickTop="1">
      <c r="A39" s="1079" t="s">
        <v>394</v>
      </c>
      <c r="B39" s="1094" t="s">
        <v>772</v>
      </c>
      <c r="C39" s="310">
        <f ca="1">C5-C30</f>
        <v>0</v>
      </c>
      <c r="D39" s="1095" t="s">
        <v>773</v>
      </c>
      <c r="E39" s="1096"/>
      <c r="F39" s="1097"/>
      <c r="G39" s="1384"/>
      <c r="H39" s="2699"/>
      <c r="I39" s="1398"/>
      <c r="J39" s="1399"/>
      <c r="K39" s="2703"/>
      <c r="L39" s="2699"/>
      <c r="M39" s="2699"/>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3"/>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3"/>
      <c r="L41" s="1191"/>
      <c r="M41" s="1191"/>
    </row>
    <row r="42" spans="1:18" ht="18" customHeight="1">
      <c r="A42" s="308"/>
      <c r="B42" s="309"/>
      <c r="C42" s="310"/>
      <c r="D42" s="327"/>
      <c r="E42" s="302" t="s">
        <v>766</v>
      </c>
      <c r="F42" s="312">
        <f ca="1">INDIRECT("'数据-取费表'!v"&amp;$G$1)</f>
        <v>0</v>
      </c>
      <c r="G42" s="1384"/>
      <c r="H42" s="1191"/>
      <c r="I42" s="1398"/>
      <c r="J42" s="1399"/>
      <c r="K42" s="2543"/>
      <c r="L42" s="1191"/>
      <c r="M42" s="1191"/>
    </row>
    <row r="43" spans="1:18" ht="18" customHeight="1" thickBot="1">
      <c r="A43" s="334" t="s">
        <v>396</v>
      </c>
      <c r="B43" s="335" t="s">
        <v>776</v>
      </c>
      <c r="C43" s="336" t="e">
        <f ca="1">ROUND(C40/F43,0)</f>
        <v>#DIV/0!</v>
      </c>
      <c r="D43" s="337" t="s">
        <v>777</v>
      </c>
      <c r="E43" s="338" t="s">
        <v>778</v>
      </c>
      <c r="F43" s="339">
        <f ca="1">INDIRECT("'数据-取费表'!k"&amp;$G$1)</f>
        <v>0</v>
      </c>
      <c r="G43" s="1384"/>
      <c r="H43" s="1191"/>
      <c r="I43" s="1191"/>
      <c r="J43" s="1191"/>
      <c r="K43" s="2543"/>
      <c r="L43" s="1191"/>
      <c r="M43" s="1191"/>
    </row>
    <row r="44" spans="1:18" s="1384" customFormat="1" ht="18" customHeight="1">
      <c r="A44" s="1400"/>
      <c r="B44" s="1400"/>
      <c r="C44" s="1401"/>
      <c r="D44" s="1400"/>
      <c r="E44" s="1400"/>
      <c r="F44" s="1400"/>
      <c r="K44" s="1402"/>
    </row>
    <row r="45" spans="1:18" s="1384" customFormat="1" ht="18" customHeight="1" thickBot="1">
      <c r="A45" s="3430" t="s">
        <v>3358</v>
      </c>
      <c r="B45" s="1400"/>
      <c r="C45" s="1472" t="e">
        <f ca="1">ROUND((C68-C40)/10000,4)</f>
        <v>#DIV/0!</v>
      </c>
      <c r="D45" s="3431" t="s">
        <v>3359</v>
      </c>
      <c r="E45" s="1400"/>
      <c r="F45" s="1400"/>
      <c r="O45" s="1403" t="s">
        <v>808</v>
      </c>
      <c r="P45" s="1461"/>
      <c r="Q45" s="1461"/>
      <c r="R45" s="1461"/>
    </row>
    <row r="46" spans="1:18" s="1384" customFormat="1" ht="13.5" thickBot="1">
      <c r="A46" s="1404" t="s">
        <v>809</v>
      </c>
      <c r="C46" s="1405" t="e">
        <f ca="1">ROUND(C45,0)</f>
        <v>#DIV/0!</v>
      </c>
      <c r="D46" s="1406" t="str">
        <f>C2</f>
        <v>万元</v>
      </c>
      <c r="I46" s="1407" t="s">
        <v>810</v>
      </c>
      <c r="J46" s="1408"/>
      <c r="K46" s="1409"/>
      <c r="L46" s="1410" t="e">
        <f ca="1">IF(M47="住宅",0,IF(L48&gt;J51,L60,J60))</f>
        <v>#DIV/0!</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28.5"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5" thickBot="1">
      <c r="A50" s="976"/>
      <c r="B50" s="979"/>
      <c r="C50" s="980"/>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5"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5"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30.75" customHeight="1" thickBot="1">
      <c r="A53" s="1111" t="s">
        <v>440</v>
      </c>
      <c r="B53" s="323" t="s">
        <v>700</v>
      </c>
      <c r="C53" s="316">
        <f ca="1">ROUND(IF(F53="押一",C49/12*F11,IF(F53="押二",C49/12*2*F11,IF(F53="押三",C49/12*3*F11,C54*F11))),0)</f>
        <v>0</v>
      </c>
      <c r="D53" s="1366" t="s">
        <v>2119</v>
      </c>
      <c r="E53" s="313" t="s">
        <v>701</v>
      </c>
      <c r="F53" s="1116"/>
      <c r="I53" s="1439" t="s">
        <v>836</v>
      </c>
      <c r="J53" s="2168">
        <f ca="1">IF(M47="住宅",IF(D1="——",MAX(J51,L48),MAX(J51,L48-'数据-取费表'!B24)),IF(D1="——",MIN(J51,L48),MIN(J51,L48-'数据-取费表'!B24)))</f>
        <v>0</v>
      </c>
      <c r="K53" s="3766" t="s">
        <v>837</v>
      </c>
      <c r="L53" s="3767"/>
      <c r="O53" s="1418" t="s">
        <v>409</v>
      </c>
      <c r="P53" s="1419" t="s">
        <v>838</v>
      </c>
      <c r="Q53" s="1420" t="e">
        <f ca="1">Q47+Q48</f>
        <v>#DIV/0!</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0</v>
      </c>
      <c r="D56" s="1447"/>
      <c r="E56" s="1448"/>
      <c r="F56" s="1440"/>
      <c r="I56" s="1449" t="s">
        <v>842</v>
      </c>
      <c r="J56" s="1450"/>
      <c r="K56" s="1421" t="s">
        <v>843</v>
      </c>
      <c r="L56" s="1424">
        <f ca="1">IF(L48&lt;J51,"——",L48-J51)</f>
        <v>0</v>
      </c>
      <c r="O56" s="1418" t="s">
        <v>403</v>
      </c>
      <c r="P56" s="1419" t="s">
        <v>817</v>
      </c>
      <c r="Q56" s="1420" t="e">
        <f ca="1">C40+J29</f>
        <v>#DIV/0!</v>
      </c>
      <c r="R56" s="1420" t="s">
        <v>818</v>
      </c>
    </row>
    <row r="57" spans="1:18" s="1384" customFormat="1" ht="24.75" thickBot="1">
      <c r="A57" s="1451"/>
      <c r="B57" s="950" t="s">
        <v>767</v>
      </c>
      <c r="C57" s="238">
        <f ca="1">C29</f>
        <v>0</v>
      </c>
      <c r="D57" s="1452"/>
      <c r="E57" s="1453"/>
      <c r="F57" s="1454"/>
      <c r="I57" s="1455" t="s">
        <v>844</v>
      </c>
      <c r="J57" s="1456">
        <f ca="1">IF(OR(M47="住宅",J51&lt;L48,J56="是"),"——",J51-L48)</f>
        <v>0</v>
      </c>
      <c r="K57" s="1421" t="s">
        <v>892</v>
      </c>
      <c r="L57" s="1424">
        <f ca="1">IF(L48&lt;J51,"——",IF(L55="比较法",L49,IF(L55="基准地价",L50,L51)))</f>
        <v>0</v>
      </c>
      <c r="O57" s="1418" t="s">
        <v>404</v>
      </c>
      <c r="P57" s="1419" t="s">
        <v>893</v>
      </c>
      <c r="Q57" s="1420" t="e">
        <f ca="1">L60</f>
        <v>#DIV/0!</v>
      </c>
      <c r="R57" s="1420" t="s">
        <v>894</v>
      </c>
    </row>
    <row r="58" spans="1:18" s="1384" customFormat="1" ht="24.75" thickBot="1">
      <c r="A58" s="315" t="s">
        <v>393</v>
      </c>
      <c r="B58" s="958" t="s">
        <v>714</v>
      </c>
      <c r="C58" s="316">
        <f ca="1">ROUND(C59+C64+C65+C66,0)</f>
        <v>0</v>
      </c>
      <c r="D58" s="960" t="s">
        <v>715</v>
      </c>
      <c r="E58" s="961"/>
      <c r="F58" s="962"/>
      <c r="I58" s="1455" t="s">
        <v>848</v>
      </c>
      <c r="J58" s="1457" t="e">
        <f ca="1">IF(J55&lt;0.4,0.4,J55)</f>
        <v>#DIV/0!</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t="str">
        <f>IF(项目基本情况!B11="企业","——",IF('数据-取费表'!B10="住宅",IF(F49*F50*F51/12/(1+'数据-取费表'!F30)&gt;100000,4%,2.5%),IF(F49*F50*F51/12/(1+'数据-取费表'!F30)&gt;100000,12%,7%)))</f>
        <v>——</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IF(项目基本情况!B11="自然人","——",ROUND(C48*F60/(1+'数据-取费表'!C42),0))</f>
        <v>0</v>
      </c>
      <c r="D60" s="964" t="s">
        <v>724</v>
      </c>
      <c r="E60" s="950" t="s">
        <v>712</v>
      </c>
      <c r="F60" s="331">
        <f t="shared" ref="F60:F66" si="0">F32</f>
        <v>5.6000000000000001E-2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IF(项目基本情况!B11="自然人","——",IF(D61="按租金收入计税",ROUND(C49*F61/(1+'数据-取费表'!C42),0),IF(D61="按房产原值计税",ROUND(C57*F61*0.7,0),INDIRECT("'数据-取费表'!Aj"&amp;$G$1))))</f>
        <v>0</v>
      </c>
      <c r="D61" s="1370" t="s">
        <v>3342</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IF(项目基本情况!B11="自然人","——",ROUND(F62*F63,0))</f>
        <v>0</v>
      </c>
      <c r="D62" s="965" t="s">
        <v>786</v>
      </c>
      <c r="E62" s="950" t="s">
        <v>787</v>
      </c>
      <c r="F62" s="325">
        <f t="shared" si="0"/>
        <v>18</v>
      </c>
      <c r="I62" s="1462" t="s">
        <v>858</v>
      </c>
      <c r="J62" s="1463" t="s">
        <v>859</v>
      </c>
      <c r="K62" s="1463" t="s">
        <v>860</v>
      </c>
      <c r="L62" s="1463" t="s">
        <v>861</v>
      </c>
      <c r="M62" s="1464" t="s">
        <v>862</v>
      </c>
      <c r="O62" s="1418" t="s">
        <v>409</v>
      </c>
      <c r="P62" s="1419" t="s">
        <v>863</v>
      </c>
      <c r="Q62" s="1420" t="e">
        <f ca="1">Q56+Q57</f>
        <v>#DIV/0!</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5" thickBot="1">
      <c r="A66" s="982" t="s">
        <v>793</v>
      </c>
      <c r="B66" s="950" t="s">
        <v>728</v>
      </c>
      <c r="C66" s="21">
        <f ca="1">ROUND(C48*F66,0)</f>
        <v>0</v>
      </c>
      <c r="D66" s="964" t="s">
        <v>794</v>
      </c>
      <c r="E66" s="950" t="s">
        <v>712</v>
      </c>
      <c r="F66" s="312">
        <f t="shared" ca="1" si="0"/>
        <v>0</v>
      </c>
      <c r="O66" s="1418" t="s">
        <v>404</v>
      </c>
      <c r="P66" s="1419" t="s">
        <v>846</v>
      </c>
      <c r="Q66" s="1420" t="e">
        <f ca="1">L60</f>
        <v>#DIV/0!</v>
      </c>
      <c r="R66" s="1420" t="s">
        <v>869</v>
      </c>
    </row>
    <row r="67" spans="1:18" s="1384" customFormat="1" ht="16.5"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5"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5" thickBot="1">
      <c r="A69" s="951"/>
      <c r="B69" s="952"/>
      <c r="C69" s="306"/>
      <c r="D69" s="970" t="s">
        <v>762</v>
      </c>
      <c r="E69" s="950" t="s">
        <v>763</v>
      </c>
      <c r="F69" s="333">
        <f ca="1">F41</f>
        <v>0</v>
      </c>
      <c r="O69" s="1428" t="s">
        <v>411</v>
      </c>
      <c r="P69" s="1467" t="s">
        <v>872</v>
      </c>
      <c r="Q69" s="1420">
        <f ca="1">C39</f>
        <v>0</v>
      </c>
      <c r="R69" s="1420" t="s">
        <v>818</v>
      </c>
    </row>
    <row r="70" spans="1:18" s="1384" customFormat="1" ht="13.5" thickBot="1">
      <c r="A70" s="954"/>
      <c r="B70" s="955"/>
      <c r="C70" s="310"/>
      <c r="D70" s="966"/>
      <c r="E70" s="950" t="s">
        <v>766</v>
      </c>
      <c r="F70" s="1054"/>
      <c r="O70" s="1428" t="s">
        <v>412</v>
      </c>
      <c r="P70" s="1467" t="s">
        <v>873</v>
      </c>
      <c r="Q70" s="1420">
        <f ca="1">C13</f>
        <v>0</v>
      </c>
      <c r="R70" s="1420" t="s">
        <v>818</v>
      </c>
    </row>
    <row r="71" spans="1:18" s="1384" customFormat="1" ht="13.5" thickBot="1">
      <c r="A71" s="971" t="s">
        <v>396</v>
      </c>
      <c r="B71" s="972" t="s">
        <v>776</v>
      </c>
      <c r="C71" s="336" t="e">
        <f ca="1">ROUND(C68/F71,0)</f>
        <v>#DIV/0!</v>
      </c>
      <c r="D71" s="973" t="s">
        <v>777</v>
      </c>
      <c r="E71" s="974" t="s">
        <v>778</v>
      </c>
      <c r="F71" s="339">
        <f ca="1">F43</f>
        <v>0</v>
      </c>
      <c r="O71" s="1428" t="s">
        <v>413</v>
      </c>
      <c r="P71" s="1467" t="s">
        <v>874</v>
      </c>
      <c r="Q71" s="1431">
        <f ca="1">C76</f>
        <v>0</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60" priority="4">
      <formula>$L$48&gt;$J$51</formula>
    </cfRule>
  </conditionalFormatting>
  <conditionalFormatting sqref="I55 I60">
    <cfRule type="expression" dxfId="159" priority="5">
      <formula>$J$51&gt;$L$48</formula>
    </cfRule>
  </conditionalFormatting>
  <conditionalFormatting sqref="C11">
    <cfRule type="expression" dxfId="158" priority="3">
      <formula>$F$10="自定义"</formula>
    </cfRule>
  </conditionalFormatting>
  <conditionalFormatting sqref="J11">
    <cfRule type="expression" dxfId="157" priority="2">
      <formula>$M$10="自定义"</formula>
    </cfRule>
  </conditionalFormatting>
  <conditionalFormatting sqref="C54">
    <cfRule type="expression" dxfId="156"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41" customWidth="1"/>
    <col min="2" max="2" width="8.875" style="2841"/>
    <col min="3" max="5" width="12.875" style="2841" customWidth="1"/>
    <col min="6" max="6" width="47.5" style="2841" customWidth="1"/>
    <col min="7" max="7" width="13" style="3000" customWidth="1"/>
    <col min="8" max="8" width="8.875" style="2835"/>
    <col min="9" max="9" width="8.875" style="2836"/>
    <col min="10" max="10" width="5.75" style="3001" customWidth="1"/>
    <col min="11" max="11" width="11.75" style="3001" customWidth="1"/>
    <col min="12" max="13" width="10.75" style="3001" customWidth="1"/>
    <col min="14" max="14" width="10" style="3001" customWidth="1"/>
    <col min="15" max="16" width="10.5" style="3001" bestFit="1" customWidth="1"/>
    <col min="17" max="17" width="10" style="3001" customWidth="1"/>
    <col min="18" max="18" width="10.125" style="3001" customWidth="1"/>
    <col min="19" max="19" width="10" style="3001" customWidth="1"/>
    <col min="20" max="20" width="26.125" style="3001" customWidth="1"/>
    <col min="21" max="21" width="8.875" style="3001"/>
    <col min="22" max="22" width="8.875" style="2836"/>
    <col min="23" max="256" width="8.875" style="2841"/>
    <col min="257" max="257" width="9.5" style="2841" customWidth="1"/>
    <col min="258" max="258" width="8.875" style="2841"/>
    <col min="259" max="261" width="12.875" style="2841" customWidth="1"/>
    <col min="262" max="262" width="47.5" style="2841" customWidth="1"/>
    <col min="263" max="263" width="13" style="2841" customWidth="1"/>
    <col min="264" max="265" width="8.875" style="2841"/>
    <col min="266" max="266" width="5.75" style="2841" customWidth="1"/>
    <col min="267" max="267" width="11.75" style="2841" customWidth="1"/>
    <col min="268" max="269" width="10.75" style="2841" customWidth="1"/>
    <col min="270" max="270" width="10" style="2841" customWidth="1"/>
    <col min="271" max="272" width="10.5" style="2841" bestFit="1" customWidth="1"/>
    <col min="273" max="273" width="10" style="2841" customWidth="1"/>
    <col min="274" max="274" width="10.125" style="2841" customWidth="1"/>
    <col min="275" max="275" width="10" style="2841" customWidth="1"/>
    <col min="276" max="276" width="26.125" style="2841" customWidth="1"/>
    <col min="277" max="512" width="8.875" style="2841"/>
    <col min="513" max="513" width="9.5" style="2841" customWidth="1"/>
    <col min="514" max="514" width="8.875" style="2841"/>
    <col min="515" max="517" width="12.875" style="2841" customWidth="1"/>
    <col min="518" max="518" width="47.5" style="2841" customWidth="1"/>
    <col min="519" max="519" width="13" style="2841" customWidth="1"/>
    <col min="520" max="521" width="8.875" style="2841"/>
    <col min="522" max="522" width="5.75" style="2841" customWidth="1"/>
    <col min="523" max="523" width="11.75" style="2841" customWidth="1"/>
    <col min="524" max="525" width="10.75" style="2841" customWidth="1"/>
    <col min="526" max="526" width="10" style="2841" customWidth="1"/>
    <col min="527" max="528" width="10.5" style="2841" bestFit="1" customWidth="1"/>
    <col min="529" max="529" width="10" style="2841" customWidth="1"/>
    <col min="530" max="530" width="10.125" style="2841" customWidth="1"/>
    <col min="531" max="531" width="10" style="2841" customWidth="1"/>
    <col min="532" max="532" width="26.125" style="2841" customWidth="1"/>
    <col min="533" max="768" width="8.875" style="2841"/>
    <col min="769" max="769" width="9.5" style="2841" customWidth="1"/>
    <col min="770" max="770" width="8.875" style="2841"/>
    <col min="771" max="773" width="12.875" style="2841" customWidth="1"/>
    <col min="774" max="774" width="47.5" style="2841" customWidth="1"/>
    <col min="775" max="775" width="13" style="2841" customWidth="1"/>
    <col min="776" max="777" width="8.875" style="2841"/>
    <col min="778" max="778" width="5.75" style="2841" customWidth="1"/>
    <col min="779" max="779" width="11.75" style="2841" customWidth="1"/>
    <col min="780" max="781" width="10.75" style="2841" customWidth="1"/>
    <col min="782" max="782" width="10" style="2841" customWidth="1"/>
    <col min="783" max="784" width="10.5" style="2841" bestFit="1" customWidth="1"/>
    <col min="785" max="785" width="10" style="2841" customWidth="1"/>
    <col min="786" max="786" width="10.125" style="2841" customWidth="1"/>
    <col min="787" max="787" width="10" style="2841" customWidth="1"/>
    <col min="788" max="788" width="26.125" style="2841" customWidth="1"/>
    <col min="789" max="1024" width="8.875" style="2841"/>
    <col min="1025" max="1025" width="9.5" style="2841" customWidth="1"/>
    <col min="1026" max="1026" width="8.875" style="2841"/>
    <col min="1027" max="1029" width="12.875" style="2841" customWidth="1"/>
    <col min="1030" max="1030" width="47.5" style="2841" customWidth="1"/>
    <col min="1031" max="1031" width="13" style="2841" customWidth="1"/>
    <col min="1032" max="1033" width="8.875" style="2841"/>
    <col min="1034" max="1034" width="5.75" style="2841" customWidth="1"/>
    <col min="1035" max="1035" width="11.75" style="2841" customWidth="1"/>
    <col min="1036" max="1037" width="10.75" style="2841" customWidth="1"/>
    <col min="1038" max="1038" width="10" style="2841" customWidth="1"/>
    <col min="1039" max="1040" width="10.5" style="2841" bestFit="1" customWidth="1"/>
    <col min="1041" max="1041" width="10" style="2841" customWidth="1"/>
    <col min="1042" max="1042" width="10.125" style="2841" customWidth="1"/>
    <col min="1043" max="1043" width="10" style="2841" customWidth="1"/>
    <col min="1044" max="1044" width="26.125" style="2841" customWidth="1"/>
    <col min="1045" max="1280" width="8.875" style="2841"/>
    <col min="1281" max="1281" width="9.5" style="2841" customWidth="1"/>
    <col min="1282" max="1282" width="8.875" style="2841"/>
    <col min="1283" max="1285" width="12.875" style="2841" customWidth="1"/>
    <col min="1286" max="1286" width="47.5" style="2841" customWidth="1"/>
    <col min="1287" max="1287" width="13" style="2841" customWidth="1"/>
    <col min="1288" max="1289" width="8.875" style="2841"/>
    <col min="1290" max="1290" width="5.75" style="2841" customWidth="1"/>
    <col min="1291" max="1291" width="11.75" style="2841" customWidth="1"/>
    <col min="1292" max="1293" width="10.75" style="2841" customWidth="1"/>
    <col min="1294" max="1294" width="10" style="2841" customWidth="1"/>
    <col min="1295" max="1296" width="10.5" style="2841" bestFit="1" customWidth="1"/>
    <col min="1297" max="1297" width="10" style="2841" customWidth="1"/>
    <col min="1298" max="1298" width="10.125" style="2841" customWidth="1"/>
    <col min="1299" max="1299" width="10" style="2841" customWidth="1"/>
    <col min="1300" max="1300" width="26.125" style="2841" customWidth="1"/>
    <col min="1301" max="1536" width="8.875" style="2841"/>
    <col min="1537" max="1537" width="9.5" style="2841" customWidth="1"/>
    <col min="1538" max="1538" width="8.875" style="2841"/>
    <col min="1539" max="1541" width="12.875" style="2841" customWidth="1"/>
    <col min="1542" max="1542" width="47.5" style="2841" customWidth="1"/>
    <col min="1543" max="1543" width="13" style="2841" customWidth="1"/>
    <col min="1544" max="1545" width="8.875" style="2841"/>
    <col min="1546" max="1546" width="5.75" style="2841" customWidth="1"/>
    <col min="1547" max="1547" width="11.75" style="2841" customWidth="1"/>
    <col min="1548" max="1549" width="10.75" style="2841" customWidth="1"/>
    <col min="1550" max="1550" width="10" style="2841" customWidth="1"/>
    <col min="1551" max="1552" width="10.5" style="2841" bestFit="1" customWidth="1"/>
    <col min="1553" max="1553" width="10" style="2841" customWidth="1"/>
    <col min="1554" max="1554" width="10.125" style="2841" customWidth="1"/>
    <col min="1555" max="1555" width="10" style="2841" customWidth="1"/>
    <col min="1556" max="1556" width="26.125" style="2841" customWidth="1"/>
    <col min="1557" max="1792" width="8.875" style="2841"/>
    <col min="1793" max="1793" width="9.5" style="2841" customWidth="1"/>
    <col min="1794" max="1794" width="8.875" style="2841"/>
    <col min="1795" max="1797" width="12.875" style="2841" customWidth="1"/>
    <col min="1798" max="1798" width="47.5" style="2841" customWidth="1"/>
    <col min="1799" max="1799" width="13" style="2841" customWidth="1"/>
    <col min="1800" max="1801" width="8.875" style="2841"/>
    <col min="1802" max="1802" width="5.75" style="2841" customWidth="1"/>
    <col min="1803" max="1803" width="11.75" style="2841" customWidth="1"/>
    <col min="1804" max="1805" width="10.75" style="2841" customWidth="1"/>
    <col min="1806" max="1806" width="10" style="2841" customWidth="1"/>
    <col min="1807" max="1808" width="10.5" style="2841" bestFit="1" customWidth="1"/>
    <col min="1809" max="1809" width="10" style="2841" customWidth="1"/>
    <col min="1810" max="1810" width="10.125" style="2841" customWidth="1"/>
    <col min="1811" max="1811" width="10" style="2841" customWidth="1"/>
    <col min="1812" max="1812" width="26.125" style="2841" customWidth="1"/>
    <col min="1813" max="2048" width="8.875" style="2841"/>
    <col min="2049" max="2049" width="9.5" style="2841" customWidth="1"/>
    <col min="2050" max="2050" width="8.875" style="2841"/>
    <col min="2051" max="2053" width="12.875" style="2841" customWidth="1"/>
    <col min="2054" max="2054" width="47.5" style="2841" customWidth="1"/>
    <col min="2055" max="2055" width="13" style="2841" customWidth="1"/>
    <col min="2056" max="2057" width="8.875" style="2841"/>
    <col min="2058" max="2058" width="5.75" style="2841" customWidth="1"/>
    <col min="2059" max="2059" width="11.75" style="2841" customWidth="1"/>
    <col min="2060" max="2061" width="10.75" style="2841" customWidth="1"/>
    <col min="2062" max="2062" width="10" style="2841" customWidth="1"/>
    <col min="2063" max="2064" width="10.5" style="2841" bestFit="1" customWidth="1"/>
    <col min="2065" max="2065" width="10" style="2841" customWidth="1"/>
    <col min="2066" max="2066" width="10.125" style="2841" customWidth="1"/>
    <col min="2067" max="2067" width="10" style="2841" customWidth="1"/>
    <col min="2068" max="2068" width="26.125" style="2841" customWidth="1"/>
    <col min="2069" max="2304" width="8.875" style="2841"/>
    <col min="2305" max="2305" width="9.5" style="2841" customWidth="1"/>
    <col min="2306" max="2306" width="8.875" style="2841"/>
    <col min="2307" max="2309" width="12.875" style="2841" customWidth="1"/>
    <col min="2310" max="2310" width="47.5" style="2841" customWidth="1"/>
    <col min="2311" max="2311" width="13" style="2841" customWidth="1"/>
    <col min="2312" max="2313" width="8.875" style="2841"/>
    <col min="2314" max="2314" width="5.75" style="2841" customWidth="1"/>
    <col min="2315" max="2315" width="11.75" style="2841" customWidth="1"/>
    <col min="2316" max="2317" width="10.75" style="2841" customWidth="1"/>
    <col min="2318" max="2318" width="10" style="2841" customWidth="1"/>
    <col min="2319" max="2320" width="10.5" style="2841" bestFit="1" customWidth="1"/>
    <col min="2321" max="2321" width="10" style="2841" customWidth="1"/>
    <col min="2322" max="2322" width="10.125" style="2841" customWidth="1"/>
    <col min="2323" max="2323" width="10" style="2841" customWidth="1"/>
    <col min="2324" max="2324" width="26.125" style="2841" customWidth="1"/>
    <col min="2325" max="2560" width="8.875" style="2841"/>
    <col min="2561" max="2561" width="9.5" style="2841" customWidth="1"/>
    <col min="2562" max="2562" width="8.875" style="2841"/>
    <col min="2563" max="2565" width="12.875" style="2841" customWidth="1"/>
    <col min="2566" max="2566" width="47.5" style="2841" customWidth="1"/>
    <col min="2567" max="2567" width="13" style="2841" customWidth="1"/>
    <col min="2568" max="2569" width="8.875" style="2841"/>
    <col min="2570" max="2570" width="5.75" style="2841" customWidth="1"/>
    <col min="2571" max="2571" width="11.75" style="2841" customWidth="1"/>
    <col min="2572" max="2573" width="10.75" style="2841" customWidth="1"/>
    <col min="2574" max="2574" width="10" style="2841" customWidth="1"/>
    <col min="2575" max="2576" width="10.5" style="2841" bestFit="1" customWidth="1"/>
    <col min="2577" max="2577" width="10" style="2841" customWidth="1"/>
    <col min="2578" max="2578" width="10.125" style="2841" customWidth="1"/>
    <col min="2579" max="2579" width="10" style="2841" customWidth="1"/>
    <col min="2580" max="2580" width="26.125" style="2841" customWidth="1"/>
    <col min="2581" max="2816" width="8.875" style="2841"/>
    <col min="2817" max="2817" width="9.5" style="2841" customWidth="1"/>
    <col min="2818" max="2818" width="8.875" style="2841"/>
    <col min="2819" max="2821" width="12.875" style="2841" customWidth="1"/>
    <col min="2822" max="2822" width="47.5" style="2841" customWidth="1"/>
    <col min="2823" max="2823" width="13" style="2841" customWidth="1"/>
    <col min="2824" max="2825" width="8.875" style="2841"/>
    <col min="2826" max="2826" width="5.75" style="2841" customWidth="1"/>
    <col min="2827" max="2827" width="11.75" style="2841" customWidth="1"/>
    <col min="2828" max="2829" width="10.75" style="2841" customWidth="1"/>
    <col min="2830" max="2830" width="10" style="2841" customWidth="1"/>
    <col min="2831" max="2832" width="10.5" style="2841" bestFit="1" customWidth="1"/>
    <col min="2833" max="2833" width="10" style="2841" customWidth="1"/>
    <col min="2834" max="2834" width="10.125" style="2841" customWidth="1"/>
    <col min="2835" max="2835" width="10" style="2841" customWidth="1"/>
    <col min="2836" max="2836" width="26.125" style="2841" customWidth="1"/>
    <col min="2837" max="3072" width="8.875" style="2841"/>
    <col min="3073" max="3073" width="9.5" style="2841" customWidth="1"/>
    <col min="3074" max="3074" width="8.875" style="2841"/>
    <col min="3075" max="3077" width="12.875" style="2841" customWidth="1"/>
    <col min="3078" max="3078" width="47.5" style="2841" customWidth="1"/>
    <col min="3079" max="3079" width="13" style="2841" customWidth="1"/>
    <col min="3080" max="3081" width="8.875" style="2841"/>
    <col min="3082" max="3082" width="5.75" style="2841" customWidth="1"/>
    <col min="3083" max="3083" width="11.75" style="2841" customWidth="1"/>
    <col min="3084" max="3085" width="10.75" style="2841" customWidth="1"/>
    <col min="3086" max="3086" width="10" style="2841" customWidth="1"/>
    <col min="3087" max="3088" width="10.5" style="2841" bestFit="1" customWidth="1"/>
    <col min="3089" max="3089" width="10" style="2841" customWidth="1"/>
    <col min="3090" max="3090" width="10.125" style="2841" customWidth="1"/>
    <col min="3091" max="3091" width="10" style="2841" customWidth="1"/>
    <col min="3092" max="3092" width="26.125" style="2841" customWidth="1"/>
    <col min="3093" max="3328" width="8.875" style="2841"/>
    <col min="3329" max="3329" width="9.5" style="2841" customWidth="1"/>
    <col min="3330" max="3330" width="8.875" style="2841"/>
    <col min="3331" max="3333" width="12.875" style="2841" customWidth="1"/>
    <col min="3334" max="3334" width="47.5" style="2841" customWidth="1"/>
    <col min="3335" max="3335" width="13" style="2841" customWidth="1"/>
    <col min="3336" max="3337" width="8.875" style="2841"/>
    <col min="3338" max="3338" width="5.75" style="2841" customWidth="1"/>
    <col min="3339" max="3339" width="11.75" style="2841" customWidth="1"/>
    <col min="3340" max="3341" width="10.75" style="2841" customWidth="1"/>
    <col min="3342" max="3342" width="10" style="2841" customWidth="1"/>
    <col min="3343" max="3344" width="10.5" style="2841" bestFit="1" customWidth="1"/>
    <col min="3345" max="3345" width="10" style="2841" customWidth="1"/>
    <col min="3346" max="3346" width="10.125" style="2841" customWidth="1"/>
    <col min="3347" max="3347" width="10" style="2841" customWidth="1"/>
    <col min="3348" max="3348" width="26.125" style="2841" customWidth="1"/>
    <col min="3349" max="3584" width="8.875" style="2841"/>
    <col min="3585" max="3585" width="9.5" style="2841" customWidth="1"/>
    <col min="3586" max="3586" width="8.875" style="2841"/>
    <col min="3587" max="3589" width="12.875" style="2841" customWidth="1"/>
    <col min="3590" max="3590" width="47.5" style="2841" customWidth="1"/>
    <col min="3591" max="3591" width="13" style="2841" customWidth="1"/>
    <col min="3592" max="3593" width="8.875" style="2841"/>
    <col min="3594" max="3594" width="5.75" style="2841" customWidth="1"/>
    <col min="3595" max="3595" width="11.75" style="2841" customWidth="1"/>
    <col min="3596" max="3597" width="10.75" style="2841" customWidth="1"/>
    <col min="3598" max="3598" width="10" style="2841" customWidth="1"/>
    <col min="3599" max="3600" width="10.5" style="2841" bestFit="1" customWidth="1"/>
    <col min="3601" max="3601" width="10" style="2841" customWidth="1"/>
    <col min="3602" max="3602" width="10.125" style="2841" customWidth="1"/>
    <col min="3603" max="3603" width="10" style="2841" customWidth="1"/>
    <col min="3604" max="3604" width="26.125" style="2841" customWidth="1"/>
    <col min="3605" max="3840" width="8.875" style="2841"/>
    <col min="3841" max="3841" width="9.5" style="2841" customWidth="1"/>
    <col min="3842" max="3842" width="8.875" style="2841"/>
    <col min="3843" max="3845" width="12.875" style="2841" customWidth="1"/>
    <col min="3846" max="3846" width="47.5" style="2841" customWidth="1"/>
    <col min="3847" max="3847" width="13" style="2841" customWidth="1"/>
    <col min="3848" max="3849" width="8.875" style="2841"/>
    <col min="3850" max="3850" width="5.75" style="2841" customWidth="1"/>
    <col min="3851" max="3851" width="11.75" style="2841" customWidth="1"/>
    <col min="3852" max="3853" width="10.75" style="2841" customWidth="1"/>
    <col min="3854" max="3854" width="10" style="2841" customWidth="1"/>
    <col min="3855" max="3856" width="10.5" style="2841" bestFit="1" customWidth="1"/>
    <col min="3857" max="3857" width="10" style="2841" customWidth="1"/>
    <col min="3858" max="3858" width="10.125" style="2841" customWidth="1"/>
    <col min="3859" max="3859" width="10" style="2841" customWidth="1"/>
    <col min="3860" max="3860" width="26.125" style="2841" customWidth="1"/>
    <col min="3861" max="4096" width="8.875" style="2841"/>
    <col min="4097" max="4097" width="9.5" style="2841" customWidth="1"/>
    <col min="4098" max="4098" width="8.875" style="2841"/>
    <col min="4099" max="4101" width="12.875" style="2841" customWidth="1"/>
    <col min="4102" max="4102" width="47.5" style="2841" customWidth="1"/>
    <col min="4103" max="4103" width="13" style="2841" customWidth="1"/>
    <col min="4104" max="4105" width="8.875" style="2841"/>
    <col min="4106" max="4106" width="5.75" style="2841" customWidth="1"/>
    <col min="4107" max="4107" width="11.75" style="2841" customWidth="1"/>
    <col min="4108" max="4109" width="10.75" style="2841" customWidth="1"/>
    <col min="4110" max="4110" width="10" style="2841" customWidth="1"/>
    <col min="4111" max="4112" width="10.5" style="2841" bestFit="1" customWidth="1"/>
    <col min="4113" max="4113" width="10" style="2841" customWidth="1"/>
    <col min="4114" max="4114" width="10.125" style="2841" customWidth="1"/>
    <col min="4115" max="4115" width="10" style="2841" customWidth="1"/>
    <col min="4116" max="4116" width="26.125" style="2841" customWidth="1"/>
    <col min="4117" max="4352" width="8.875" style="2841"/>
    <col min="4353" max="4353" width="9.5" style="2841" customWidth="1"/>
    <col min="4354" max="4354" width="8.875" style="2841"/>
    <col min="4355" max="4357" width="12.875" style="2841" customWidth="1"/>
    <col min="4358" max="4358" width="47.5" style="2841" customWidth="1"/>
    <col min="4359" max="4359" width="13" style="2841" customWidth="1"/>
    <col min="4360" max="4361" width="8.875" style="2841"/>
    <col min="4362" max="4362" width="5.75" style="2841" customWidth="1"/>
    <col min="4363" max="4363" width="11.75" style="2841" customWidth="1"/>
    <col min="4364" max="4365" width="10.75" style="2841" customWidth="1"/>
    <col min="4366" max="4366" width="10" style="2841" customWidth="1"/>
    <col min="4367" max="4368" width="10.5" style="2841" bestFit="1" customWidth="1"/>
    <col min="4369" max="4369" width="10" style="2841" customWidth="1"/>
    <col min="4370" max="4370" width="10.125" style="2841" customWidth="1"/>
    <col min="4371" max="4371" width="10" style="2841" customWidth="1"/>
    <col min="4372" max="4372" width="26.125" style="2841" customWidth="1"/>
    <col min="4373" max="4608" width="8.875" style="2841"/>
    <col min="4609" max="4609" width="9.5" style="2841" customWidth="1"/>
    <col min="4610" max="4610" width="8.875" style="2841"/>
    <col min="4611" max="4613" width="12.875" style="2841" customWidth="1"/>
    <col min="4614" max="4614" width="47.5" style="2841" customWidth="1"/>
    <col min="4615" max="4615" width="13" style="2841" customWidth="1"/>
    <col min="4616" max="4617" width="8.875" style="2841"/>
    <col min="4618" max="4618" width="5.75" style="2841" customWidth="1"/>
    <col min="4619" max="4619" width="11.75" style="2841" customWidth="1"/>
    <col min="4620" max="4621" width="10.75" style="2841" customWidth="1"/>
    <col min="4622" max="4622" width="10" style="2841" customWidth="1"/>
    <col min="4623" max="4624" width="10.5" style="2841" bestFit="1" customWidth="1"/>
    <col min="4625" max="4625" width="10" style="2841" customWidth="1"/>
    <col min="4626" max="4626" width="10.125" style="2841" customWidth="1"/>
    <col min="4627" max="4627" width="10" style="2841" customWidth="1"/>
    <col min="4628" max="4628" width="26.125" style="2841" customWidth="1"/>
    <col min="4629" max="4864" width="8.875" style="2841"/>
    <col min="4865" max="4865" width="9.5" style="2841" customWidth="1"/>
    <col min="4866" max="4866" width="8.875" style="2841"/>
    <col min="4867" max="4869" width="12.875" style="2841" customWidth="1"/>
    <col min="4870" max="4870" width="47.5" style="2841" customWidth="1"/>
    <col min="4871" max="4871" width="13" style="2841" customWidth="1"/>
    <col min="4872" max="4873" width="8.875" style="2841"/>
    <col min="4874" max="4874" width="5.75" style="2841" customWidth="1"/>
    <col min="4875" max="4875" width="11.75" style="2841" customWidth="1"/>
    <col min="4876" max="4877" width="10.75" style="2841" customWidth="1"/>
    <col min="4878" max="4878" width="10" style="2841" customWidth="1"/>
    <col min="4879" max="4880" width="10.5" style="2841" bestFit="1" customWidth="1"/>
    <col min="4881" max="4881" width="10" style="2841" customWidth="1"/>
    <col min="4882" max="4882" width="10.125" style="2841" customWidth="1"/>
    <col min="4883" max="4883" width="10" style="2841" customWidth="1"/>
    <col min="4884" max="4884" width="26.125" style="2841" customWidth="1"/>
    <col min="4885" max="5120" width="8.875" style="2841"/>
    <col min="5121" max="5121" width="9.5" style="2841" customWidth="1"/>
    <col min="5122" max="5122" width="8.875" style="2841"/>
    <col min="5123" max="5125" width="12.875" style="2841" customWidth="1"/>
    <col min="5126" max="5126" width="47.5" style="2841" customWidth="1"/>
    <col min="5127" max="5127" width="13" style="2841" customWidth="1"/>
    <col min="5128" max="5129" width="8.875" style="2841"/>
    <col min="5130" max="5130" width="5.75" style="2841" customWidth="1"/>
    <col min="5131" max="5131" width="11.75" style="2841" customWidth="1"/>
    <col min="5132" max="5133" width="10.75" style="2841" customWidth="1"/>
    <col min="5134" max="5134" width="10" style="2841" customWidth="1"/>
    <col min="5135" max="5136" width="10.5" style="2841" bestFit="1" customWidth="1"/>
    <col min="5137" max="5137" width="10" style="2841" customWidth="1"/>
    <col min="5138" max="5138" width="10.125" style="2841" customWidth="1"/>
    <col min="5139" max="5139" width="10" style="2841" customWidth="1"/>
    <col min="5140" max="5140" width="26.125" style="2841" customWidth="1"/>
    <col min="5141" max="5376" width="8.875" style="2841"/>
    <col min="5377" max="5377" width="9.5" style="2841" customWidth="1"/>
    <col min="5378" max="5378" width="8.875" style="2841"/>
    <col min="5379" max="5381" width="12.875" style="2841" customWidth="1"/>
    <col min="5382" max="5382" width="47.5" style="2841" customWidth="1"/>
    <col min="5383" max="5383" width="13" style="2841" customWidth="1"/>
    <col min="5384" max="5385" width="8.875" style="2841"/>
    <col min="5386" max="5386" width="5.75" style="2841" customWidth="1"/>
    <col min="5387" max="5387" width="11.75" style="2841" customWidth="1"/>
    <col min="5388" max="5389" width="10.75" style="2841" customWidth="1"/>
    <col min="5390" max="5390" width="10" style="2841" customWidth="1"/>
    <col min="5391" max="5392" width="10.5" style="2841" bestFit="1" customWidth="1"/>
    <col min="5393" max="5393" width="10" style="2841" customWidth="1"/>
    <col min="5394" max="5394" width="10.125" style="2841" customWidth="1"/>
    <col min="5395" max="5395" width="10" style="2841" customWidth="1"/>
    <col min="5396" max="5396" width="26.125" style="2841" customWidth="1"/>
    <col min="5397" max="5632" width="8.875" style="2841"/>
    <col min="5633" max="5633" width="9.5" style="2841" customWidth="1"/>
    <col min="5634" max="5634" width="8.875" style="2841"/>
    <col min="5635" max="5637" width="12.875" style="2841" customWidth="1"/>
    <col min="5638" max="5638" width="47.5" style="2841" customWidth="1"/>
    <col min="5639" max="5639" width="13" style="2841" customWidth="1"/>
    <col min="5640" max="5641" width="8.875" style="2841"/>
    <col min="5642" max="5642" width="5.75" style="2841" customWidth="1"/>
    <col min="5643" max="5643" width="11.75" style="2841" customWidth="1"/>
    <col min="5644" max="5645" width="10.75" style="2841" customWidth="1"/>
    <col min="5646" max="5646" width="10" style="2841" customWidth="1"/>
    <col min="5647" max="5648" width="10.5" style="2841" bestFit="1" customWidth="1"/>
    <col min="5649" max="5649" width="10" style="2841" customWidth="1"/>
    <col min="5650" max="5650" width="10.125" style="2841" customWidth="1"/>
    <col min="5651" max="5651" width="10" style="2841" customWidth="1"/>
    <col min="5652" max="5652" width="26.125" style="2841" customWidth="1"/>
    <col min="5653" max="5888" width="8.875" style="2841"/>
    <col min="5889" max="5889" width="9.5" style="2841" customWidth="1"/>
    <col min="5890" max="5890" width="8.875" style="2841"/>
    <col min="5891" max="5893" width="12.875" style="2841" customWidth="1"/>
    <col min="5894" max="5894" width="47.5" style="2841" customWidth="1"/>
    <col min="5895" max="5895" width="13" style="2841" customWidth="1"/>
    <col min="5896" max="5897" width="8.875" style="2841"/>
    <col min="5898" max="5898" width="5.75" style="2841" customWidth="1"/>
    <col min="5899" max="5899" width="11.75" style="2841" customWidth="1"/>
    <col min="5900" max="5901" width="10.75" style="2841" customWidth="1"/>
    <col min="5902" max="5902" width="10" style="2841" customWidth="1"/>
    <col min="5903" max="5904" width="10.5" style="2841" bestFit="1" customWidth="1"/>
    <col min="5905" max="5905" width="10" style="2841" customWidth="1"/>
    <col min="5906" max="5906" width="10.125" style="2841" customWidth="1"/>
    <col min="5907" max="5907" width="10" style="2841" customWidth="1"/>
    <col min="5908" max="5908" width="26.125" style="2841" customWidth="1"/>
    <col min="5909" max="6144" width="8.875" style="2841"/>
    <col min="6145" max="6145" width="9.5" style="2841" customWidth="1"/>
    <col min="6146" max="6146" width="8.875" style="2841"/>
    <col min="6147" max="6149" width="12.875" style="2841" customWidth="1"/>
    <col min="6150" max="6150" width="47.5" style="2841" customWidth="1"/>
    <col min="6151" max="6151" width="13" style="2841" customWidth="1"/>
    <col min="6152" max="6153" width="8.875" style="2841"/>
    <col min="6154" max="6154" width="5.75" style="2841" customWidth="1"/>
    <col min="6155" max="6155" width="11.75" style="2841" customWidth="1"/>
    <col min="6156" max="6157" width="10.75" style="2841" customWidth="1"/>
    <col min="6158" max="6158" width="10" style="2841" customWidth="1"/>
    <col min="6159" max="6160" width="10.5" style="2841" bestFit="1" customWidth="1"/>
    <col min="6161" max="6161" width="10" style="2841" customWidth="1"/>
    <col min="6162" max="6162" width="10.125" style="2841" customWidth="1"/>
    <col min="6163" max="6163" width="10" style="2841" customWidth="1"/>
    <col min="6164" max="6164" width="26.125" style="2841" customWidth="1"/>
    <col min="6165" max="6400" width="8.875" style="2841"/>
    <col min="6401" max="6401" width="9.5" style="2841" customWidth="1"/>
    <col min="6402" max="6402" width="8.875" style="2841"/>
    <col min="6403" max="6405" width="12.875" style="2841" customWidth="1"/>
    <col min="6406" max="6406" width="47.5" style="2841" customWidth="1"/>
    <col min="6407" max="6407" width="13" style="2841" customWidth="1"/>
    <col min="6408" max="6409" width="8.875" style="2841"/>
    <col min="6410" max="6410" width="5.75" style="2841" customWidth="1"/>
    <col min="6411" max="6411" width="11.75" style="2841" customWidth="1"/>
    <col min="6412" max="6413" width="10.75" style="2841" customWidth="1"/>
    <col min="6414" max="6414" width="10" style="2841" customWidth="1"/>
    <col min="6415" max="6416" width="10.5" style="2841" bestFit="1" customWidth="1"/>
    <col min="6417" max="6417" width="10" style="2841" customWidth="1"/>
    <col min="6418" max="6418" width="10.125" style="2841" customWidth="1"/>
    <col min="6419" max="6419" width="10" style="2841" customWidth="1"/>
    <col min="6420" max="6420" width="26.125" style="2841" customWidth="1"/>
    <col min="6421" max="6656" width="8.875" style="2841"/>
    <col min="6657" max="6657" width="9.5" style="2841" customWidth="1"/>
    <col min="6658" max="6658" width="8.875" style="2841"/>
    <col min="6659" max="6661" width="12.875" style="2841" customWidth="1"/>
    <col min="6662" max="6662" width="47.5" style="2841" customWidth="1"/>
    <col min="6663" max="6663" width="13" style="2841" customWidth="1"/>
    <col min="6664" max="6665" width="8.875" style="2841"/>
    <col min="6666" max="6666" width="5.75" style="2841" customWidth="1"/>
    <col min="6667" max="6667" width="11.75" style="2841" customWidth="1"/>
    <col min="6668" max="6669" width="10.75" style="2841" customWidth="1"/>
    <col min="6670" max="6670" width="10" style="2841" customWidth="1"/>
    <col min="6671" max="6672" width="10.5" style="2841" bestFit="1" customWidth="1"/>
    <col min="6673" max="6673" width="10" style="2841" customWidth="1"/>
    <col min="6674" max="6674" width="10.125" style="2841" customWidth="1"/>
    <col min="6675" max="6675" width="10" style="2841" customWidth="1"/>
    <col min="6676" max="6676" width="26.125" style="2841" customWidth="1"/>
    <col min="6677" max="6912" width="8.875" style="2841"/>
    <col min="6913" max="6913" width="9.5" style="2841" customWidth="1"/>
    <col min="6914" max="6914" width="8.875" style="2841"/>
    <col min="6915" max="6917" width="12.875" style="2841" customWidth="1"/>
    <col min="6918" max="6918" width="47.5" style="2841" customWidth="1"/>
    <col min="6919" max="6919" width="13" style="2841" customWidth="1"/>
    <col min="6920" max="6921" width="8.875" style="2841"/>
    <col min="6922" max="6922" width="5.75" style="2841" customWidth="1"/>
    <col min="6923" max="6923" width="11.75" style="2841" customWidth="1"/>
    <col min="6924" max="6925" width="10.75" style="2841" customWidth="1"/>
    <col min="6926" max="6926" width="10" style="2841" customWidth="1"/>
    <col min="6927" max="6928" width="10.5" style="2841" bestFit="1" customWidth="1"/>
    <col min="6929" max="6929" width="10" style="2841" customWidth="1"/>
    <col min="6930" max="6930" width="10.125" style="2841" customWidth="1"/>
    <col min="6931" max="6931" width="10" style="2841" customWidth="1"/>
    <col min="6932" max="6932" width="26.125" style="2841" customWidth="1"/>
    <col min="6933" max="7168" width="8.875" style="2841"/>
    <col min="7169" max="7169" width="9.5" style="2841" customWidth="1"/>
    <col min="7170" max="7170" width="8.875" style="2841"/>
    <col min="7171" max="7173" width="12.875" style="2841" customWidth="1"/>
    <col min="7174" max="7174" width="47.5" style="2841" customWidth="1"/>
    <col min="7175" max="7175" width="13" style="2841" customWidth="1"/>
    <col min="7176" max="7177" width="8.875" style="2841"/>
    <col min="7178" max="7178" width="5.75" style="2841" customWidth="1"/>
    <col min="7179" max="7179" width="11.75" style="2841" customWidth="1"/>
    <col min="7180" max="7181" width="10.75" style="2841" customWidth="1"/>
    <col min="7182" max="7182" width="10" style="2841" customWidth="1"/>
    <col min="7183" max="7184" width="10.5" style="2841" bestFit="1" customWidth="1"/>
    <col min="7185" max="7185" width="10" style="2841" customWidth="1"/>
    <col min="7186" max="7186" width="10.125" style="2841" customWidth="1"/>
    <col min="7187" max="7187" width="10" style="2841" customWidth="1"/>
    <col min="7188" max="7188" width="26.125" style="2841" customWidth="1"/>
    <col min="7189" max="7424" width="8.875" style="2841"/>
    <col min="7425" max="7425" width="9.5" style="2841" customWidth="1"/>
    <col min="7426" max="7426" width="8.875" style="2841"/>
    <col min="7427" max="7429" width="12.875" style="2841" customWidth="1"/>
    <col min="7430" max="7430" width="47.5" style="2841" customWidth="1"/>
    <col min="7431" max="7431" width="13" style="2841" customWidth="1"/>
    <col min="7432" max="7433" width="8.875" style="2841"/>
    <col min="7434" max="7434" width="5.75" style="2841" customWidth="1"/>
    <col min="7435" max="7435" width="11.75" style="2841" customWidth="1"/>
    <col min="7436" max="7437" width="10.75" style="2841" customWidth="1"/>
    <col min="7438" max="7438" width="10" style="2841" customWidth="1"/>
    <col min="7439" max="7440" width="10.5" style="2841" bestFit="1" customWidth="1"/>
    <col min="7441" max="7441" width="10" style="2841" customWidth="1"/>
    <col min="7442" max="7442" width="10.125" style="2841" customWidth="1"/>
    <col min="7443" max="7443" width="10" style="2841" customWidth="1"/>
    <col min="7444" max="7444" width="26.125" style="2841" customWidth="1"/>
    <col min="7445" max="7680" width="8.875" style="2841"/>
    <col min="7681" max="7681" width="9.5" style="2841" customWidth="1"/>
    <col min="7682" max="7682" width="8.875" style="2841"/>
    <col min="7683" max="7685" width="12.875" style="2841" customWidth="1"/>
    <col min="7686" max="7686" width="47.5" style="2841" customWidth="1"/>
    <col min="7687" max="7687" width="13" style="2841" customWidth="1"/>
    <col min="7688" max="7689" width="8.875" style="2841"/>
    <col min="7690" max="7690" width="5.75" style="2841" customWidth="1"/>
    <col min="7691" max="7691" width="11.75" style="2841" customWidth="1"/>
    <col min="7692" max="7693" width="10.75" style="2841" customWidth="1"/>
    <col min="7694" max="7694" width="10" style="2841" customWidth="1"/>
    <col min="7695" max="7696" width="10.5" style="2841" bestFit="1" customWidth="1"/>
    <col min="7697" max="7697" width="10" style="2841" customWidth="1"/>
    <col min="7698" max="7698" width="10.125" style="2841" customWidth="1"/>
    <col min="7699" max="7699" width="10" style="2841" customWidth="1"/>
    <col min="7700" max="7700" width="26.125" style="2841" customWidth="1"/>
    <col min="7701" max="7936" width="8.875" style="2841"/>
    <col min="7937" max="7937" width="9.5" style="2841" customWidth="1"/>
    <col min="7938" max="7938" width="8.875" style="2841"/>
    <col min="7939" max="7941" width="12.875" style="2841" customWidth="1"/>
    <col min="7942" max="7942" width="47.5" style="2841" customWidth="1"/>
    <col min="7943" max="7943" width="13" style="2841" customWidth="1"/>
    <col min="7944" max="7945" width="8.875" style="2841"/>
    <col min="7946" max="7946" width="5.75" style="2841" customWidth="1"/>
    <col min="7947" max="7947" width="11.75" style="2841" customWidth="1"/>
    <col min="7948" max="7949" width="10.75" style="2841" customWidth="1"/>
    <col min="7950" max="7950" width="10" style="2841" customWidth="1"/>
    <col min="7951" max="7952" width="10.5" style="2841" bestFit="1" customWidth="1"/>
    <col min="7953" max="7953" width="10" style="2841" customWidth="1"/>
    <col min="7954" max="7954" width="10.125" style="2841" customWidth="1"/>
    <col min="7955" max="7955" width="10" style="2841" customWidth="1"/>
    <col min="7956" max="7956" width="26.125" style="2841" customWidth="1"/>
    <col min="7957" max="8192" width="8.875" style="2841"/>
    <col min="8193" max="8193" width="9.5" style="2841" customWidth="1"/>
    <col min="8194" max="8194" width="8.875" style="2841"/>
    <col min="8195" max="8197" width="12.875" style="2841" customWidth="1"/>
    <col min="8198" max="8198" width="47.5" style="2841" customWidth="1"/>
    <col min="8199" max="8199" width="13" style="2841" customWidth="1"/>
    <col min="8200" max="8201" width="8.875" style="2841"/>
    <col min="8202" max="8202" width="5.75" style="2841" customWidth="1"/>
    <col min="8203" max="8203" width="11.75" style="2841" customWidth="1"/>
    <col min="8204" max="8205" width="10.75" style="2841" customWidth="1"/>
    <col min="8206" max="8206" width="10" style="2841" customWidth="1"/>
    <col min="8207" max="8208" width="10.5" style="2841" bestFit="1" customWidth="1"/>
    <col min="8209" max="8209" width="10" style="2841" customWidth="1"/>
    <col min="8210" max="8210" width="10.125" style="2841" customWidth="1"/>
    <col min="8211" max="8211" width="10" style="2841" customWidth="1"/>
    <col min="8212" max="8212" width="26.125" style="2841" customWidth="1"/>
    <col min="8213" max="8448" width="8.875" style="2841"/>
    <col min="8449" max="8449" width="9.5" style="2841" customWidth="1"/>
    <col min="8450" max="8450" width="8.875" style="2841"/>
    <col min="8451" max="8453" width="12.875" style="2841" customWidth="1"/>
    <col min="8454" max="8454" width="47.5" style="2841" customWidth="1"/>
    <col min="8455" max="8455" width="13" style="2841" customWidth="1"/>
    <col min="8456" max="8457" width="8.875" style="2841"/>
    <col min="8458" max="8458" width="5.75" style="2841" customWidth="1"/>
    <col min="8459" max="8459" width="11.75" style="2841" customWidth="1"/>
    <col min="8460" max="8461" width="10.75" style="2841" customWidth="1"/>
    <col min="8462" max="8462" width="10" style="2841" customWidth="1"/>
    <col min="8463" max="8464" width="10.5" style="2841" bestFit="1" customWidth="1"/>
    <col min="8465" max="8465" width="10" style="2841" customWidth="1"/>
    <col min="8466" max="8466" width="10.125" style="2841" customWidth="1"/>
    <col min="8467" max="8467" width="10" style="2841" customWidth="1"/>
    <col min="8468" max="8468" width="26.125" style="2841" customWidth="1"/>
    <col min="8469" max="8704" width="8.875" style="2841"/>
    <col min="8705" max="8705" width="9.5" style="2841" customWidth="1"/>
    <col min="8706" max="8706" width="8.875" style="2841"/>
    <col min="8707" max="8709" width="12.875" style="2841" customWidth="1"/>
    <col min="8710" max="8710" width="47.5" style="2841" customWidth="1"/>
    <col min="8711" max="8711" width="13" style="2841" customWidth="1"/>
    <col min="8712" max="8713" width="8.875" style="2841"/>
    <col min="8714" max="8714" width="5.75" style="2841" customWidth="1"/>
    <col min="8715" max="8715" width="11.75" style="2841" customWidth="1"/>
    <col min="8716" max="8717" width="10.75" style="2841" customWidth="1"/>
    <col min="8718" max="8718" width="10" style="2841" customWidth="1"/>
    <col min="8719" max="8720" width="10.5" style="2841" bestFit="1" customWidth="1"/>
    <col min="8721" max="8721" width="10" style="2841" customWidth="1"/>
    <col min="8722" max="8722" width="10.125" style="2841" customWidth="1"/>
    <col min="8723" max="8723" width="10" style="2841" customWidth="1"/>
    <col min="8724" max="8724" width="26.125" style="2841" customWidth="1"/>
    <col min="8725" max="8960" width="8.875" style="2841"/>
    <col min="8961" max="8961" width="9.5" style="2841" customWidth="1"/>
    <col min="8962" max="8962" width="8.875" style="2841"/>
    <col min="8963" max="8965" width="12.875" style="2841" customWidth="1"/>
    <col min="8966" max="8966" width="47.5" style="2841" customWidth="1"/>
    <col min="8967" max="8967" width="13" style="2841" customWidth="1"/>
    <col min="8968" max="8969" width="8.875" style="2841"/>
    <col min="8970" max="8970" width="5.75" style="2841" customWidth="1"/>
    <col min="8971" max="8971" width="11.75" style="2841" customWidth="1"/>
    <col min="8972" max="8973" width="10.75" style="2841" customWidth="1"/>
    <col min="8974" max="8974" width="10" style="2841" customWidth="1"/>
    <col min="8975" max="8976" width="10.5" style="2841" bestFit="1" customWidth="1"/>
    <col min="8977" max="8977" width="10" style="2841" customWidth="1"/>
    <col min="8978" max="8978" width="10.125" style="2841" customWidth="1"/>
    <col min="8979" max="8979" width="10" style="2841" customWidth="1"/>
    <col min="8980" max="8980" width="26.125" style="2841" customWidth="1"/>
    <col min="8981" max="9216" width="8.875" style="2841"/>
    <col min="9217" max="9217" width="9.5" style="2841" customWidth="1"/>
    <col min="9218" max="9218" width="8.875" style="2841"/>
    <col min="9219" max="9221" width="12.875" style="2841" customWidth="1"/>
    <col min="9222" max="9222" width="47.5" style="2841" customWidth="1"/>
    <col min="9223" max="9223" width="13" style="2841" customWidth="1"/>
    <col min="9224" max="9225" width="8.875" style="2841"/>
    <col min="9226" max="9226" width="5.75" style="2841" customWidth="1"/>
    <col min="9227" max="9227" width="11.75" style="2841" customWidth="1"/>
    <col min="9228" max="9229" width="10.75" style="2841" customWidth="1"/>
    <col min="9230" max="9230" width="10" style="2841" customWidth="1"/>
    <col min="9231" max="9232" width="10.5" style="2841" bestFit="1" customWidth="1"/>
    <col min="9233" max="9233" width="10" style="2841" customWidth="1"/>
    <col min="9234" max="9234" width="10.125" style="2841" customWidth="1"/>
    <col min="9235" max="9235" width="10" style="2841" customWidth="1"/>
    <col min="9236" max="9236" width="26.125" style="2841" customWidth="1"/>
    <col min="9237" max="9472" width="8.875" style="2841"/>
    <col min="9473" max="9473" width="9.5" style="2841" customWidth="1"/>
    <col min="9474" max="9474" width="8.875" style="2841"/>
    <col min="9475" max="9477" width="12.875" style="2841" customWidth="1"/>
    <col min="9478" max="9478" width="47.5" style="2841" customWidth="1"/>
    <col min="9479" max="9479" width="13" style="2841" customWidth="1"/>
    <col min="9480" max="9481" width="8.875" style="2841"/>
    <col min="9482" max="9482" width="5.75" style="2841" customWidth="1"/>
    <col min="9483" max="9483" width="11.75" style="2841" customWidth="1"/>
    <col min="9484" max="9485" width="10.75" style="2841" customWidth="1"/>
    <col min="9486" max="9486" width="10" style="2841" customWidth="1"/>
    <col min="9487" max="9488" width="10.5" style="2841" bestFit="1" customWidth="1"/>
    <col min="9489" max="9489" width="10" style="2841" customWidth="1"/>
    <col min="9490" max="9490" width="10.125" style="2841" customWidth="1"/>
    <col min="9491" max="9491" width="10" style="2841" customWidth="1"/>
    <col min="9492" max="9492" width="26.125" style="2841" customWidth="1"/>
    <col min="9493" max="9728" width="8.875" style="2841"/>
    <col min="9729" max="9729" width="9.5" style="2841" customWidth="1"/>
    <col min="9730" max="9730" width="8.875" style="2841"/>
    <col min="9731" max="9733" width="12.875" style="2841" customWidth="1"/>
    <col min="9734" max="9734" width="47.5" style="2841" customWidth="1"/>
    <col min="9735" max="9735" width="13" style="2841" customWidth="1"/>
    <col min="9736" max="9737" width="8.875" style="2841"/>
    <col min="9738" max="9738" width="5.75" style="2841" customWidth="1"/>
    <col min="9739" max="9739" width="11.75" style="2841" customWidth="1"/>
    <col min="9740" max="9741" width="10.75" style="2841" customWidth="1"/>
    <col min="9742" max="9742" width="10" style="2841" customWidth="1"/>
    <col min="9743" max="9744" width="10.5" style="2841" bestFit="1" customWidth="1"/>
    <col min="9745" max="9745" width="10" style="2841" customWidth="1"/>
    <col min="9746" max="9746" width="10.125" style="2841" customWidth="1"/>
    <col min="9747" max="9747" width="10" style="2841" customWidth="1"/>
    <col min="9748" max="9748" width="26.125" style="2841" customWidth="1"/>
    <col min="9749" max="9984" width="8.875" style="2841"/>
    <col min="9985" max="9985" width="9.5" style="2841" customWidth="1"/>
    <col min="9986" max="9986" width="8.875" style="2841"/>
    <col min="9987" max="9989" width="12.875" style="2841" customWidth="1"/>
    <col min="9990" max="9990" width="47.5" style="2841" customWidth="1"/>
    <col min="9991" max="9991" width="13" style="2841" customWidth="1"/>
    <col min="9992" max="9993" width="8.875" style="2841"/>
    <col min="9994" max="9994" width="5.75" style="2841" customWidth="1"/>
    <col min="9995" max="9995" width="11.75" style="2841" customWidth="1"/>
    <col min="9996" max="9997" width="10.75" style="2841" customWidth="1"/>
    <col min="9998" max="9998" width="10" style="2841" customWidth="1"/>
    <col min="9999" max="10000" width="10.5" style="2841" bestFit="1" customWidth="1"/>
    <col min="10001" max="10001" width="10" style="2841" customWidth="1"/>
    <col min="10002" max="10002" width="10.125" style="2841" customWidth="1"/>
    <col min="10003" max="10003" width="10" style="2841" customWidth="1"/>
    <col min="10004" max="10004" width="26.125" style="2841" customWidth="1"/>
    <col min="10005" max="10240" width="8.875" style="2841"/>
    <col min="10241" max="10241" width="9.5" style="2841" customWidth="1"/>
    <col min="10242" max="10242" width="8.875" style="2841"/>
    <col min="10243" max="10245" width="12.875" style="2841" customWidth="1"/>
    <col min="10246" max="10246" width="47.5" style="2841" customWidth="1"/>
    <col min="10247" max="10247" width="13" style="2841" customWidth="1"/>
    <col min="10248" max="10249" width="8.875" style="2841"/>
    <col min="10250" max="10250" width="5.75" style="2841" customWidth="1"/>
    <col min="10251" max="10251" width="11.75" style="2841" customWidth="1"/>
    <col min="10252" max="10253" width="10.75" style="2841" customWidth="1"/>
    <col min="10254" max="10254" width="10" style="2841" customWidth="1"/>
    <col min="10255" max="10256" width="10.5" style="2841" bestFit="1" customWidth="1"/>
    <col min="10257" max="10257" width="10" style="2841" customWidth="1"/>
    <col min="10258" max="10258" width="10.125" style="2841" customWidth="1"/>
    <col min="10259" max="10259" width="10" style="2841" customWidth="1"/>
    <col min="10260" max="10260" width="26.125" style="2841" customWidth="1"/>
    <col min="10261" max="10496" width="8.875" style="2841"/>
    <col min="10497" max="10497" width="9.5" style="2841" customWidth="1"/>
    <col min="10498" max="10498" width="8.875" style="2841"/>
    <col min="10499" max="10501" width="12.875" style="2841" customWidth="1"/>
    <col min="10502" max="10502" width="47.5" style="2841" customWidth="1"/>
    <col min="10503" max="10503" width="13" style="2841" customWidth="1"/>
    <col min="10504" max="10505" width="8.875" style="2841"/>
    <col min="10506" max="10506" width="5.75" style="2841" customWidth="1"/>
    <col min="10507" max="10507" width="11.75" style="2841" customWidth="1"/>
    <col min="10508" max="10509" width="10.75" style="2841" customWidth="1"/>
    <col min="10510" max="10510" width="10" style="2841" customWidth="1"/>
    <col min="10511" max="10512" width="10.5" style="2841" bestFit="1" customWidth="1"/>
    <col min="10513" max="10513" width="10" style="2841" customWidth="1"/>
    <col min="10514" max="10514" width="10.125" style="2841" customWidth="1"/>
    <col min="10515" max="10515" width="10" style="2841" customWidth="1"/>
    <col min="10516" max="10516" width="26.125" style="2841" customWidth="1"/>
    <col min="10517" max="10752" width="8.875" style="2841"/>
    <col min="10753" max="10753" width="9.5" style="2841" customWidth="1"/>
    <col min="10754" max="10754" width="8.875" style="2841"/>
    <col min="10755" max="10757" width="12.875" style="2841" customWidth="1"/>
    <col min="10758" max="10758" width="47.5" style="2841" customWidth="1"/>
    <col min="10759" max="10759" width="13" style="2841" customWidth="1"/>
    <col min="10760" max="10761" width="8.875" style="2841"/>
    <col min="10762" max="10762" width="5.75" style="2841" customWidth="1"/>
    <col min="10763" max="10763" width="11.75" style="2841" customWidth="1"/>
    <col min="10764" max="10765" width="10.75" style="2841" customWidth="1"/>
    <col min="10766" max="10766" width="10" style="2841" customWidth="1"/>
    <col min="10767" max="10768" width="10.5" style="2841" bestFit="1" customWidth="1"/>
    <col min="10769" max="10769" width="10" style="2841" customWidth="1"/>
    <col min="10770" max="10770" width="10.125" style="2841" customWidth="1"/>
    <col min="10771" max="10771" width="10" style="2841" customWidth="1"/>
    <col min="10772" max="10772" width="26.125" style="2841" customWidth="1"/>
    <col min="10773" max="11008" width="8.875" style="2841"/>
    <col min="11009" max="11009" width="9.5" style="2841" customWidth="1"/>
    <col min="11010" max="11010" width="8.875" style="2841"/>
    <col min="11011" max="11013" width="12.875" style="2841" customWidth="1"/>
    <col min="11014" max="11014" width="47.5" style="2841" customWidth="1"/>
    <col min="11015" max="11015" width="13" style="2841" customWidth="1"/>
    <col min="11016" max="11017" width="8.875" style="2841"/>
    <col min="11018" max="11018" width="5.75" style="2841" customWidth="1"/>
    <col min="11019" max="11019" width="11.75" style="2841" customWidth="1"/>
    <col min="11020" max="11021" width="10.75" style="2841" customWidth="1"/>
    <col min="11022" max="11022" width="10" style="2841" customWidth="1"/>
    <col min="11023" max="11024" width="10.5" style="2841" bestFit="1" customWidth="1"/>
    <col min="11025" max="11025" width="10" style="2841" customWidth="1"/>
    <col min="11026" max="11026" width="10.125" style="2841" customWidth="1"/>
    <col min="11027" max="11027" width="10" style="2841" customWidth="1"/>
    <col min="11028" max="11028" width="26.125" style="2841" customWidth="1"/>
    <col min="11029" max="11264" width="8.875" style="2841"/>
    <col min="11265" max="11265" width="9.5" style="2841" customWidth="1"/>
    <col min="11266" max="11266" width="8.875" style="2841"/>
    <col min="11267" max="11269" width="12.875" style="2841" customWidth="1"/>
    <col min="11270" max="11270" width="47.5" style="2841" customWidth="1"/>
    <col min="11271" max="11271" width="13" style="2841" customWidth="1"/>
    <col min="11272" max="11273" width="8.875" style="2841"/>
    <col min="11274" max="11274" width="5.75" style="2841" customWidth="1"/>
    <col min="11275" max="11275" width="11.75" style="2841" customWidth="1"/>
    <col min="11276" max="11277" width="10.75" style="2841" customWidth="1"/>
    <col min="11278" max="11278" width="10" style="2841" customWidth="1"/>
    <col min="11279" max="11280" width="10.5" style="2841" bestFit="1" customWidth="1"/>
    <col min="11281" max="11281" width="10" style="2841" customWidth="1"/>
    <col min="11282" max="11282" width="10.125" style="2841" customWidth="1"/>
    <col min="11283" max="11283" width="10" style="2841" customWidth="1"/>
    <col min="11284" max="11284" width="26.125" style="2841" customWidth="1"/>
    <col min="11285" max="11520" width="8.875" style="2841"/>
    <col min="11521" max="11521" width="9.5" style="2841" customWidth="1"/>
    <col min="11522" max="11522" width="8.875" style="2841"/>
    <col min="11523" max="11525" width="12.875" style="2841" customWidth="1"/>
    <col min="11526" max="11526" width="47.5" style="2841" customWidth="1"/>
    <col min="11527" max="11527" width="13" style="2841" customWidth="1"/>
    <col min="11528" max="11529" width="8.875" style="2841"/>
    <col min="11530" max="11530" width="5.75" style="2841" customWidth="1"/>
    <col min="11531" max="11531" width="11.75" style="2841" customWidth="1"/>
    <col min="11532" max="11533" width="10.75" style="2841" customWidth="1"/>
    <col min="11534" max="11534" width="10" style="2841" customWidth="1"/>
    <col min="11535" max="11536" width="10.5" style="2841" bestFit="1" customWidth="1"/>
    <col min="11537" max="11537" width="10" style="2841" customWidth="1"/>
    <col min="11538" max="11538" width="10.125" style="2841" customWidth="1"/>
    <col min="11539" max="11539" width="10" style="2841" customWidth="1"/>
    <col min="11540" max="11540" width="26.125" style="2841" customWidth="1"/>
    <col min="11541" max="11776" width="8.875" style="2841"/>
    <col min="11777" max="11777" width="9.5" style="2841" customWidth="1"/>
    <col min="11778" max="11778" width="8.875" style="2841"/>
    <col min="11779" max="11781" width="12.875" style="2841" customWidth="1"/>
    <col min="11782" max="11782" width="47.5" style="2841" customWidth="1"/>
    <col min="11783" max="11783" width="13" style="2841" customWidth="1"/>
    <col min="11784" max="11785" width="8.875" style="2841"/>
    <col min="11786" max="11786" width="5.75" style="2841" customWidth="1"/>
    <col min="11787" max="11787" width="11.75" style="2841" customWidth="1"/>
    <col min="11788" max="11789" width="10.75" style="2841" customWidth="1"/>
    <col min="11790" max="11790" width="10" style="2841" customWidth="1"/>
    <col min="11791" max="11792" width="10.5" style="2841" bestFit="1" customWidth="1"/>
    <col min="11793" max="11793" width="10" style="2841" customWidth="1"/>
    <col min="11794" max="11794" width="10.125" style="2841" customWidth="1"/>
    <col min="11795" max="11795" width="10" style="2841" customWidth="1"/>
    <col min="11796" max="11796" width="26.125" style="2841" customWidth="1"/>
    <col min="11797" max="12032" width="8.875" style="2841"/>
    <col min="12033" max="12033" width="9.5" style="2841" customWidth="1"/>
    <col min="12034" max="12034" width="8.875" style="2841"/>
    <col min="12035" max="12037" width="12.875" style="2841" customWidth="1"/>
    <col min="12038" max="12038" width="47.5" style="2841" customWidth="1"/>
    <col min="12039" max="12039" width="13" style="2841" customWidth="1"/>
    <col min="12040" max="12041" width="8.875" style="2841"/>
    <col min="12042" max="12042" width="5.75" style="2841" customWidth="1"/>
    <col min="12043" max="12043" width="11.75" style="2841" customWidth="1"/>
    <col min="12044" max="12045" width="10.75" style="2841" customWidth="1"/>
    <col min="12046" max="12046" width="10" style="2841" customWidth="1"/>
    <col min="12047" max="12048" width="10.5" style="2841" bestFit="1" customWidth="1"/>
    <col min="12049" max="12049" width="10" style="2841" customWidth="1"/>
    <col min="12050" max="12050" width="10.125" style="2841" customWidth="1"/>
    <col min="12051" max="12051" width="10" style="2841" customWidth="1"/>
    <col min="12052" max="12052" width="26.125" style="2841" customWidth="1"/>
    <col min="12053" max="12288" width="8.875" style="2841"/>
    <col min="12289" max="12289" width="9.5" style="2841" customWidth="1"/>
    <col min="12290" max="12290" width="8.875" style="2841"/>
    <col min="12291" max="12293" width="12.875" style="2841" customWidth="1"/>
    <col min="12294" max="12294" width="47.5" style="2841" customWidth="1"/>
    <col min="12295" max="12295" width="13" style="2841" customWidth="1"/>
    <col min="12296" max="12297" width="8.875" style="2841"/>
    <col min="12298" max="12298" width="5.75" style="2841" customWidth="1"/>
    <col min="12299" max="12299" width="11.75" style="2841" customWidth="1"/>
    <col min="12300" max="12301" width="10.75" style="2841" customWidth="1"/>
    <col min="12302" max="12302" width="10" style="2841" customWidth="1"/>
    <col min="12303" max="12304" width="10.5" style="2841" bestFit="1" customWidth="1"/>
    <col min="12305" max="12305" width="10" style="2841" customWidth="1"/>
    <col min="12306" max="12306" width="10.125" style="2841" customWidth="1"/>
    <col min="12307" max="12307" width="10" style="2841" customWidth="1"/>
    <col min="12308" max="12308" width="26.125" style="2841" customWidth="1"/>
    <col min="12309" max="12544" width="8.875" style="2841"/>
    <col min="12545" max="12545" width="9.5" style="2841" customWidth="1"/>
    <col min="12546" max="12546" width="8.875" style="2841"/>
    <col min="12547" max="12549" width="12.875" style="2841" customWidth="1"/>
    <col min="12550" max="12550" width="47.5" style="2841" customWidth="1"/>
    <col min="12551" max="12551" width="13" style="2841" customWidth="1"/>
    <col min="12552" max="12553" width="8.875" style="2841"/>
    <col min="12554" max="12554" width="5.75" style="2841" customWidth="1"/>
    <col min="12555" max="12555" width="11.75" style="2841" customWidth="1"/>
    <col min="12556" max="12557" width="10.75" style="2841" customWidth="1"/>
    <col min="12558" max="12558" width="10" style="2841" customWidth="1"/>
    <col min="12559" max="12560" width="10.5" style="2841" bestFit="1" customWidth="1"/>
    <col min="12561" max="12561" width="10" style="2841" customWidth="1"/>
    <col min="12562" max="12562" width="10.125" style="2841" customWidth="1"/>
    <col min="12563" max="12563" width="10" style="2841" customWidth="1"/>
    <col min="12564" max="12564" width="26.125" style="2841" customWidth="1"/>
    <col min="12565" max="12800" width="8.875" style="2841"/>
    <col min="12801" max="12801" width="9.5" style="2841" customWidth="1"/>
    <col min="12802" max="12802" width="8.875" style="2841"/>
    <col min="12803" max="12805" width="12.875" style="2841" customWidth="1"/>
    <col min="12806" max="12806" width="47.5" style="2841" customWidth="1"/>
    <col min="12807" max="12807" width="13" style="2841" customWidth="1"/>
    <col min="12808" max="12809" width="8.875" style="2841"/>
    <col min="12810" max="12810" width="5.75" style="2841" customWidth="1"/>
    <col min="12811" max="12811" width="11.75" style="2841" customWidth="1"/>
    <col min="12812" max="12813" width="10.75" style="2841" customWidth="1"/>
    <col min="12814" max="12814" width="10" style="2841" customWidth="1"/>
    <col min="12815" max="12816" width="10.5" style="2841" bestFit="1" customWidth="1"/>
    <col min="12817" max="12817" width="10" style="2841" customWidth="1"/>
    <col min="12818" max="12818" width="10.125" style="2841" customWidth="1"/>
    <col min="12819" max="12819" width="10" style="2841" customWidth="1"/>
    <col min="12820" max="12820" width="26.125" style="2841" customWidth="1"/>
    <col min="12821" max="13056" width="8.875" style="2841"/>
    <col min="13057" max="13057" width="9.5" style="2841" customWidth="1"/>
    <col min="13058" max="13058" width="8.875" style="2841"/>
    <col min="13059" max="13061" width="12.875" style="2841" customWidth="1"/>
    <col min="13062" max="13062" width="47.5" style="2841" customWidth="1"/>
    <col min="13063" max="13063" width="13" style="2841" customWidth="1"/>
    <col min="13064" max="13065" width="8.875" style="2841"/>
    <col min="13066" max="13066" width="5.75" style="2841" customWidth="1"/>
    <col min="13067" max="13067" width="11.75" style="2841" customWidth="1"/>
    <col min="13068" max="13069" width="10.75" style="2841" customWidth="1"/>
    <col min="13070" max="13070" width="10" style="2841" customWidth="1"/>
    <col min="13071" max="13072" width="10.5" style="2841" bestFit="1" customWidth="1"/>
    <col min="13073" max="13073" width="10" style="2841" customWidth="1"/>
    <col min="13074" max="13074" width="10.125" style="2841" customWidth="1"/>
    <col min="13075" max="13075" width="10" style="2841" customWidth="1"/>
    <col min="13076" max="13076" width="26.125" style="2841" customWidth="1"/>
    <col min="13077" max="13312" width="8.875" style="2841"/>
    <col min="13313" max="13313" width="9.5" style="2841" customWidth="1"/>
    <col min="13314" max="13314" width="8.875" style="2841"/>
    <col min="13315" max="13317" width="12.875" style="2841" customWidth="1"/>
    <col min="13318" max="13318" width="47.5" style="2841" customWidth="1"/>
    <col min="13319" max="13319" width="13" style="2841" customWidth="1"/>
    <col min="13320" max="13321" width="8.875" style="2841"/>
    <col min="13322" max="13322" width="5.75" style="2841" customWidth="1"/>
    <col min="13323" max="13323" width="11.75" style="2841" customWidth="1"/>
    <col min="13324" max="13325" width="10.75" style="2841" customWidth="1"/>
    <col min="13326" max="13326" width="10" style="2841" customWidth="1"/>
    <col min="13327" max="13328" width="10.5" style="2841" bestFit="1" customWidth="1"/>
    <col min="13329" max="13329" width="10" style="2841" customWidth="1"/>
    <col min="13330" max="13330" width="10.125" style="2841" customWidth="1"/>
    <col min="13331" max="13331" width="10" style="2841" customWidth="1"/>
    <col min="13332" max="13332" width="26.125" style="2841" customWidth="1"/>
    <col min="13333" max="13568" width="8.875" style="2841"/>
    <col min="13569" max="13569" width="9.5" style="2841" customWidth="1"/>
    <col min="13570" max="13570" width="8.875" style="2841"/>
    <col min="13571" max="13573" width="12.875" style="2841" customWidth="1"/>
    <col min="13574" max="13574" width="47.5" style="2841" customWidth="1"/>
    <col min="13575" max="13575" width="13" style="2841" customWidth="1"/>
    <col min="13576" max="13577" width="8.875" style="2841"/>
    <col min="13578" max="13578" width="5.75" style="2841" customWidth="1"/>
    <col min="13579" max="13579" width="11.75" style="2841" customWidth="1"/>
    <col min="13580" max="13581" width="10.75" style="2841" customWidth="1"/>
    <col min="13582" max="13582" width="10" style="2841" customWidth="1"/>
    <col min="13583" max="13584" width="10.5" style="2841" bestFit="1" customWidth="1"/>
    <col min="13585" max="13585" width="10" style="2841" customWidth="1"/>
    <col min="13586" max="13586" width="10.125" style="2841" customWidth="1"/>
    <col min="13587" max="13587" width="10" style="2841" customWidth="1"/>
    <col min="13588" max="13588" width="26.125" style="2841" customWidth="1"/>
    <col min="13589" max="13824" width="8.875" style="2841"/>
    <col min="13825" max="13825" width="9.5" style="2841" customWidth="1"/>
    <col min="13826" max="13826" width="8.875" style="2841"/>
    <col min="13827" max="13829" width="12.875" style="2841" customWidth="1"/>
    <col min="13830" max="13830" width="47.5" style="2841" customWidth="1"/>
    <col min="13831" max="13831" width="13" style="2841" customWidth="1"/>
    <col min="13832" max="13833" width="8.875" style="2841"/>
    <col min="13834" max="13834" width="5.75" style="2841" customWidth="1"/>
    <col min="13835" max="13835" width="11.75" style="2841" customWidth="1"/>
    <col min="13836" max="13837" width="10.75" style="2841" customWidth="1"/>
    <col min="13838" max="13838" width="10" style="2841" customWidth="1"/>
    <col min="13839" max="13840" width="10.5" style="2841" bestFit="1" customWidth="1"/>
    <col min="13841" max="13841" width="10" style="2841" customWidth="1"/>
    <col min="13842" max="13842" width="10.125" style="2841" customWidth="1"/>
    <col min="13843" max="13843" width="10" style="2841" customWidth="1"/>
    <col min="13844" max="13844" width="26.125" style="2841" customWidth="1"/>
    <col min="13845" max="14080" width="8.875" style="2841"/>
    <col min="14081" max="14081" width="9.5" style="2841" customWidth="1"/>
    <col min="14082" max="14082" width="8.875" style="2841"/>
    <col min="14083" max="14085" width="12.875" style="2841" customWidth="1"/>
    <col min="14086" max="14086" width="47.5" style="2841" customWidth="1"/>
    <col min="14087" max="14087" width="13" style="2841" customWidth="1"/>
    <col min="14088" max="14089" width="8.875" style="2841"/>
    <col min="14090" max="14090" width="5.75" style="2841" customWidth="1"/>
    <col min="14091" max="14091" width="11.75" style="2841" customWidth="1"/>
    <col min="14092" max="14093" width="10.75" style="2841" customWidth="1"/>
    <col min="14094" max="14094" width="10" style="2841" customWidth="1"/>
    <col min="14095" max="14096" width="10.5" style="2841" bestFit="1" customWidth="1"/>
    <col min="14097" max="14097" width="10" style="2841" customWidth="1"/>
    <col min="14098" max="14098" width="10.125" style="2841" customWidth="1"/>
    <col min="14099" max="14099" width="10" style="2841" customWidth="1"/>
    <col min="14100" max="14100" width="26.125" style="2841" customWidth="1"/>
    <col min="14101" max="14336" width="8.875" style="2841"/>
    <col min="14337" max="14337" width="9.5" style="2841" customWidth="1"/>
    <col min="14338" max="14338" width="8.875" style="2841"/>
    <col min="14339" max="14341" width="12.875" style="2841" customWidth="1"/>
    <col min="14342" max="14342" width="47.5" style="2841" customWidth="1"/>
    <col min="14343" max="14343" width="13" style="2841" customWidth="1"/>
    <col min="14344" max="14345" width="8.875" style="2841"/>
    <col min="14346" max="14346" width="5.75" style="2841" customWidth="1"/>
    <col min="14347" max="14347" width="11.75" style="2841" customWidth="1"/>
    <col min="14348" max="14349" width="10.75" style="2841" customWidth="1"/>
    <col min="14350" max="14350" width="10" style="2841" customWidth="1"/>
    <col min="14351" max="14352" width="10.5" style="2841" bestFit="1" customWidth="1"/>
    <col min="14353" max="14353" width="10" style="2841" customWidth="1"/>
    <col min="14354" max="14354" width="10.125" style="2841" customWidth="1"/>
    <col min="14355" max="14355" width="10" style="2841" customWidth="1"/>
    <col min="14356" max="14356" width="26.125" style="2841" customWidth="1"/>
    <col min="14357" max="14592" width="8.875" style="2841"/>
    <col min="14593" max="14593" width="9.5" style="2841" customWidth="1"/>
    <col min="14594" max="14594" width="8.875" style="2841"/>
    <col min="14595" max="14597" width="12.875" style="2841" customWidth="1"/>
    <col min="14598" max="14598" width="47.5" style="2841" customWidth="1"/>
    <col min="14599" max="14599" width="13" style="2841" customWidth="1"/>
    <col min="14600" max="14601" width="8.875" style="2841"/>
    <col min="14602" max="14602" width="5.75" style="2841" customWidth="1"/>
    <col min="14603" max="14603" width="11.75" style="2841" customWidth="1"/>
    <col min="14604" max="14605" width="10.75" style="2841" customWidth="1"/>
    <col min="14606" max="14606" width="10" style="2841" customWidth="1"/>
    <col min="14607" max="14608" width="10.5" style="2841" bestFit="1" customWidth="1"/>
    <col min="14609" max="14609" width="10" style="2841" customWidth="1"/>
    <col min="14610" max="14610" width="10.125" style="2841" customWidth="1"/>
    <col min="14611" max="14611" width="10" style="2841" customWidth="1"/>
    <col min="14612" max="14612" width="26.125" style="2841" customWidth="1"/>
    <col min="14613" max="14848" width="8.875" style="2841"/>
    <col min="14849" max="14849" width="9.5" style="2841" customWidth="1"/>
    <col min="14850" max="14850" width="8.875" style="2841"/>
    <col min="14851" max="14853" width="12.875" style="2841" customWidth="1"/>
    <col min="14854" max="14854" width="47.5" style="2841" customWidth="1"/>
    <col min="14855" max="14855" width="13" style="2841" customWidth="1"/>
    <col min="14856" max="14857" width="8.875" style="2841"/>
    <col min="14858" max="14858" width="5.75" style="2841" customWidth="1"/>
    <col min="14859" max="14859" width="11.75" style="2841" customWidth="1"/>
    <col min="14860" max="14861" width="10.75" style="2841" customWidth="1"/>
    <col min="14862" max="14862" width="10" style="2841" customWidth="1"/>
    <col min="14863" max="14864" width="10.5" style="2841" bestFit="1" customWidth="1"/>
    <col min="14865" max="14865" width="10" style="2841" customWidth="1"/>
    <col min="14866" max="14866" width="10.125" style="2841" customWidth="1"/>
    <col min="14867" max="14867" width="10" style="2841" customWidth="1"/>
    <col min="14868" max="14868" width="26.125" style="2841" customWidth="1"/>
    <col min="14869" max="15104" width="8.875" style="2841"/>
    <col min="15105" max="15105" width="9.5" style="2841" customWidth="1"/>
    <col min="15106" max="15106" width="8.875" style="2841"/>
    <col min="15107" max="15109" width="12.875" style="2841" customWidth="1"/>
    <col min="15110" max="15110" width="47.5" style="2841" customWidth="1"/>
    <col min="15111" max="15111" width="13" style="2841" customWidth="1"/>
    <col min="15112" max="15113" width="8.875" style="2841"/>
    <col min="15114" max="15114" width="5.75" style="2841" customWidth="1"/>
    <col min="15115" max="15115" width="11.75" style="2841" customWidth="1"/>
    <col min="15116" max="15117" width="10.75" style="2841" customWidth="1"/>
    <col min="15118" max="15118" width="10" style="2841" customWidth="1"/>
    <col min="15119" max="15120" width="10.5" style="2841" bestFit="1" customWidth="1"/>
    <col min="15121" max="15121" width="10" style="2841" customWidth="1"/>
    <col min="15122" max="15122" width="10.125" style="2841" customWidth="1"/>
    <col min="15123" max="15123" width="10" style="2841" customWidth="1"/>
    <col min="15124" max="15124" width="26.125" style="2841" customWidth="1"/>
    <col min="15125" max="15360" width="8.875" style="2841"/>
    <col min="15361" max="15361" width="9.5" style="2841" customWidth="1"/>
    <col min="15362" max="15362" width="8.875" style="2841"/>
    <col min="15363" max="15365" width="12.875" style="2841" customWidth="1"/>
    <col min="15366" max="15366" width="47.5" style="2841" customWidth="1"/>
    <col min="15367" max="15367" width="13" style="2841" customWidth="1"/>
    <col min="15368" max="15369" width="8.875" style="2841"/>
    <col min="15370" max="15370" width="5.75" style="2841" customWidth="1"/>
    <col min="15371" max="15371" width="11.75" style="2841" customWidth="1"/>
    <col min="15372" max="15373" width="10.75" style="2841" customWidth="1"/>
    <col min="15374" max="15374" width="10" style="2841" customWidth="1"/>
    <col min="15375" max="15376" width="10.5" style="2841" bestFit="1" customWidth="1"/>
    <col min="15377" max="15377" width="10" style="2841" customWidth="1"/>
    <col min="15378" max="15378" width="10.125" style="2841" customWidth="1"/>
    <col min="15379" max="15379" width="10" style="2841" customWidth="1"/>
    <col min="15380" max="15380" width="26.125" style="2841" customWidth="1"/>
    <col min="15381" max="15616" width="8.875" style="2841"/>
    <col min="15617" max="15617" width="9.5" style="2841" customWidth="1"/>
    <col min="15618" max="15618" width="8.875" style="2841"/>
    <col min="15619" max="15621" width="12.875" style="2841" customWidth="1"/>
    <col min="15622" max="15622" width="47.5" style="2841" customWidth="1"/>
    <col min="15623" max="15623" width="13" style="2841" customWidth="1"/>
    <col min="15624" max="15625" width="8.875" style="2841"/>
    <col min="15626" max="15626" width="5.75" style="2841" customWidth="1"/>
    <col min="15627" max="15627" width="11.75" style="2841" customWidth="1"/>
    <col min="15628" max="15629" width="10.75" style="2841" customWidth="1"/>
    <col min="15630" max="15630" width="10" style="2841" customWidth="1"/>
    <col min="15631" max="15632" width="10.5" style="2841" bestFit="1" customWidth="1"/>
    <col min="15633" max="15633" width="10" style="2841" customWidth="1"/>
    <col min="15634" max="15634" width="10.125" style="2841" customWidth="1"/>
    <col min="15635" max="15635" width="10" style="2841" customWidth="1"/>
    <col min="15636" max="15636" width="26.125" style="2841" customWidth="1"/>
    <col min="15637" max="15872" width="8.875" style="2841"/>
    <col min="15873" max="15873" width="9.5" style="2841" customWidth="1"/>
    <col min="15874" max="15874" width="8.875" style="2841"/>
    <col min="15875" max="15877" width="12.875" style="2841" customWidth="1"/>
    <col min="15878" max="15878" width="47.5" style="2841" customWidth="1"/>
    <col min="15879" max="15879" width="13" style="2841" customWidth="1"/>
    <col min="15880" max="15881" width="8.875" style="2841"/>
    <col min="15882" max="15882" width="5.75" style="2841" customWidth="1"/>
    <col min="15883" max="15883" width="11.75" style="2841" customWidth="1"/>
    <col min="15884" max="15885" width="10.75" style="2841" customWidth="1"/>
    <col min="15886" max="15886" width="10" style="2841" customWidth="1"/>
    <col min="15887" max="15888" width="10.5" style="2841" bestFit="1" customWidth="1"/>
    <col min="15889" max="15889" width="10" style="2841" customWidth="1"/>
    <col min="15890" max="15890" width="10.125" style="2841" customWidth="1"/>
    <col min="15891" max="15891" width="10" style="2841" customWidth="1"/>
    <col min="15892" max="15892" width="26.125" style="2841" customWidth="1"/>
    <col min="15893" max="16128" width="8.875" style="2841"/>
    <col min="16129" max="16129" width="9.5" style="2841" customWidth="1"/>
    <col min="16130" max="16130" width="8.875" style="2841"/>
    <col min="16131" max="16133" width="12.875" style="2841" customWidth="1"/>
    <col min="16134" max="16134" width="47.5" style="2841" customWidth="1"/>
    <col min="16135" max="16135" width="13" style="2841" customWidth="1"/>
    <col min="16136" max="16137" width="8.875" style="2841"/>
    <col min="16138" max="16138" width="5.75" style="2841" customWidth="1"/>
    <col min="16139" max="16139" width="11.75" style="2841" customWidth="1"/>
    <col min="16140" max="16141" width="10.75" style="2841" customWidth="1"/>
    <col min="16142" max="16142" width="10" style="2841" customWidth="1"/>
    <col min="16143" max="16144" width="10.5" style="2841" bestFit="1" customWidth="1"/>
    <col min="16145" max="16145" width="10" style="2841" customWidth="1"/>
    <col min="16146" max="16146" width="10.125" style="2841" customWidth="1"/>
    <col min="16147" max="16147" width="10" style="2841" customWidth="1"/>
    <col min="16148" max="16148" width="26.125" style="2841" customWidth="1"/>
    <col min="16149" max="16384" width="8.875" style="2841"/>
  </cols>
  <sheetData>
    <row r="1" spans="1:22" ht="21" customHeight="1">
      <c r="A1" s="2830" t="s">
        <v>2438</v>
      </c>
      <c r="B1" s="2831"/>
      <c r="C1" s="2843"/>
      <c r="D1" s="2843"/>
      <c r="E1" s="2832"/>
      <c r="F1" s="2833"/>
      <c r="G1" s="2834"/>
      <c r="J1" s="2837" t="s">
        <v>2317</v>
      </c>
      <c r="K1" s="2838"/>
      <c r="L1" s="2838"/>
      <c r="M1" s="2838"/>
      <c r="N1" s="2838"/>
      <c r="O1" s="2838"/>
      <c r="P1" s="2838"/>
      <c r="Q1" s="2838"/>
      <c r="R1" s="2839"/>
      <c r="S1" s="2840"/>
      <c r="T1" s="2840"/>
      <c r="U1" s="2840"/>
    </row>
    <row r="2" spans="1:22" s="2852" customFormat="1" ht="13.15" customHeight="1">
      <c r="A2" s="1385" t="s">
        <v>2318</v>
      </c>
      <c r="B2" s="2842" t="e">
        <f>IF(D2="——",C40,C40+E2)</f>
        <v>#DIV/0!</v>
      </c>
      <c r="C2" s="2843" t="s">
        <v>2319</v>
      </c>
      <c r="D2" s="3442" t="s">
        <v>3365</v>
      </c>
      <c r="E2" s="3443"/>
      <c r="F2" s="2845"/>
      <c r="G2" s="2846"/>
      <c r="H2" s="2847"/>
      <c r="I2" s="2848"/>
      <c r="J2" s="3771" t="s">
        <v>2320</v>
      </c>
      <c r="K2" s="3772"/>
      <c r="L2" s="2849" t="s">
        <v>2321</v>
      </c>
      <c r="M2" s="2849" t="s">
        <v>2322</v>
      </c>
      <c r="N2" s="2849" t="s">
        <v>2323</v>
      </c>
      <c r="O2" s="2849" t="s">
        <v>2324</v>
      </c>
      <c r="P2" s="2849" t="s">
        <v>2325</v>
      </c>
      <c r="Q2" s="2850" t="s">
        <v>2326</v>
      </c>
      <c r="R2" s="2851" t="s">
        <v>2327</v>
      </c>
      <c r="S2" s="2840"/>
      <c r="T2" s="2840"/>
      <c r="U2" s="2840"/>
      <c r="V2" s="2848"/>
    </row>
    <row r="3" spans="1:22" s="2852" customFormat="1" ht="13.15" customHeight="1">
      <c r="A3" s="2853" t="s">
        <v>2328</v>
      </c>
      <c r="B3" s="2854" t="e">
        <f>ROUND(B2*10000/B4,0)</f>
        <v>#DIV/0!</v>
      </c>
      <c r="C3" s="2843" t="s">
        <v>2329</v>
      </c>
      <c r="D3" s="2843"/>
      <c r="E3" s="2844"/>
      <c r="F3" s="2845"/>
      <c r="G3" s="2846"/>
      <c r="H3" s="2847"/>
      <c r="I3" s="2848"/>
      <c r="J3" s="3773" t="s">
        <v>2330</v>
      </c>
      <c r="K3" s="3774"/>
      <c r="L3" s="2855"/>
      <c r="M3" s="2855"/>
      <c r="N3" s="2855"/>
      <c r="O3" s="2855"/>
      <c r="P3" s="2855"/>
      <c r="Q3" s="2856"/>
      <c r="R3" s="2857">
        <f>SUM(L3:Q3)</f>
        <v>0</v>
      </c>
      <c r="S3" s="2840"/>
      <c r="T3" s="2840"/>
      <c r="U3" s="2840"/>
      <c r="V3" s="2848"/>
    </row>
    <row r="4" spans="1:22" s="2852" customFormat="1" ht="13.15" customHeight="1">
      <c r="A4" s="2858" t="s">
        <v>2331</v>
      </c>
      <c r="B4" s="2859"/>
      <c r="C4" s="2843"/>
      <c r="D4" s="2843"/>
      <c r="E4" s="2844"/>
      <c r="F4" s="2845"/>
      <c r="G4" s="2846"/>
      <c r="H4" s="2847"/>
      <c r="I4" s="2848"/>
      <c r="J4" s="3773" t="s">
        <v>2332</v>
      </c>
      <c r="K4" s="3774"/>
      <c r="L4" s="2860"/>
      <c r="M4" s="2860"/>
      <c r="N4" s="2860"/>
      <c r="O4" s="2860"/>
      <c r="P4" s="2860"/>
      <c r="Q4" s="2861"/>
      <c r="R4" s="2862">
        <f>SUM(L4:Q4)</f>
        <v>0</v>
      </c>
      <c r="S4" s="2840"/>
      <c r="T4" s="2840"/>
      <c r="U4" s="2840"/>
      <c r="V4" s="2848"/>
    </row>
    <row r="5" spans="1:22" s="2852" customFormat="1" ht="13.15" customHeight="1" thickBot="1">
      <c r="A5" s="2863" t="s">
        <v>2333</v>
      </c>
      <c r="B5" s="2864"/>
      <c r="C5" s="2843"/>
      <c r="D5" s="2865"/>
      <c r="E5" s="2845"/>
      <c r="F5" s="2845"/>
      <c r="G5" s="2846"/>
      <c r="H5" s="2847"/>
      <c r="I5" s="2848"/>
      <c r="J5" s="2866" t="s">
        <v>2334</v>
      </c>
      <c r="K5" s="2867"/>
      <c r="L5" s="2867"/>
      <c r="M5" s="2868"/>
      <c r="N5" s="2868"/>
      <c r="O5" s="2868"/>
      <c r="P5" s="2868"/>
      <c r="Q5" s="2868"/>
      <c r="R5" s="2851">
        <f>SUM(R14,R19,R24,R25,R27,R28)</f>
        <v>0</v>
      </c>
      <c r="S5" s="2840"/>
      <c r="T5" s="2840" t="s">
        <v>2335</v>
      </c>
      <c r="U5" s="2840" t="e">
        <f>ROUND(R5*10000/365/R3,1)</f>
        <v>#DIV/0!</v>
      </c>
      <c r="V5" s="2848"/>
    </row>
    <row r="6" spans="1:22" s="2852" customFormat="1" ht="13.15" customHeight="1" thickBot="1">
      <c r="A6" s="3775" t="s">
        <v>2336</v>
      </c>
      <c r="B6" s="3776"/>
      <c r="C6" s="3777"/>
      <c r="D6" s="2869"/>
      <c r="E6" s="2870"/>
      <c r="F6" s="2871"/>
      <c r="G6" s="2872"/>
      <c r="H6" s="2847"/>
      <c r="I6" s="2848"/>
      <c r="J6" s="3778">
        <v>1</v>
      </c>
      <c r="K6" s="3779" t="s">
        <v>2337</v>
      </c>
      <c r="L6" s="2873" t="s">
        <v>2338</v>
      </c>
      <c r="M6" s="2874" t="s">
        <v>2339</v>
      </c>
      <c r="N6" s="2874" t="s">
        <v>2340</v>
      </c>
      <c r="O6" s="2874" t="s">
        <v>2341</v>
      </c>
      <c r="P6" s="2874" t="s">
        <v>2342</v>
      </c>
      <c r="Q6" s="2874" t="s">
        <v>2343</v>
      </c>
      <c r="R6" s="2857" t="s">
        <v>2344</v>
      </c>
      <c r="S6" s="2840"/>
      <c r="T6" s="2840" t="s">
        <v>2345</v>
      </c>
      <c r="U6" s="2840"/>
      <c r="V6" s="2848"/>
    </row>
    <row r="7" spans="1:22" s="2852" customFormat="1" ht="13.15" customHeight="1">
      <c r="A7" s="2875" t="s">
        <v>2346</v>
      </c>
      <c r="B7" s="2876"/>
      <c r="C7" s="2877"/>
      <c r="D7" s="2878">
        <f>SUM(D9,D10,D11,D17,0)</f>
        <v>0</v>
      </c>
      <c r="E7" s="2879" t="e">
        <f>E9+E10+E11+E17</f>
        <v>#DIV/0!</v>
      </c>
      <c r="F7" s="2880"/>
      <c r="G7" s="2881"/>
      <c r="H7" s="2847"/>
      <c r="I7" s="2848"/>
      <c r="J7" s="3778"/>
      <c r="K7" s="3780"/>
      <c r="L7" s="2882" t="s">
        <v>2347</v>
      </c>
      <c r="M7" s="2883"/>
      <c r="N7" s="2859"/>
      <c r="O7" s="2884"/>
      <c r="P7" s="2884"/>
      <c r="Q7" s="2885">
        <v>365</v>
      </c>
      <c r="R7" s="2886">
        <f>ROUND(M7*N7*O7*P7*Q7/10000,0)</f>
        <v>0</v>
      </c>
      <c r="S7" s="2840"/>
      <c r="T7" s="2840" t="s">
        <v>2348</v>
      </c>
      <c r="U7" s="2840"/>
      <c r="V7" s="2848"/>
    </row>
    <row r="8" spans="1:22" s="2852" customFormat="1" ht="13.15" customHeight="1">
      <c r="A8" s="2887" t="s">
        <v>2349</v>
      </c>
      <c r="B8" s="3782" t="s">
        <v>2350</v>
      </c>
      <c r="C8" s="3783"/>
      <c r="D8" s="2888" t="s">
        <v>2351</v>
      </c>
      <c r="E8" s="2889" t="s">
        <v>2352</v>
      </c>
      <c r="F8" s="2890" t="s">
        <v>2353</v>
      </c>
      <c r="G8" s="2891"/>
      <c r="H8" s="2847"/>
      <c r="I8" s="2848"/>
      <c r="J8" s="3778"/>
      <c r="K8" s="3780"/>
      <c r="L8" s="2882" t="s">
        <v>2354</v>
      </c>
      <c r="M8" s="2883"/>
      <c r="N8" s="2859"/>
      <c r="O8" s="2884"/>
      <c r="P8" s="2884"/>
      <c r="Q8" s="2885">
        <v>365</v>
      </c>
      <c r="R8" s="2886">
        <f t="shared" ref="R8:R13" si="0">ROUND(M8*N8*O8*P8*Q8/10000,0)</f>
        <v>0</v>
      </c>
      <c r="S8" s="2840"/>
      <c r="T8" s="2840" t="s">
        <v>2355</v>
      </c>
      <c r="U8" s="2840"/>
      <c r="V8" s="2848"/>
    </row>
    <row r="9" spans="1:22" s="2852" customFormat="1" ht="13.15" customHeight="1">
      <c r="A9" s="2887">
        <v>1</v>
      </c>
      <c r="B9" s="3782" t="s">
        <v>2356</v>
      </c>
      <c r="C9" s="3783"/>
      <c r="D9" s="2888">
        <f>ROUND(D6*E9,0)</f>
        <v>0</v>
      </c>
      <c r="E9" s="2892"/>
      <c r="F9" s="2893" t="s">
        <v>2357</v>
      </c>
      <c r="G9" s="2872"/>
      <c r="H9" s="2847"/>
      <c r="I9" s="2848"/>
      <c r="J9" s="3778"/>
      <c r="K9" s="3780"/>
      <c r="L9" s="2882" t="s">
        <v>2358</v>
      </c>
      <c r="M9" s="2883"/>
      <c r="N9" s="2859"/>
      <c r="O9" s="2884"/>
      <c r="P9" s="2884"/>
      <c r="Q9" s="2885">
        <v>365</v>
      </c>
      <c r="R9" s="2886">
        <f t="shared" si="0"/>
        <v>0</v>
      </c>
      <c r="S9" s="2840"/>
      <c r="T9" s="2840"/>
      <c r="U9" s="2840"/>
      <c r="V9" s="2848"/>
    </row>
    <row r="10" spans="1:22" s="2852" customFormat="1" ht="13.15" customHeight="1">
      <c r="A10" s="2887">
        <v>2</v>
      </c>
      <c r="B10" s="3782" t="s">
        <v>2359</v>
      </c>
      <c r="C10" s="3783"/>
      <c r="D10" s="2888">
        <f>ROUND(D6*E10,0)</f>
        <v>0</v>
      </c>
      <c r="E10" s="2892"/>
      <c r="F10" s="2893" t="s">
        <v>2360</v>
      </c>
      <c r="G10" s="2872"/>
      <c r="H10" s="2847"/>
      <c r="I10" s="2848"/>
      <c r="J10" s="3778"/>
      <c r="K10" s="3780"/>
      <c r="L10" s="2882" t="s">
        <v>2361</v>
      </c>
      <c r="M10" s="2883"/>
      <c r="N10" s="2859"/>
      <c r="O10" s="2884"/>
      <c r="P10" s="2884"/>
      <c r="Q10" s="2885">
        <v>365</v>
      </c>
      <c r="R10" s="2886">
        <f t="shared" si="0"/>
        <v>0</v>
      </c>
      <c r="S10" s="2840"/>
      <c r="T10" s="2840"/>
      <c r="U10" s="2840"/>
      <c r="V10" s="2848"/>
    </row>
    <row r="11" spans="1:22" s="2852" customFormat="1" ht="13.15" customHeight="1">
      <c r="A11" s="2887">
        <v>3</v>
      </c>
      <c r="B11" s="3782" t="s">
        <v>2362</v>
      </c>
      <c r="C11" s="3783"/>
      <c r="D11" s="2888">
        <f>D12+D14+D15+D16</f>
        <v>0</v>
      </c>
      <c r="E11" s="2894" t="e">
        <f>D11/D6</f>
        <v>#DIV/0!</v>
      </c>
      <c r="F11" s="2890"/>
      <c r="G11" s="2891"/>
      <c r="H11" s="2847"/>
      <c r="I11" s="2848"/>
      <c r="J11" s="3778"/>
      <c r="K11" s="3780"/>
      <c r="L11" s="2882" t="s">
        <v>2363</v>
      </c>
      <c r="M11" s="2883"/>
      <c r="N11" s="2859"/>
      <c r="O11" s="2884"/>
      <c r="P11" s="2884"/>
      <c r="Q11" s="2885">
        <v>365</v>
      </c>
      <c r="R11" s="2886">
        <f t="shared" si="0"/>
        <v>0</v>
      </c>
      <c r="S11" s="2840"/>
      <c r="T11" s="2840"/>
      <c r="U11" s="2840"/>
      <c r="V11" s="2848"/>
    </row>
    <row r="12" spans="1:22" s="2852" customFormat="1" ht="13.15" customHeight="1">
      <c r="A12" s="2895" t="s">
        <v>2364</v>
      </c>
      <c r="B12" s="3784" t="s">
        <v>2365</v>
      </c>
      <c r="C12" s="3785"/>
      <c r="D12" s="2896">
        <f>ROUND(D13*1.2%*(1-30%),0)</f>
        <v>0</v>
      </c>
      <c r="E12" s="2897">
        <v>1.2E-2</v>
      </c>
      <c r="F12" s="2890" t="s">
        <v>2366</v>
      </c>
      <c r="G12" s="2891"/>
      <c r="H12" s="2847"/>
      <c r="I12" s="2848"/>
      <c r="J12" s="3778"/>
      <c r="K12" s="3780"/>
      <c r="L12" s="2882" t="s">
        <v>2367</v>
      </c>
      <c r="M12" s="2883"/>
      <c r="N12" s="2859"/>
      <c r="O12" s="2884"/>
      <c r="P12" s="2884"/>
      <c r="Q12" s="2885">
        <v>365</v>
      </c>
      <c r="R12" s="2886">
        <f t="shared" si="0"/>
        <v>0</v>
      </c>
      <c r="S12" s="2840"/>
      <c r="T12" s="2840"/>
      <c r="U12" s="2840"/>
      <c r="V12" s="2848"/>
    </row>
    <row r="13" spans="1:22" s="2852" customFormat="1" ht="13.15" customHeight="1">
      <c r="A13" s="2895"/>
      <c r="B13" s="2898"/>
      <c r="C13" s="2899" t="s">
        <v>2368</v>
      </c>
      <c r="D13" s="2900"/>
      <c r="E13" s="2901"/>
      <c r="F13" s="2890"/>
      <c r="G13" s="2891"/>
      <c r="H13" s="2847"/>
      <c r="I13" s="2848"/>
      <c r="J13" s="3778"/>
      <c r="K13" s="3780"/>
      <c r="L13" s="2882" t="s">
        <v>2369</v>
      </c>
      <c r="M13" s="2883"/>
      <c r="N13" s="2859"/>
      <c r="O13" s="2884"/>
      <c r="P13" s="2884"/>
      <c r="Q13" s="2885">
        <v>365</v>
      </c>
      <c r="R13" s="2886">
        <f t="shared" si="0"/>
        <v>0</v>
      </c>
      <c r="S13" s="2840"/>
      <c r="T13" s="2840"/>
      <c r="U13" s="2840"/>
      <c r="V13" s="2848"/>
    </row>
    <row r="14" spans="1:22" s="2852" customFormat="1" ht="13.15" customHeight="1">
      <c r="A14" s="2895" t="s">
        <v>2370</v>
      </c>
      <c r="B14" s="3784" t="s">
        <v>2371</v>
      </c>
      <c r="C14" s="3785"/>
      <c r="D14" s="2896">
        <f>ROUND(E14*B5/10000,0)</f>
        <v>0</v>
      </c>
      <c r="E14" s="2885"/>
      <c r="F14" s="2890" t="s">
        <v>2372</v>
      </c>
      <c r="G14" s="2891"/>
      <c r="H14" s="2847"/>
      <c r="I14" s="2848"/>
      <c r="J14" s="3778"/>
      <c r="K14" s="3781"/>
      <c r="L14" s="2902" t="s">
        <v>2373</v>
      </c>
      <c r="M14" s="2903">
        <f>SUM(M7:M13)</f>
        <v>0</v>
      </c>
      <c r="N14" s="2903" t="e">
        <f>ROUND((N7*M7+N8*M8+N9*M9+N10*M10+N11*M11+N12*M12+N13*M13)/M14,0)</f>
        <v>#DIV/0!</v>
      </c>
      <c r="O14" s="2904"/>
      <c r="P14" s="2904"/>
      <c r="Q14" s="2905"/>
      <c r="R14" s="2851">
        <f>SUM(R7:R13)</f>
        <v>0</v>
      </c>
      <c r="S14" s="2840"/>
      <c r="T14" s="2840"/>
      <c r="U14" s="2840"/>
      <c r="V14" s="2848"/>
    </row>
    <row r="15" spans="1:22" s="2852" customFormat="1" ht="13.15" customHeight="1">
      <c r="A15" s="2895" t="s">
        <v>2374</v>
      </c>
      <c r="B15" s="3784" t="s">
        <v>2375</v>
      </c>
      <c r="C15" s="3785"/>
      <c r="D15" s="2896">
        <f>ROUND(D6*E15,0)</f>
        <v>0</v>
      </c>
      <c r="E15" s="2897">
        <v>5.5E-2</v>
      </c>
      <c r="F15" s="2890" t="s">
        <v>2376</v>
      </c>
      <c r="G15" s="2872"/>
      <c r="H15" s="2847"/>
      <c r="I15" s="2848"/>
      <c r="J15" s="3778">
        <v>2</v>
      </c>
      <c r="K15" s="3779" t="s">
        <v>2377</v>
      </c>
      <c r="L15" s="2882" t="s">
        <v>2378</v>
      </c>
      <c r="M15" s="2883" t="s">
        <v>2379</v>
      </c>
      <c r="N15" s="2883" t="s">
        <v>2380</v>
      </c>
      <c r="O15" s="2884" t="s">
        <v>2381</v>
      </c>
      <c r="P15" s="2884" t="s">
        <v>2343</v>
      </c>
      <c r="Q15" s="2859" t="s">
        <v>2382</v>
      </c>
      <c r="R15" s="2906" t="s">
        <v>2344</v>
      </c>
      <c r="S15" s="2840"/>
      <c r="T15" s="2840"/>
      <c r="U15" s="2840"/>
      <c r="V15" s="2848"/>
    </row>
    <row r="16" spans="1:22" s="2852" customFormat="1" ht="13.15" customHeight="1">
      <c r="A16" s="2895" t="s">
        <v>2383</v>
      </c>
      <c r="B16" s="3784" t="s">
        <v>2384</v>
      </c>
      <c r="C16" s="3785"/>
      <c r="D16" s="2907">
        <f>D6*E16</f>
        <v>0</v>
      </c>
      <c r="E16" s="2908"/>
      <c r="F16" s="2893" t="s">
        <v>2385</v>
      </c>
      <c r="G16" s="2872"/>
      <c r="H16" s="2847"/>
      <c r="I16" s="2848"/>
      <c r="J16" s="3778"/>
      <c r="K16" s="3780"/>
      <c r="L16" s="2882" t="s">
        <v>2386</v>
      </c>
      <c r="M16" s="2883"/>
      <c r="N16" s="2883"/>
      <c r="O16" s="2884"/>
      <c r="P16" s="2885">
        <v>365</v>
      </c>
      <c r="Q16" s="2859"/>
      <c r="R16" s="2906">
        <f>ROUND(M16*N16*O16*P16/10000,0)</f>
        <v>0</v>
      </c>
      <c r="S16" s="2840"/>
      <c r="T16" s="2840"/>
      <c r="U16" s="2840"/>
      <c r="V16" s="2848"/>
    </row>
    <row r="17" spans="1:22" s="2852" customFormat="1" ht="13.15" customHeight="1" thickBot="1">
      <c r="A17" s="2909">
        <v>4</v>
      </c>
      <c r="B17" s="3786" t="s">
        <v>2387</v>
      </c>
      <c r="C17" s="3787"/>
      <c r="D17" s="2910">
        <f>ROUND(D6*E17,0)</f>
        <v>0</v>
      </c>
      <c r="E17" s="2911"/>
      <c r="F17" s="2912" t="s">
        <v>2388</v>
      </c>
      <c r="G17" s="2872"/>
      <c r="H17" s="2847"/>
      <c r="I17" s="2848"/>
      <c r="J17" s="3778"/>
      <c r="K17" s="3780"/>
      <c r="L17" s="2882" t="s">
        <v>2389</v>
      </c>
      <c r="M17" s="2883"/>
      <c r="N17" s="2883"/>
      <c r="O17" s="2884"/>
      <c r="P17" s="2885">
        <v>365</v>
      </c>
      <c r="Q17" s="2859"/>
      <c r="R17" s="2906">
        <f>ROUND(M17*N17*O17*P17/10000,0)</f>
        <v>0</v>
      </c>
      <c r="S17" s="2840"/>
      <c r="T17" s="2840"/>
      <c r="U17" s="2840"/>
      <c r="V17" s="2848"/>
    </row>
    <row r="18" spans="1:22" s="2852" customFormat="1" ht="13.15" customHeight="1" thickBot="1">
      <c r="A18" s="2875" t="s">
        <v>2390</v>
      </c>
      <c r="B18" s="2876"/>
      <c r="C18" s="2876"/>
      <c r="D18" s="2913">
        <f>ROUND(D6*E18,0)</f>
        <v>0</v>
      </c>
      <c r="E18" s="2914"/>
      <c r="F18" s="2915" t="s">
        <v>2391</v>
      </c>
      <c r="G18" s="2872"/>
      <c r="H18" s="2847"/>
      <c r="I18" s="2848"/>
      <c r="J18" s="3778"/>
      <c r="K18" s="3780"/>
      <c r="L18" s="2882" t="s">
        <v>2392</v>
      </c>
      <c r="M18" s="2883"/>
      <c r="N18" s="2883"/>
      <c r="O18" s="2884"/>
      <c r="P18" s="2885">
        <v>365</v>
      </c>
      <c r="Q18" s="2859"/>
      <c r="R18" s="2906">
        <f>ROUND(M18*N18*O18*P18/10000,0)</f>
        <v>0</v>
      </c>
      <c r="S18" s="2840"/>
      <c r="T18" s="2840"/>
      <c r="U18" s="2840"/>
      <c r="V18" s="2848"/>
    </row>
    <row r="19" spans="1:22" s="2852" customFormat="1" ht="13.15" customHeight="1" thickBot="1">
      <c r="A19" s="2916" t="s">
        <v>2393</v>
      </c>
      <c r="B19" s="2870"/>
      <c r="C19" s="2870"/>
      <c r="D19" s="2870"/>
      <c r="E19" s="2870"/>
      <c r="F19" s="2871"/>
      <c r="G19" s="2891"/>
      <c r="H19" s="2847"/>
      <c r="I19" s="2848"/>
      <c r="J19" s="3778"/>
      <c r="K19" s="3781"/>
      <c r="L19" s="2902" t="s">
        <v>2373</v>
      </c>
      <c r="M19" s="2903"/>
      <c r="N19" s="2903">
        <f>SUM(N16:N18)</f>
        <v>0</v>
      </c>
      <c r="O19" s="2904"/>
      <c r="P19" s="2917" t="s">
        <v>2437</v>
      </c>
      <c r="Q19" s="2884">
        <v>0</v>
      </c>
      <c r="R19" s="2918">
        <f>ROUND(IF(P19="按比例",R14*Q19,SUM(R16:R18)),0)</f>
        <v>0</v>
      </c>
      <c r="S19" s="2840"/>
      <c r="T19" s="2840"/>
      <c r="U19" s="2840"/>
      <c r="V19" s="2848"/>
    </row>
    <row r="20" spans="1:22" s="2852" customFormat="1" ht="13.15" customHeight="1">
      <c r="A20" s="2875"/>
      <c r="B20" s="2876"/>
      <c r="C20" s="2876"/>
      <c r="D20" s="2876"/>
      <c r="E20" s="2876"/>
      <c r="F20" s="2919"/>
      <c r="G20" s="2891"/>
      <c r="H20" s="2847"/>
      <c r="I20" s="2848"/>
      <c r="J20" s="3778">
        <v>3</v>
      </c>
      <c r="K20" s="3779" t="s">
        <v>2394</v>
      </c>
      <c r="L20" s="2882" t="s">
        <v>2395</v>
      </c>
      <c r="M20" s="2883" t="s">
        <v>2396</v>
      </c>
      <c r="N20" s="2920" t="s">
        <v>2397</v>
      </c>
      <c r="O20" s="2884" t="s">
        <v>2398</v>
      </c>
      <c r="P20" s="2885" t="s">
        <v>2399</v>
      </c>
      <c r="Q20" s="2859" t="s">
        <v>2400</v>
      </c>
      <c r="R20" s="2906" t="s">
        <v>2401</v>
      </c>
      <c r="S20" s="2921"/>
      <c r="T20" s="2921"/>
      <c r="U20" s="2921"/>
      <c r="V20" s="2848"/>
    </row>
    <row r="21" spans="1:22" s="2852" customFormat="1" ht="13.15" customHeight="1">
      <c r="A21" s="2875"/>
      <c r="B21" s="2876"/>
      <c r="C21" s="2922" t="s">
        <v>2402</v>
      </c>
      <c r="D21" s="2923" t="s">
        <v>2403</v>
      </c>
      <c r="E21" s="2924" t="s">
        <v>2404</v>
      </c>
      <c r="F21" s="2919"/>
      <c r="G21" s="2891"/>
      <c r="H21" s="2847"/>
      <c r="I21" s="2848"/>
      <c r="J21" s="3778"/>
      <c r="K21" s="3780"/>
      <c r="L21" s="2882" t="s">
        <v>2405</v>
      </c>
      <c r="M21" s="2883"/>
      <c r="N21" s="2883"/>
      <c r="O21" s="2884"/>
      <c r="P21" s="2885">
        <v>365</v>
      </c>
      <c r="Q21" s="2859"/>
      <c r="R21" s="2925">
        <f>ROUND(M21*N21*O21*P21/10000,0)</f>
        <v>0</v>
      </c>
      <c r="S21" s="2921"/>
      <c r="T21" s="2921"/>
      <c r="U21" s="2921"/>
      <c r="V21" s="2848"/>
    </row>
    <row r="22" spans="1:22" s="2852" customFormat="1" ht="13.15" customHeight="1">
      <c r="A22" s="2875"/>
      <c r="B22" s="2876"/>
      <c r="C22" s="2926" t="s">
        <v>2406</v>
      </c>
      <c r="D22" s="2927" t="s">
        <v>2407</v>
      </c>
      <c r="E22" s="2928" t="s">
        <v>2408</v>
      </c>
      <c r="F22" s="2919"/>
      <c r="G22" s="2929"/>
      <c r="H22" s="2847"/>
      <c r="I22" s="2848"/>
      <c r="J22" s="3778"/>
      <c r="K22" s="3780"/>
      <c r="L22" s="2882" t="s">
        <v>2409</v>
      </c>
      <c r="M22" s="2883"/>
      <c r="N22" s="2883"/>
      <c r="O22" s="2884"/>
      <c r="P22" s="2885">
        <v>365</v>
      </c>
      <c r="Q22" s="2859"/>
      <c r="R22" s="2925">
        <f>ROUND(M22*N22*O22*P22/10000,0)</f>
        <v>0</v>
      </c>
      <c r="S22" s="2921"/>
      <c r="T22" s="2921"/>
      <c r="U22" s="2921"/>
      <c r="V22" s="2848"/>
    </row>
    <row r="23" spans="1:22" s="2852" customFormat="1" ht="13.15" customHeight="1">
      <c r="A23" s="2930">
        <v>1</v>
      </c>
      <c r="B23" s="2931" t="s">
        <v>2410</v>
      </c>
      <c r="C23" s="2932">
        <f>D6</f>
        <v>0</v>
      </c>
      <c r="D23" s="2933">
        <f>C23*(1+D24)</f>
        <v>0</v>
      </c>
      <c r="E23" s="2934">
        <f>D23*(1+E24)</f>
        <v>0</v>
      </c>
      <c r="F23" s="2935"/>
      <c r="G23" s="2936"/>
      <c r="H23" s="2847"/>
      <c r="I23" s="2848"/>
      <c r="J23" s="3778"/>
      <c r="K23" s="3780"/>
      <c r="L23" s="2882" t="s">
        <v>2411</v>
      </c>
      <c r="M23" s="2883"/>
      <c r="N23" s="2883"/>
      <c r="O23" s="2884"/>
      <c r="P23" s="2885">
        <v>365</v>
      </c>
      <c r="Q23" s="2859"/>
      <c r="R23" s="2925">
        <f>ROUND(M23*N23*O23*P23/10000,0)</f>
        <v>0</v>
      </c>
      <c r="S23" s="2840"/>
      <c r="T23" s="2840"/>
      <c r="U23" s="2840"/>
      <c r="V23" s="2848"/>
    </row>
    <row r="24" spans="1:22" s="2852" customFormat="1" ht="13.15" customHeight="1">
      <c r="A24" s="2937"/>
      <c r="B24" s="2938" t="s">
        <v>2412</v>
      </c>
      <c r="C24" s="2939"/>
      <c r="D24" s="2940"/>
      <c r="E24" s="2941"/>
      <c r="F24" s="2942"/>
      <c r="G24" s="2936"/>
      <c r="H24" s="2847"/>
      <c r="I24" s="2848"/>
      <c r="J24" s="3778"/>
      <c r="K24" s="3781"/>
      <c r="L24" s="2902" t="s">
        <v>2373</v>
      </c>
      <c r="M24" s="2903">
        <f>SUM(M21:M23)</f>
        <v>0</v>
      </c>
      <c r="N24" s="2903"/>
      <c r="O24" s="2904"/>
      <c r="P24" s="2917" t="s">
        <v>2437</v>
      </c>
      <c r="Q24" s="2884">
        <v>0</v>
      </c>
      <c r="R24" s="2918">
        <f>ROUND(IF(P24="按比例",R14*Q24,SUM(R21:R23)),0)</f>
        <v>0</v>
      </c>
      <c r="S24" s="2840"/>
      <c r="T24" s="2840"/>
      <c r="U24" s="2840"/>
      <c r="V24" s="2848"/>
    </row>
    <row r="25" spans="1:22" s="2949" customFormat="1" ht="13.15" customHeight="1">
      <c r="A25" s="2937"/>
      <c r="B25" s="2938"/>
      <c r="C25" s="2939"/>
      <c r="D25" s="2940"/>
      <c r="E25" s="2941"/>
      <c r="F25" s="2942"/>
      <c r="G25" s="2929"/>
      <c r="H25" s="2847"/>
      <c r="I25" s="2848"/>
      <c r="J25" s="2943">
        <v>4</v>
      </c>
      <c r="K25" s="2944" t="s">
        <v>2413</v>
      </c>
      <c r="L25" s="2945"/>
      <c r="M25" s="2945"/>
      <c r="N25" s="2945"/>
      <c r="O25" s="2945"/>
      <c r="P25" s="2946"/>
      <c r="Q25" s="2947">
        <v>0</v>
      </c>
      <c r="R25" s="2918">
        <f>ROUND(R14*Q25,0)</f>
        <v>0</v>
      </c>
      <c r="S25" s="2840"/>
      <c r="T25" s="2840"/>
      <c r="U25" s="2840"/>
      <c r="V25" s="2948"/>
    </row>
    <row r="26" spans="1:22" s="2949" customFormat="1" ht="13.15" customHeight="1">
      <c r="A26" s="2930">
        <v>2</v>
      </c>
      <c r="B26" s="2931" t="s">
        <v>2414</v>
      </c>
      <c r="C26" s="2932">
        <f>D7</f>
        <v>0</v>
      </c>
      <c r="D26" s="2933">
        <f>D23*D27</f>
        <v>0</v>
      </c>
      <c r="E26" s="2934">
        <f>E23*E27</f>
        <v>0</v>
      </c>
      <c r="F26" s="2935"/>
      <c r="G26" s="2936"/>
      <c r="H26" s="2847"/>
      <c r="I26" s="2848"/>
      <c r="J26" s="3788">
        <v>5</v>
      </c>
      <c r="K26" s="2950" t="s">
        <v>2415</v>
      </c>
      <c r="L26" s="2951"/>
      <c r="M26" s="2952"/>
      <c r="N26" s="2953" t="s">
        <v>2416</v>
      </c>
      <c r="O26" s="2953" t="s">
        <v>2417</v>
      </c>
      <c r="P26" s="2954" t="s">
        <v>2418</v>
      </c>
      <c r="Q26" s="2954" t="s">
        <v>2419</v>
      </c>
      <c r="R26" s="2857" t="s">
        <v>2344</v>
      </c>
      <c r="S26" s="2955"/>
      <c r="T26" s="2955"/>
      <c r="U26" s="2955"/>
      <c r="V26" s="2948"/>
    </row>
    <row r="27" spans="1:22" s="2852" customFormat="1" ht="13.15" customHeight="1">
      <c r="A27" s="2937"/>
      <c r="B27" s="2938" t="s">
        <v>2420</v>
      </c>
      <c r="C27" s="2956" t="e">
        <f>E7</f>
        <v>#DIV/0!</v>
      </c>
      <c r="D27" s="2940"/>
      <c r="E27" s="2941"/>
      <c r="F27" s="2942"/>
      <c r="G27" s="2936"/>
      <c r="H27" s="2957"/>
      <c r="I27" s="2948"/>
      <c r="J27" s="3789"/>
      <c r="K27" s="2958"/>
      <c r="L27" s="2959"/>
      <c r="M27" s="2960"/>
      <c r="N27" s="2961"/>
      <c r="O27" s="2961"/>
      <c r="P27" s="2961"/>
      <c r="Q27" s="2962"/>
      <c r="R27" s="2918">
        <f>ROUND(O27*N27*P27*(1-Q27)/10000,0)</f>
        <v>0</v>
      </c>
      <c r="S27" s="2840"/>
      <c r="T27" s="2840"/>
      <c r="U27" s="2840"/>
      <c r="V27" s="2848"/>
    </row>
    <row r="28" spans="1:22" s="2949" customFormat="1" ht="13.15" customHeight="1" thickBot="1">
      <c r="A28" s="2937"/>
      <c r="B28" s="2938"/>
      <c r="C28" s="2956"/>
      <c r="D28" s="2940"/>
      <c r="E28" s="2941" t="s">
        <v>2421</v>
      </c>
      <c r="F28" s="2942"/>
      <c r="G28" s="2929"/>
      <c r="H28" s="2957"/>
      <c r="I28" s="2948"/>
      <c r="J28" s="2963">
        <v>6</v>
      </c>
      <c r="K28" s="2964" t="s">
        <v>2422</v>
      </c>
      <c r="L28" s="2965" t="s">
        <v>2423</v>
      </c>
      <c r="M28" s="2966"/>
      <c r="N28" s="2965" t="s">
        <v>2424</v>
      </c>
      <c r="O28" s="2967"/>
      <c r="P28" s="2965" t="s">
        <v>2425</v>
      </c>
      <c r="Q28" s="2968">
        <v>1.4999999999999999E-2</v>
      </c>
      <c r="R28" s="2969"/>
      <c r="S28" s="2921"/>
      <c r="T28" s="2921"/>
      <c r="U28" s="2921"/>
      <c r="V28" s="2948"/>
    </row>
    <row r="29" spans="1:22" s="2949" customFormat="1" ht="13.15" customHeight="1">
      <c r="A29" s="2930">
        <v>3</v>
      </c>
      <c r="B29" s="2931" t="s">
        <v>2426</v>
      </c>
      <c r="C29" s="2932">
        <f>C23*C30</f>
        <v>0</v>
      </c>
      <c r="D29" s="2933">
        <f>D23*C30</f>
        <v>0</v>
      </c>
      <c r="E29" s="2934">
        <f>E23*C30</f>
        <v>0</v>
      </c>
      <c r="F29" s="2935"/>
      <c r="G29" s="2936"/>
      <c r="H29" s="2847"/>
      <c r="I29" s="2848"/>
      <c r="J29" s="2921"/>
      <c r="K29" s="2921"/>
      <c r="L29" s="2921"/>
      <c r="M29" s="2921"/>
      <c r="N29" s="2921"/>
      <c r="O29" s="2921"/>
      <c r="P29" s="2921"/>
      <c r="Q29" s="2921"/>
      <c r="R29" s="2921"/>
      <c r="S29" s="2921"/>
      <c r="T29" s="2921"/>
      <c r="U29" s="2921"/>
      <c r="V29" s="2948"/>
    </row>
    <row r="30" spans="1:22" s="2852" customFormat="1" ht="13.15" customHeight="1" thickBot="1">
      <c r="A30" s="2937"/>
      <c r="B30" s="2938" t="s">
        <v>2420</v>
      </c>
      <c r="C30" s="2956">
        <f>E18</f>
        <v>0</v>
      </c>
      <c r="D30" s="2970"/>
      <c r="E30" s="2901"/>
      <c r="F30" s="2942"/>
      <c r="G30" s="2936"/>
      <c r="H30" s="2957"/>
      <c r="I30" s="2948"/>
      <c r="J30" s="2921"/>
      <c r="K30" s="2921"/>
      <c r="L30" s="2921"/>
      <c r="M30" s="2921"/>
      <c r="N30" s="2921"/>
      <c r="O30" s="2921"/>
      <c r="P30" s="2921"/>
      <c r="Q30" s="2921"/>
      <c r="R30" s="2921"/>
      <c r="S30" s="2921"/>
      <c r="T30" s="2921"/>
      <c r="U30" s="2840"/>
      <c r="V30" s="2848"/>
    </row>
    <row r="31" spans="1:22" s="2949" customFormat="1" ht="13.15" customHeight="1">
      <c r="A31" s="2937"/>
      <c r="B31" s="2938"/>
      <c r="C31" s="2971"/>
      <c r="D31" s="2970"/>
      <c r="E31" s="2901"/>
      <c r="F31" s="2942"/>
      <c r="G31" s="2929"/>
      <c r="H31" s="2957"/>
      <c r="I31" s="2948"/>
      <c r="J31" s="2837" t="s">
        <v>2427</v>
      </c>
      <c r="K31" s="2838"/>
      <c r="L31" s="2838"/>
      <c r="M31" s="2838"/>
      <c r="N31" s="2838"/>
      <c r="O31" s="2838"/>
      <c r="P31" s="2838"/>
      <c r="Q31" s="2838"/>
      <c r="R31" s="2839"/>
      <c r="S31" s="2921"/>
      <c r="T31" s="2840"/>
      <c r="U31" s="2840"/>
      <c r="V31" s="2948"/>
    </row>
    <row r="32" spans="1:22" s="2949" customFormat="1" ht="13.15" customHeight="1">
      <c r="A32" s="2930">
        <v>4</v>
      </c>
      <c r="B32" s="2931" t="s">
        <v>2428</v>
      </c>
      <c r="C32" s="2932">
        <f>C23-C26-C29</f>
        <v>0</v>
      </c>
      <c r="D32" s="2933">
        <f>D23-D26-D29</f>
        <v>0</v>
      </c>
      <c r="E32" s="2934">
        <f>E23-E26-E29</f>
        <v>0</v>
      </c>
      <c r="F32" s="2935"/>
      <c r="G32" s="2929"/>
      <c r="H32" s="2847"/>
      <c r="I32" s="2848"/>
      <c r="J32" s="3771" t="s">
        <v>2320</v>
      </c>
      <c r="K32" s="3772"/>
      <c r="L32" s="2849" t="s">
        <v>2321</v>
      </c>
      <c r="M32" s="2849" t="s">
        <v>2322</v>
      </c>
      <c r="N32" s="2849" t="s">
        <v>2323</v>
      </c>
      <c r="O32" s="2849" t="s">
        <v>2324</v>
      </c>
      <c r="P32" s="2849" t="s">
        <v>2325</v>
      </c>
      <c r="Q32" s="2850" t="s">
        <v>2326</v>
      </c>
      <c r="R32" s="2972" t="s">
        <v>2327</v>
      </c>
      <c r="S32" s="2921"/>
      <c r="T32" s="2840"/>
      <c r="U32" s="2840"/>
      <c r="V32" s="2948"/>
    </row>
    <row r="33" spans="1:23" s="2852" customFormat="1" ht="13.15" customHeight="1">
      <c r="A33" s="2930"/>
      <c r="B33" s="2931"/>
      <c r="C33" s="2932"/>
      <c r="D33" s="2973"/>
      <c r="E33" s="2974"/>
      <c r="F33" s="2935"/>
      <c r="G33" s="2929"/>
      <c r="H33" s="2957"/>
      <c r="I33" s="2948"/>
      <c r="J33" s="3773" t="s">
        <v>2330</v>
      </c>
      <c r="K33" s="3774"/>
      <c r="L33" s="2855"/>
      <c r="M33" s="2855"/>
      <c r="N33" s="2855"/>
      <c r="O33" s="2855"/>
      <c r="P33" s="2855"/>
      <c r="Q33" s="2856"/>
      <c r="R33" s="2975">
        <f>SUM(L33:Q33)</f>
        <v>0</v>
      </c>
      <c r="S33" s="2921"/>
      <c r="T33" s="2840"/>
      <c r="U33" s="2840"/>
      <c r="V33" s="2848"/>
    </row>
    <row r="34" spans="1:23" s="2852" customFormat="1" ht="13.15" customHeight="1">
      <c r="A34" s="2930">
        <v>5</v>
      </c>
      <c r="B34" s="2931" t="s">
        <v>2429</v>
      </c>
      <c r="C34" s="2976"/>
      <c r="D34" s="2977"/>
      <c r="E34" s="2978"/>
      <c r="F34" s="2935"/>
      <c r="G34" s="2929"/>
      <c r="H34" s="2957"/>
      <c r="I34" s="2948"/>
      <c r="J34" s="3773" t="s">
        <v>2332</v>
      </c>
      <c r="K34" s="3774"/>
      <c r="L34" s="2860"/>
      <c r="M34" s="2860"/>
      <c r="N34" s="2860"/>
      <c r="O34" s="2860"/>
      <c r="P34" s="2860"/>
      <c r="Q34" s="2861"/>
      <c r="R34" s="2979">
        <f>SUM(L34:Q34)</f>
        <v>0</v>
      </c>
      <c r="S34" s="2921"/>
      <c r="T34" s="2840"/>
      <c r="U34" s="2840" t="e">
        <f>ROUND(R35*10000/365/R33,1)</f>
        <v>#DIV/0!</v>
      </c>
      <c r="V34" s="2848"/>
    </row>
    <row r="35" spans="1:23" s="2852" customFormat="1" ht="13.15" customHeight="1">
      <c r="A35" s="2930">
        <v>6</v>
      </c>
      <c r="B35" s="2931" t="s">
        <v>2430</v>
      </c>
      <c r="C35" s="2980"/>
      <c r="D35" s="2981"/>
      <c r="E35" s="2982"/>
      <c r="F35" s="2935"/>
      <c r="G35" s="2983"/>
      <c r="H35" s="2847"/>
      <c r="I35" s="2948"/>
      <c r="J35" s="2866" t="s">
        <v>2334</v>
      </c>
      <c r="K35" s="2867"/>
      <c r="L35" s="2867"/>
      <c r="M35" s="2868"/>
      <c r="N35" s="2868"/>
      <c r="O35" s="2868"/>
      <c r="P35" s="2868"/>
      <c r="Q35" s="2868"/>
      <c r="R35" s="2984">
        <f>R40+R41+R43</f>
        <v>0</v>
      </c>
      <c r="S35" s="2921"/>
      <c r="T35" s="2840" t="s">
        <v>2335</v>
      </c>
      <c r="U35" s="2840"/>
      <c r="V35" s="2848"/>
    </row>
    <row r="36" spans="1:23" s="2852" customFormat="1" ht="13.15" customHeight="1" thickBot="1">
      <c r="A36" s="2930">
        <v>7</v>
      </c>
      <c r="B36" s="2985" t="s">
        <v>2431</v>
      </c>
      <c r="C36" s="2986"/>
      <c r="D36" s="2987"/>
      <c r="E36" s="2988"/>
      <c r="F36" s="2989">
        <f>C36+D36+E36</f>
        <v>0</v>
      </c>
      <c r="G36" s="2929"/>
      <c r="H36" s="2847"/>
      <c r="I36" s="2848"/>
      <c r="J36" s="3778">
        <v>1</v>
      </c>
      <c r="K36" s="3779" t="s">
        <v>2432</v>
      </c>
      <c r="L36" s="2873"/>
      <c r="M36" s="2874"/>
      <c r="N36" s="2874"/>
      <c r="O36" s="2874"/>
      <c r="P36" s="2874"/>
      <c r="Q36" s="2874"/>
      <c r="R36" s="2857" t="s">
        <v>2344</v>
      </c>
      <c r="S36" s="2921"/>
      <c r="T36" s="2840" t="s">
        <v>2345</v>
      </c>
      <c r="U36" s="2840"/>
      <c r="V36" s="2848"/>
    </row>
    <row r="37" spans="1:23" s="2852" customFormat="1" ht="13.15" customHeight="1">
      <c r="A37" s="2930"/>
      <c r="B37" s="2931"/>
      <c r="C37" s="2931"/>
      <c r="D37" s="2931"/>
      <c r="E37" s="2931"/>
      <c r="F37" s="2935"/>
      <c r="G37" s="2929"/>
      <c r="H37" s="2847"/>
      <c r="I37" s="2848"/>
      <c r="J37" s="3778"/>
      <c r="K37" s="3780"/>
      <c r="L37" s="2882"/>
      <c r="M37" s="2883"/>
      <c r="N37" s="2859"/>
      <c r="O37" s="2884"/>
      <c r="P37" s="2884"/>
      <c r="Q37" s="2885"/>
      <c r="R37" s="2886"/>
      <c r="S37" s="2921"/>
      <c r="T37" s="2840" t="s">
        <v>2348</v>
      </c>
      <c r="U37" s="2840"/>
      <c r="V37" s="2848"/>
    </row>
    <row r="38" spans="1:23" s="2852" customFormat="1" ht="13.15" customHeight="1">
      <c r="A38" s="2930">
        <v>8</v>
      </c>
      <c r="B38" s="2931"/>
      <c r="C38" s="2888" t="e">
        <f>ROUND(C32*(1-((1+C35)/(1+C34))^C36)/(C34-C35),0)</f>
        <v>#DIV/0!</v>
      </c>
      <c r="D38" s="2888">
        <f>IF(D23=0,0,ROUND(D32*(1-((1+D35)/(1+D34))^D36)/(D34-D35),0))</f>
        <v>0</v>
      </c>
      <c r="E38" s="2888">
        <f>IF(E23=0,0,ROUND(E32*(1-((1+E35)/(1+E34))^E36)/(E34-E35),0))</f>
        <v>0</v>
      </c>
      <c r="F38" s="2935"/>
      <c r="G38" s="2929"/>
      <c r="H38" s="2847"/>
      <c r="I38" s="2848"/>
      <c r="J38" s="3778"/>
      <c r="K38" s="3780"/>
      <c r="L38" s="2882"/>
      <c r="M38" s="2883"/>
      <c r="N38" s="2859"/>
      <c r="O38" s="2884"/>
      <c r="P38" s="2884"/>
      <c r="Q38" s="2885"/>
      <c r="R38" s="2886"/>
      <c r="S38" s="2921"/>
      <c r="T38" s="2840" t="s">
        <v>2355</v>
      </c>
      <c r="U38" s="2840"/>
      <c r="V38" s="2848"/>
    </row>
    <row r="39" spans="1:23" s="2852" customFormat="1" ht="13.15" customHeight="1">
      <c r="A39" s="2930">
        <v>9</v>
      </c>
      <c r="B39" s="2931" t="s">
        <v>2433</v>
      </c>
      <c r="C39" s="2896" t="e">
        <f>C38</f>
        <v>#DIV/0!</v>
      </c>
      <c r="D39" s="2931">
        <f>D38/(1+D34)^C36</f>
        <v>0</v>
      </c>
      <c r="E39" s="2931">
        <f>E38/(1+E34)^(C36+D36)</f>
        <v>0</v>
      </c>
      <c r="F39" s="2935"/>
      <c r="G39" s="2990"/>
      <c r="H39" s="2847"/>
      <c r="I39" s="2848"/>
      <c r="J39" s="3778"/>
      <c r="K39" s="3780"/>
      <c r="L39" s="2882"/>
      <c r="M39" s="2883"/>
      <c r="N39" s="2859"/>
      <c r="O39" s="2884"/>
      <c r="P39" s="2884"/>
      <c r="Q39" s="2885"/>
      <c r="R39" s="2886"/>
      <c r="S39" s="2921"/>
      <c r="T39" s="2840"/>
      <c r="U39" s="2840"/>
      <c r="V39" s="2848"/>
    </row>
    <row r="40" spans="1:23" s="2852" customFormat="1" ht="13.15" customHeight="1">
      <c r="A40" s="2991">
        <v>10</v>
      </c>
      <c r="B40" s="2931" t="s">
        <v>2434</v>
      </c>
      <c r="C40" s="2992" t="e">
        <f>C39+D39+E39</f>
        <v>#DIV/0!</v>
      </c>
      <c r="D40" s="2993"/>
      <c r="E40" s="2993"/>
      <c r="F40" s="2994"/>
      <c r="G40" s="2929"/>
      <c r="H40" s="2847"/>
      <c r="I40" s="2848"/>
      <c r="J40" s="3778"/>
      <c r="K40" s="3781"/>
      <c r="L40" s="2902" t="s">
        <v>2373</v>
      </c>
      <c r="M40" s="2903"/>
      <c r="N40" s="2903"/>
      <c r="O40" s="2904"/>
      <c r="P40" s="2904"/>
      <c r="Q40" s="2905"/>
      <c r="R40" s="2851">
        <f>SUM(R37:R39)</f>
        <v>0</v>
      </c>
      <c r="S40" s="2921"/>
      <c r="T40" s="2840"/>
      <c r="U40" s="2840"/>
      <c r="V40" s="2848"/>
    </row>
    <row r="41" spans="1:23" s="2852" customFormat="1" ht="13.15" customHeight="1" thickBot="1">
      <c r="A41" s="2995">
        <v>11</v>
      </c>
      <c r="B41" s="2996" t="s">
        <v>2435</v>
      </c>
      <c r="C41" s="2996" t="e">
        <f>ROUND(C40*10000/B4,0)</f>
        <v>#DIV/0!</v>
      </c>
      <c r="D41" s="2997"/>
      <c r="E41" s="2997"/>
      <c r="F41" s="2998"/>
      <c r="G41" s="2999"/>
      <c r="H41" s="2847"/>
      <c r="I41" s="2848"/>
      <c r="J41" s="2943">
        <v>2</v>
      </c>
      <c r="K41" s="2944" t="s">
        <v>2413</v>
      </c>
      <c r="L41" s="2945"/>
      <c r="M41" s="2945"/>
      <c r="N41" s="2945"/>
      <c r="O41" s="2945"/>
      <c r="P41" s="2946"/>
      <c r="Q41" s="2947"/>
      <c r="R41" s="2918">
        <f>ROUND(R40*Q41,0)</f>
        <v>0</v>
      </c>
      <c r="S41" s="2921"/>
      <c r="T41" s="2840"/>
      <c r="U41" s="2955"/>
      <c r="V41" s="2848"/>
    </row>
    <row r="42" spans="1:23" s="2852" customFormat="1" ht="13.15" customHeight="1">
      <c r="G42" s="2999"/>
      <c r="H42" s="2847"/>
      <c r="I42" s="2848"/>
      <c r="J42" s="3788">
        <v>3</v>
      </c>
      <c r="K42" s="2950" t="s">
        <v>2415</v>
      </c>
      <c r="L42" s="2951"/>
      <c r="M42" s="2952"/>
      <c r="N42" s="2953" t="s">
        <v>2416</v>
      </c>
      <c r="O42" s="2953" t="s">
        <v>2417</v>
      </c>
      <c r="P42" s="2954" t="s">
        <v>2418</v>
      </c>
      <c r="Q42" s="2954" t="s">
        <v>2419</v>
      </c>
      <c r="R42" s="2857" t="s">
        <v>2344</v>
      </c>
      <c r="S42" s="2955"/>
      <c r="T42" s="2955"/>
      <c r="U42" s="2840"/>
      <c r="V42" s="2848"/>
    </row>
    <row r="43" spans="1:23" ht="13.15" customHeight="1">
      <c r="A43" s="2852"/>
      <c r="B43" s="2852"/>
      <c r="C43" s="2852"/>
      <c r="D43" s="2852"/>
      <c r="E43" s="2852"/>
      <c r="F43" s="2852"/>
      <c r="I43" s="2835"/>
      <c r="J43" s="3789"/>
      <c r="K43" s="2958"/>
      <c r="L43" s="2959"/>
      <c r="M43" s="2960"/>
      <c r="N43" s="2883"/>
      <c r="O43" s="2883"/>
      <c r="P43" s="2883"/>
      <c r="Q43" s="2947"/>
      <c r="R43" s="2918">
        <f>ROUND(O43*N43*P43*(1-Q43)/10000,0)</f>
        <v>0</v>
      </c>
      <c r="S43" s="2921"/>
      <c r="T43" s="2840"/>
      <c r="V43" s="3001"/>
      <c r="W43" s="3002"/>
    </row>
    <row r="44" spans="1:23" ht="13.15" customHeight="1" thickBot="1">
      <c r="J44" s="2963">
        <v>6</v>
      </c>
      <c r="K44" s="2964" t="s">
        <v>2422</v>
      </c>
      <c r="L44" s="3003" t="s">
        <v>2423</v>
      </c>
      <c r="M44" s="2966"/>
      <c r="N44" s="3003" t="s">
        <v>2424</v>
      </c>
      <c r="O44" s="2966"/>
      <c r="P44" s="3003" t="s">
        <v>2425</v>
      </c>
      <c r="Q44" s="2968">
        <v>1.4999999999999999E-2</v>
      </c>
      <c r="R44" s="2969"/>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21" zoomScale="85" zoomScaleNormal="70" zoomScaleSheetLayoutView="85" workbookViewId="0">
      <selection activeCell="G13" sqref="G13"/>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3434</v>
      </c>
      <c r="D1" s="1362" t="s">
        <v>43</v>
      </c>
      <c r="E1" s="1363" t="s">
        <v>678</v>
      </c>
      <c r="F1" s="1062">
        <f ca="1">J53</f>
        <v>21.67</v>
      </c>
      <c r="G1" s="1378">
        <f>MATCH(C1,'数据-取费表'!A6:A16,0)+5</f>
        <v>7</v>
      </c>
      <c r="H1" s="2691"/>
      <c r="I1" s="2692"/>
      <c r="J1" s="2692"/>
      <c r="K1" s="2693"/>
      <c r="L1" s="2692"/>
      <c r="M1" s="2692"/>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2751</v>
      </c>
      <c r="C2" s="1387" t="s">
        <v>805</v>
      </c>
      <c r="D2" s="1387"/>
      <c r="E2" s="1388"/>
      <c r="F2" s="1389"/>
      <c r="G2" s="2705"/>
      <c r="H2" s="2694"/>
      <c r="I2" s="2694"/>
      <c r="J2" s="2694"/>
      <c r="K2" s="2695"/>
      <c r="L2" s="2694"/>
      <c r="M2" s="2694"/>
    </row>
    <row r="3" spans="1:37" ht="18" customHeight="1" thickBot="1">
      <c r="A3" s="1390" t="s">
        <v>806</v>
      </c>
      <c r="B3" s="1391">
        <f ca="1">IF(ISERROR(B2*10000/F43),0,ROUND(B2*10000/F43,0))</f>
        <v>2466</v>
      </c>
      <c r="C3" s="1387" t="s">
        <v>807</v>
      </c>
      <c r="D3" s="1387"/>
      <c r="E3" s="1388"/>
      <c r="F3" s="1389"/>
      <c r="G3" s="2705"/>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268</v>
      </c>
      <c r="D5" s="1364" t="s">
        <v>693</v>
      </c>
      <c r="E5" s="1071"/>
      <c r="F5" s="1072"/>
      <c r="G5" s="1384"/>
      <c r="H5" s="299">
        <v>1</v>
      </c>
      <c r="I5" s="300" t="s">
        <v>692</v>
      </c>
      <c r="J5" s="1070">
        <f ca="1">J6+J10+J12</f>
        <v>0</v>
      </c>
      <c r="K5" s="1364" t="s">
        <v>693</v>
      </c>
      <c r="L5" s="1071"/>
      <c r="M5" s="1072"/>
    </row>
    <row r="6" spans="1:37" ht="18" customHeight="1">
      <c r="A6" s="1069" t="s">
        <v>398</v>
      </c>
      <c r="B6" s="3768" t="s">
        <v>694</v>
      </c>
      <c r="C6" s="1074">
        <f ca="1">ROUND(F6*F8*F7*(1-F9)/10000,0)</f>
        <v>268</v>
      </c>
      <c r="D6" s="155" t="s">
        <v>2109</v>
      </c>
      <c r="E6" s="302" t="s">
        <v>696</v>
      </c>
      <c r="F6" s="303">
        <f ca="1">INDIRECT("'数据-取费表'!u"&amp;$G$1)</f>
        <v>1100</v>
      </c>
      <c r="G6" s="1384"/>
      <c r="H6" s="1069" t="s">
        <v>398</v>
      </c>
      <c r="I6" s="3768" t="s">
        <v>694</v>
      </c>
      <c r="J6" s="301">
        <f ca="1">ROUND(M6*M8*M7*(1-M9)/10000,0)</f>
        <v>0</v>
      </c>
      <c r="K6" s="155" t="s">
        <v>2108</v>
      </c>
      <c r="L6" s="302" t="s">
        <v>696</v>
      </c>
      <c r="M6" s="303">
        <f ca="1">INDIRECT("'数据-取费表'!z"&amp;$G$1)</f>
        <v>0</v>
      </c>
    </row>
    <row r="7" spans="1:37" ht="18" customHeight="1">
      <c r="A7" s="1073"/>
      <c r="B7" s="3769"/>
      <c r="C7" s="1075"/>
      <c r="D7" s="307"/>
      <c r="E7" s="3475" t="s">
        <v>697</v>
      </c>
      <c r="F7" s="303">
        <f ca="1">IF(INDIRECT("'数据-取费表'!ah"&amp;$G$1)="",INDIRECT("'数据-取费表'!k"&amp;$G$1),INDIRECT("'数据-取费表'!ah"&amp;$G$1))</f>
        <v>214</v>
      </c>
      <c r="G7" s="1384"/>
      <c r="H7" s="304"/>
      <c r="I7" s="3769"/>
      <c r="J7" s="306"/>
      <c r="K7" s="307"/>
      <c r="L7" s="302" t="s">
        <v>697</v>
      </c>
      <c r="M7" s="303">
        <f ca="1">F7</f>
        <v>214</v>
      </c>
    </row>
    <row r="8" spans="1:37" ht="18" customHeight="1">
      <c r="A8" s="304"/>
      <c r="B8" s="3769"/>
      <c r="C8" s="306"/>
      <c r="D8" s="307"/>
      <c r="E8" s="302" t="s">
        <v>698</v>
      </c>
      <c r="F8" s="303">
        <f ca="1">INDIRECT("'数据-取费表'!ai"&amp;$G$1)</f>
        <v>12</v>
      </c>
      <c r="G8" s="1384"/>
      <c r="H8" s="304"/>
      <c r="I8" s="3769"/>
      <c r="J8" s="306"/>
      <c r="K8" s="307"/>
      <c r="L8" s="302" t="s">
        <v>698</v>
      </c>
      <c r="M8" s="303">
        <f ca="1">INDIRECT("'数据-取费表'!ai"&amp;$G$1)</f>
        <v>12</v>
      </c>
    </row>
    <row r="9" spans="1:37" ht="18" customHeight="1">
      <c r="A9" s="304"/>
      <c r="B9" s="3770"/>
      <c r="C9" s="306"/>
      <c r="D9" s="307"/>
      <c r="E9" s="302" t="s">
        <v>699</v>
      </c>
      <c r="F9" s="312">
        <f ca="1">INDIRECT("'数据-取费表'!w"&amp;$G$1)</f>
        <v>0.05</v>
      </c>
      <c r="G9" s="1384"/>
      <c r="H9" s="304"/>
      <c r="I9" s="3770"/>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2117</v>
      </c>
      <c r="E10" s="313" t="s">
        <v>701</v>
      </c>
      <c r="F10" s="1116"/>
      <c r="G10" s="1384"/>
      <c r="H10" s="1069" t="s">
        <v>402</v>
      </c>
      <c r="I10" s="1365" t="s">
        <v>700</v>
      </c>
      <c r="J10" s="301">
        <f ca="1">ROUND(IF(M10="押一",J6/12*M11,IF(M10="押二",J6/12*2*M11,IF(M10="押三",J6/12*3*M11,J11*M11))),0)</f>
        <v>0</v>
      </c>
      <c r="K10" s="1366" t="s">
        <v>2116</v>
      </c>
      <c r="L10" s="313" t="s">
        <v>701</v>
      </c>
      <c r="M10" s="1116"/>
    </row>
    <row r="11" spans="1:37" ht="18" customHeight="1">
      <c r="A11" s="308"/>
      <c r="B11" s="1367" t="s">
        <v>679</v>
      </c>
      <c r="C11" s="3487"/>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4859</v>
      </c>
      <c r="D13" s="3472" t="s">
        <v>705</v>
      </c>
      <c r="E13" s="3472" t="s">
        <v>706</v>
      </c>
      <c r="F13" s="1082">
        <f ca="1">INDIRECT("'数据-取费表'!y"&amp;$G$1)</f>
        <v>0.88</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3904</v>
      </c>
      <c r="D14" s="3478" t="s">
        <v>708</v>
      </c>
      <c r="E14" s="3477"/>
      <c r="F14" s="319"/>
      <c r="G14" s="1384"/>
      <c r="H14" s="982" t="s">
        <v>398</v>
      </c>
      <c r="I14" s="302" t="s">
        <v>709</v>
      </c>
      <c r="J14" s="21">
        <f ca="1">C29</f>
        <v>5522</v>
      </c>
      <c r="K14" s="3474"/>
      <c r="L14" s="807"/>
      <c r="M14" s="808"/>
    </row>
    <row r="15" spans="1:37" s="1397" customFormat="1" ht="18" customHeight="1" thickBot="1">
      <c r="A15" s="982" t="s">
        <v>399</v>
      </c>
      <c r="B15" s="302" t="s">
        <v>710</v>
      </c>
      <c r="C15" s="21">
        <f ca="1">ROUND(C14*F15,0)</f>
        <v>195</v>
      </c>
      <c r="D15" s="3473" t="s">
        <v>711</v>
      </c>
      <c r="E15" s="3473"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21</v>
      </c>
      <c r="K16" s="1087" t="s">
        <v>715</v>
      </c>
      <c r="L16" s="3480"/>
      <c r="M16" s="1072"/>
    </row>
    <row r="17" spans="1:37" s="1397" customFormat="1" ht="18" customHeight="1">
      <c r="A17" s="982" t="s">
        <v>681</v>
      </c>
      <c r="B17" s="302" t="s">
        <v>716</v>
      </c>
      <c r="C17" s="21">
        <f ca="1">ROUND(F17*(F43+INDIRECT("'数据-取费表'!S"&amp;$G$1))/10000,0)</f>
        <v>223</v>
      </c>
      <c r="D17" s="302" t="s">
        <v>717</v>
      </c>
      <c r="E17" s="302" t="s">
        <v>718</v>
      </c>
      <c r="F17" s="23">
        <f>'数据-取费表'!B35</f>
        <v>200</v>
      </c>
      <c r="G17" s="1396"/>
      <c r="H17" s="982" t="s">
        <v>398</v>
      </c>
      <c r="I17" s="302" t="s">
        <v>719</v>
      </c>
      <c r="J17" s="2316">
        <f ca="1">ROUND(IF(AND(项目基本情况!B11="自然人",项目基本情况!B10="北京市"),J6*M17/(1+'数据-取费表'!C42),J18+J19+J20),2)</f>
        <v>4.67</v>
      </c>
      <c r="K17" s="3478" t="s">
        <v>720</v>
      </c>
      <c r="L17" s="3479"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59</v>
      </c>
      <c r="D18" s="302" t="s">
        <v>711</v>
      </c>
      <c r="E18" s="302" t="s">
        <v>712</v>
      </c>
      <c r="F18" s="322">
        <f>'数据-取费表'!B36</f>
        <v>1.4999999999999999E-2</v>
      </c>
      <c r="G18" s="1396"/>
      <c r="H18" s="982" t="s">
        <v>397</v>
      </c>
      <c r="I18" s="302" t="s">
        <v>723</v>
      </c>
      <c r="J18" s="21">
        <f ca="1">ROUND(J6*M18/(1+'数据-取费表'!C42),2)</f>
        <v>0</v>
      </c>
      <c r="K18" s="3479"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4381</v>
      </c>
      <c r="D19" s="131" t="s">
        <v>726</v>
      </c>
      <c r="E19" s="3482"/>
      <c r="F19" s="23"/>
      <c r="G19" s="1384"/>
      <c r="H19" s="982" t="s">
        <v>399</v>
      </c>
      <c r="I19" s="302" t="s">
        <v>727</v>
      </c>
      <c r="J19" s="21">
        <f ca="1">IF(K19="按租金收入计税",ROUND(J6*M19/(1+'数据-取费表'!C42),2),ROUND(C29*M19*0.7,2))</f>
        <v>0</v>
      </c>
      <c r="K19" s="1370" t="s">
        <v>3342</v>
      </c>
      <c r="L19" s="302" t="s">
        <v>712</v>
      </c>
      <c r="M19" s="322">
        <f>IF(K19="按租金收入计税",'数据-取费表'!B51,'数据-取费表'!B50)</f>
        <v>0.12</v>
      </c>
    </row>
    <row r="20" spans="1:37" s="1397" customFormat="1" ht="18" customHeight="1">
      <c r="A20" s="982" t="s">
        <v>402</v>
      </c>
      <c r="B20" s="302" t="s">
        <v>728</v>
      </c>
      <c r="C20" s="21">
        <f ca="1">ROUND(C19*F20,0)</f>
        <v>88</v>
      </c>
      <c r="D20" s="2427" t="s">
        <v>729</v>
      </c>
      <c r="E20" s="302" t="s">
        <v>712</v>
      </c>
      <c r="F20" s="322">
        <f>'数据-取费表'!B37</f>
        <v>0.02</v>
      </c>
      <c r="G20" s="1396"/>
      <c r="H20" s="982" t="s">
        <v>680</v>
      </c>
      <c r="I20" s="155" t="s">
        <v>730</v>
      </c>
      <c r="J20" s="22">
        <f ca="1">ROUND(M20*M21/10000,2)</f>
        <v>4.67</v>
      </c>
      <c r="K20" s="324" t="s">
        <v>731</v>
      </c>
      <c r="L20" s="302" t="s">
        <v>732</v>
      </c>
      <c r="M20" s="325">
        <f>'数据-取费表'!B52</f>
        <v>18</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2427" t="s">
        <v>734</v>
      </c>
      <c r="E21" s="302" t="s">
        <v>735</v>
      </c>
      <c r="F21" s="322">
        <f>'数据-取费表'!B38</f>
        <v>0.02</v>
      </c>
      <c r="G21" s="1396"/>
      <c r="H21" s="326"/>
      <c r="I21" s="311"/>
      <c r="J21" s="26"/>
      <c r="K21" s="327"/>
      <c r="L21" s="302" t="s">
        <v>736</v>
      </c>
      <c r="M21" s="303">
        <f ca="1">INDIRECT("'数据-取费表'!r"&amp;$G$1)</f>
        <v>2596.8000000000002</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3482"/>
      <c r="F22" s="23"/>
      <c r="G22" s="1384"/>
      <c r="H22" s="982" t="s">
        <v>402</v>
      </c>
      <c r="I22" s="302" t="s">
        <v>738</v>
      </c>
      <c r="J22" s="21">
        <f ca="1">ROUND(J14*M22,2)</f>
        <v>16.57</v>
      </c>
      <c r="K22" s="3479" t="s">
        <v>739</v>
      </c>
      <c r="L22" s="302" t="s">
        <v>712</v>
      </c>
      <c r="M22" s="328">
        <f ca="1">INDIRECT("'数据-取费表'!Ak"&amp;$G$1)</f>
        <v>3.0000000000000001E-3</v>
      </c>
    </row>
    <row r="23" spans="1:37" s="1397" customFormat="1" ht="18" customHeight="1">
      <c r="A23" s="982" t="s">
        <v>397</v>
      </c>
      <c r="B23" s="302" t="s">
        <v>740</v>
      </c>
      <c r="C23" s="21">
        <f ca="1">IF('数据-取费表'!B22&lt;=1,ROUND(C19*F24*F23/2,0)+ROUND(C20*F24*F23/2,0),ROUND(C19*(POWER((1+F24),F23/2)-1),0)+ROUND(C20*(POWER((1+F24),F23/2)-1),0))</f>
        <v>186</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3479"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8.0000000000000004E-4</v>
      </c>
      <c r="D24" s="329" t="str">
        <f>IF(F23&lt;=1,"销售费用×利率×(建设周期÷2)","销售费用×((1+利率)^(建设周期÷2)-1)")</f>
        <v>销售费用×((1+利率)^(建设周期÷2)-1)</v>
      </c>
      <c r="E24" s="302" t="s">
        <v>747</v>
      </c>
      <c r="F24" s="331">
        <f ca="1">'数据-取费表'!B40</f>
        <v>4.1499999999999995E-2</v>
      </c>
      <c r="G24" s="1396"/>
      <c r="H24" s="1089" t="s">
        <v>684</v>
      </c>
      <c r="I24" s="1090" t="s">
        <v>728</v>
      </c>
      <c r="J24" s="1091">
        <f ca="1">ROUND(J5*M24,2)</f>
        <v>0</v>
      </c>
      <c r="K24" s="1092" t="s">
        <v>748</v>
      </c>
      <c r="L24" s="1090" t="s">
        <v>744</v>
      </c>
      <c r="M24" s="1086">
        <f ca="1">INDIRECT("'数据-取费表'!Am"&amp;$G$1)</f>
        <v>0.01</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3482"/>
      <c r="F25" s="23"/>
      <c r="G25" s="1384"/>
      <c r="H25" s="1079" t="s">
        <v>394</v>
      </c>
      <c r="I25" s="1094" t="s">
        <v>752</v>
      </c>
      <c r="J25" s="310">
        <f ca="1">J5-J16</f>
        <v>-21</v>
      </c>
      <c r="K25" s="1095" t="s">
        <v>753</v>
      </c>
      <c r="L25" s="1096"/>
      <c r="M25" s="1097"/>
    </row>
    <row r="26" spans="1:37">
      <c r="A26" s="982" t="s">
        <v>397</v>
      </c>
      <c r="B26" s="302" t="s">
        <v>754</v>
      </c>
      <c r="C26" s="21">
        <f ca="1">ROUND((C19+C20)*F26,0)</f>
        <v>447</v>
      </c>
      <c r="D26" s="2427" t="s">
        <v>755</v>
      </c>
      <c r="E26" s="313" t="s">
        <v>756</v>
      </c>
      <c r="F26" s="312">
        <f ca="1">INDIRECT("'数据-取费表'!q"&amp;$G$1)</f>
        <v>0.1</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2E-3</v>
      </c>
      <c r="D27" s="2427" t="s">
        <v>761</v>
      </c>
      <c r="E27" s="3473"/>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2427"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5522</v>
      </c>
      <c r="D29" s="1092"/>
      <c r="E29" s="1090"/>
      <c r="F29" s="1093"/>
      <c r="G29" s="1396"/>
      <c r="H29" s="334" t="s">
        <v>396</v>
      </c>
      <c r="I29" s="335" t="s">
        <v>768</v>
      </c>
      <c r="J29" s="336">
        <f ca="1">ROUND(J26/(1+F40)^F41,0)</f>
        <v>0</v>
      </c>
      <c r="K29" s="337" t="s">
        <v>769</v>
      </c>
      <c r="L29" s="338"/>
      <c r="M29" s="339">
        <f ca="1">INDIRECT("'数据-取费表'!k"&amp;$G$1)</f>
        <v>11153.76</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74</v>
      </c>
      <c r="D30" s="1087" t="s">
        <v>715</v>
      </c>
      <c r="E30" s="3480"/>
      <c r="F30" s="1072"/>
      <c r="G30" s="1384"/>
      <c r="H30" s="2696"/>
      <c r="I30" s="1398"/>
      <c r="J30" s="1399"/>
      <c r="K30" s="2474"/>
      <c r="L30" s="2697"/>
      <c r="M30" s="2698"/>
    </row>
    <row r="31" spans="1:37" ht="18" customHeight="1">
      <c r="A31" s="982" t="s">
        <v>398</v>
      </c>
      <c r="B31" s="302" t="s">
        <v>719</v>
      </c>
      <c r="C31" s="2316">
        <f ca="1">ROUND(IF(AND(项目基本情况!B11="自然人",项目基本情况!B10="北京市"),C6*F31/(1+'数据-取费表'!C42),C32+C33+C34),2)</f>
        <v>49.59</v>
      </c>
      <c r="D31" s="3478" t="s">
        <v>720</v>
      </c>
      <c r="E31" s="3479" t="s">
        <v>770</v>
      </c>
      <c r="F31" s="2315" t="str">
        <f>IF(项目基本情况!B11="企业","——",IF(M47="住宅",IF(F6*F7*F8/12/(1+'数据-取费表'!F30)&gt;100000,4%,2.5%),IF(F6*F7*F8/12/(1+'数据-取费表'!F30)&gt;100000,12%,7%)))</f>
        <v>——</v>
      </c>
      <c r="G31" s="1384"/>
      <c r="H31" s="2807" t="s">
        <v>2310</v>
      </c>
      <c r="I31" s="1398"/>
      <c r="J31" s="1399"/>
      <c r="K31" s="2474"/>
      <c r="L31" s="2697"/>
      <c r="M31" s="2698"/>
    </row>
    <row r="32" spans="1:37" ht="18" customHeight="1">
      <c r="A32" s="982" t="s">
        <v>397</v>
      </c>
      <c r="B32" s="302" t="s">
        <v>723</v>
      </c>
      <c r="C32" s="21">
        <f ca="1">IF(项目基本情况!B11="自然人","——",ROUND(C6*F32/(1+'数据-取费表'!C42),2))</f>
        <v>14.29</v>
      </c>
      <c r="D32" s="3479" t="s">
        <v>724</v>
      </c>
      <c r="E32" s="302" t="s">
        <v>712</v>
      </c>
      <c r="F32" s="331">
        <f>'数据-取费表'!B41</f>
        <v>5.6000000000000001E-2</v>
      </c>
      <c r="G32" s="1384"/>
      <c r="H32" s="2696"/>
      <c r="I32" s="1398"/>
      <c r="J32" s="1399"/>
      <c r="K32" s="2474"/>
      <c r="L32" s="2697"/>
      <c r="M32" s="2698"/>
    </row>
    <row r="33" spans="1:18" ht="18" customHeight="1">
      <c r="A33" s="982" t="s">
        <v>399</v>
      </c>
      <c r="B33" s="302" t="s">
        <v>727</v>
      </c>
      <c r="C33" s="21">
        <f ca="1">IF(项目基本情况!B11="自然人","——",IF(D33="按租金收入计税",ROUND(C6*F33/(1+'数据-取费表'!C42),2),IF(D33="按房产原值计税",ROUND(C29*F33*0.7,2),INDIRECT("'数据-取费表'!Aj"&amp;$G$1))))</f>
        <v>30.63</v>
      </c>
      <c r="D33" s="1370" t="s">
        <v>3342</v>
      </c>
      <c r="E33" s="302" t="s">
        <v>712</v>
      </c>
      <c r="F33" s="322">
        <f>IF(D33="按票据","——",IF(D33="按租金收入计税",'数据-取费表'!B51,'数据-取费表'!B50))</f>
        <v>0.12</v>
      </c>
      <c r="G33" s="1384"/>
      <c r="H33" s="2699"/>
      <c r="I33" s="1398"/>
      <c r="J33" s="1399"/>
      <c r="K33" s="2700"/>
      <c r="L33" s="2699"/>
      <c r="M33" s="2699"/>
    </row>
    <row r="34" spans="1:18" ht="18" customHeight="1">
      <c r="A34" s="1069" t="s">
        <v>680</v>
      </c>
      <c r="B34" s="155" t="s">
        <v>730</v>
      </c>
      <c r="C34" s="22">
        <f ca="1">IF(项目基本情况!B11="自然人","——",ROUND(F34*F35/10000,2))</f>
        <v>4.67</v>
      </c>
      <c r="D34" s="324" t="s">
        <v>731</v>
      </c>
      <c r="E34" s="302" t="s">
        <v>732</v>
      </c>
      <c r="F34" s="325">
        <f>'数据-取费表'!B52</f>
        <v>18</v>
      </c>
      <c r="G34" s="1384"/>
      <c r="H34" s="2696"/>
      <c r="I34" s="1398"/>
      <c r="J34" s="1399"/>
      <c r="K34" s="2701"/>
      <c r="L34" s="2702"/>
      <c r="M34" s="2702"/>
    </row>
    <row r="35" spans="1:18" ht="18" customHeight="1">
      <c r="A35" s="1103"/>
      <c r="B35" s="1101"/>
      <c r="C35" s="26"/>
      <c r="D35" s="327"/>
      <c r="E35" s="302" t="s">
        <v>736</v>
      </c>
      <c r="F35" s="303">
        <f ca="1">INDIRECT("'数据-取费表'!r"&amp;$G$1)</f>
        <v>2596.8000000000002</v>
      </c>
      <c r="G35" s="1384"/>
      <c r="H35" s="2696"/>
      <c r="I35" s="1398"/>
      <c r="J35" s="1399"/>
      <c r="K35" s="2700"/>
      <c r="L35" s="2699"/>
      <c r="M35" s="2699"/>
    </row>
    <row r="36" spans="1:18" ht="18" customHeight="1">
      <c r="A36" s="1102" t="s">
        <v>402</v>
      </c>
      <c r="B36" s="302" t="s">
        <v>738</v>
      </c>
      <c r="C36" s="21">
        <f ca="1">ROUND(C29*F36,2)</f>
        <v>16.57</v>
      </c>
      <c r="D36" s="3479" t="s">
        <v>771</v>
      </c>
      <c r="E36" s="302" t="s">
        <v>712</v>
      </c>
      <c r="F36" s="328">
        <f ca="1">INDIRECT("'数据-取费表'!Ak"&amp;$G$1)</f>
        <v>3.0000000000000001E-3</v>
      </c>
      <c r="G36" s="1384"/>
      <c r="H36" s="2699">
        <f ca="1">(C36+C37+C38)*10000/F7/12</f>
        <v>93.886292834890966</v>
      </c>
      <c r="I36" s="1398"/>
      <c r="J36" s="1399"/>
      <c r="K36" s="2543"/>
      <c r="L36" s="2699"/>
      <c r="M36" s="2699"/>
    </row>
    <row r="37" spans="1:18" ht="18" customHeight="1">
      <c r="A37" s="982" t="s">
        <v>437</v>
      </c>
      <c r="B37" s="302" t="s">
        <v>742</v>
      </c>
      <c r="C37" s="21">
        <f ca="1">ROUND(C13*F37,2)</f>
        <v>4.8600000000000003</v>
      </c>
      <c r="D37" s="3479" t="s">
        <v>743</v>
      </c>
      <c r="E37" s="302" t="s">
        <v>744</v>
      </c>
      <c r="F37" s="330">
        <f ca="1">INDIRECT("'数据-取费表'!Al"&amp;$G$1)</f>
        <v>1E-3</v>
      </c>
      <c r="G37" s="1384"/>
      <c r="H37" s="2699"/>
      <c r="I37" s="1398"/>
      <c r="J37" s="1399"/>
      <c r="K37" s="2543"/>
      <c r="L37" s="2699"/>
      <c r="M37" s="2699"/>
    </row>
    <row r="38" spans="1:18" ht="18" customHeight="1" thickBot="1">
      <c r="A38" s="1089" t="s">
        <v>684</v>
      </c>
      <c r="B38" s="1090" t="s">
        <v>728</v>
      </c>
      <c r="C38" s="1091">
        <f ca="1">ROUND(C5*F38,2)</f>
        <v>2.68</v>
      </c>
      <c r="D38" s="1092" t="s">
        <v>748</v>
      </c>
      <c r="E38" s="1090" t="s">
        <v>744</v>
      </c>
      <c r="F38" s="1086">
        <f ca="1">INDIRECT("'数据-取费表'!Am"&amp;$G$1)</f>
        <v>0.01</v>
      </c>
      <c r="G38" s="1384"/>
      <c r="H38" s="2699"/>
      <c r="I38" s="1398"/>
      <c r="J38" s="1399"/>
      <c r="K38" s="2703"/>
      <c r="L38" s="2699"/>
      <c r="M38" s="2699"/>
    </row>
    <row r="39" spans="1:18" ht="24.6" customHeight="1" thickTop="1">
      <c r="A39" s="1079" t="s">
        <v>394</v>
      </c>
      <c r="B39" s="1094" t="s">
        <v>752</v>
      </c>
      <c r="C39" s="310">
        <f ca="1">C5-C30</f>
        <v>194</v>
      </c>
      <c r="D39" s="1095" t="s">
        <v>773</v>
      </c>
      <c r="E39" s="1096"/>
      <c r="F39" s="1097"/>
      <c r="G39" s="1384"/>
      <c r="H39" s="2699"/>
      <c r="I39" s="1398"/>
      <c r="J39" s="1399"/>
      <c r="K39" s="2703"/>
      <c r="L39" s="2699"/>
      <c r="M39" s="2699"/>
    </row>
    <row r="40" spans="1:18" ht="18" customHeight="1">
      <c r="A40" s="299" t="s">
        <v>395</v>
      </c>
      <c r="B40" s="300" t="s">
        <v>774</v>
      </c>
      <c r="C40" s="301">
        <f ca="1">ROUND(C39*(1-((1+F42)/(1+F40))^F41)/(F40-F42),0)</f>
        <v>2751</v>
      </c>
      <c r="D40" s="324" t="s">
        <v>758</v>
      </c>
      <c r="E40" s="302" t="s">
        <v>759</v>
      </c>
      <c r="F40" s="312">
        <f ca="1">INDIRECT("'数据-取费表'!I"&amp;$G$1)</f>
        <v>5.5E-2</v>
      </c>
      <c r="G40" s="1384"/>
      <c r="H40" s="1461"/>
      <c r="I40" s="1398"/>
      <c r="J40" s="1399"/>
      <c r="K40" s="2703"/>
      <c r="L40" s="1461"/>
      <c r="M40" s="1461"/>
    </row>
    <row r="41" spans="1:18" ht="18" customHeight="1">
      <c r="A41" s="304"/>
      <c r="B41" s="305"/>
      <c r="C41" s="306"/>
      <c r="D41" s="332" t="s">
        <v>775</v>
      </c>
      <c r="E41" s="302" t="s">
        <v>763</v>
      </c>
      <c r="F41" s="333">
        <f ca="1">IF(INDIRECT("'数据-取费表'!af"&amp;$G$1)=0,INDIRECT("'数据-取费表'!ae"&amp;$G$1),INDIRECT("'数据-取费表'!af"&amp;$G$1))</f>
        <v>21.67</v>
      </c>
      <c r="G41" s="1384"/>
      <c r="H41" s="1191"/>
      <c r="I41" s="1398"/>
      <c r="J41" s="1399"/>
      <c r="K41" s="2543"/>
      <c r="L41" s="1191"/>
      <c r="M41" s="1191"/>
    </row>
    <row r="42" spans="1:18" ht="18" customHeight="1">
      <c r="A42" s="308"/>
      <c r="B42" s="309"/>
      <c r="C42" s="310"/>
      <c r="D42" s="327"/>
      <c r="E42" s="302" t="s">
        <v>766</v>
      </c>
      <c r="F42" s="312">
        <f ca="1">INDIRECT("'数据-取费表'!v"&amp;$G$1)</f>
        <v>1.4999999999999999E-2</v>
      </c>
      <c r="G42" s="1384"/>
      <c r="H42" s="1191"/>
      <c r="I42" s="1398"/>
      <c r="J42" s="1399"/>
      <c r="K42" s="2543"/>
      <c r="L42" s="1191"/>
      <c r="M42" s="1191"/>
    </row>
    <row r="43" spans="1:18" ht="18" customHeight="1" thickBot="1">
      <c r="A43" s="334" t="s">
        <v>396</v>
      </c>
      <c r="B43" s="335" t="s">
        <v>776</v>
      </c>
      <c r="C43" s="336">
        <f ca="1">ROUND(C40*10000/F43,0)</f>
        <v>2466</v>
      </c>
      <c r="D43" s="337" t="s">
        <v>777</v>
      </c>
      <c r="E43" s="338" t="s">
        <v>778</v>
      </c>
      <c r="F43" s="339">
        <f ca="1">INDIRECT("'数据-取费表'!k"&amp;$G$1)</f>
        <v>11153.76</v>
      </c>
      <c r="G43" s="1384"/>
      <c r="H43" s="1191"/>
      <c r="I43" s="1191"/>
      <c r="J43" s="1191"/>
      <c r="K43" s="2543"/>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4" t="s">
        <v>808</v>
      </c>
      <c r="P45" s="1461"/>
      <c r="Q45" s="1461"/>
      <c r="R45" s="1461"/>
    </row>
    <row r="46" spans="1:18" s="1384" customFormat="1" ht="13.5" thickBot="1">
      <c r="A46" s="1404" t="s">
        <v>809</v>
      </c>
      <c r="C46" s="1405">
        <f ca="1">C68-C40</f>
        <v>-3076</v>
      </c>
      <c r="D46" s="1406" t="str">
        <f>C2</f>
        <v>万元</v>
      </c>
      <c r="E46" s="1400"/>
      <c r="F46" s="1400"/>
      <c r="I46" s="1407" t="s">
        <v>810</v>
      </c>
      <c r="J46" s="1408"/>
      <c r="K46" s="1409"/>
      <c r="L46" s="1410" t="str">
        <f ca="1">IF(M47="住宅",0,IF(L48&gt;J51,L60,J60))</f>
        <v>0</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3413</v>
      </c>
      <c r="K47" s="1416" t="s">
        <v>816</v>
      </c>
      <c r="L47" s="1417">
        <f ca="1">INDIRECT("'数据-取费表'!d"&amp;$G$1)</f>
        <v>50</v>
      </c>
      <c r="M47" s="1380" t="str">
        <f>IF(ISNUMBER(FIND("住宅",C1)),"住宅","非住宅")</f>
        <v>非住宅</v>
      </c>
      <c r="O47" s="1418" t="s">
        <v>403</v>
      </c>
      <c r="P47" s="1419" t="s">
        <v>817</v>
      </c>
      <c r="Q47" s="1420">
        <f ca="1">C40+J29</f>
        <v>2751</v>
      </c>
      <c r="R47" s="1420" t="s">
        <v>818</v>
      </c>
    </row>
    <row r="48" spans="1:18" s="1384" customFormat="1" ht="28.5" thickBot="1">
      <c r="A48" s="1110" t="s">
        <v>438</v>
      </c>
      <c r="B48" s="300" t="s">
        <v>692</v>
      </c>
      <c r="C48" s="3481">
        <f ca="1">C49+C53+C55</f>
        <v>0</v>
      </c>
      <c r="D48" s="1112"/>
      <c r="E48" s="1113"/>
      <c r="F48" s="962"/>
      <c r="G48" s="722"/>
      <c r="H48" s="723"/>
      <c r="I48" s="1421" t="s">
        <v>819</v>
      </c>
      <c r="J48" s="1422" t="s">
        <v>3414</v>
      </c>
      <c r="K48" s="1423" t="s">
        <v>820</v>
      </c>
      <c r="L48" s="1424">
        <f ca="1">INDIRECT("'数据-取费表'!f"&amp;$G$1)</f>
        <v>21.67</v>
      </c>
      <c r="O48" s="1418" t="s">
        <v>404</v>
      </c>
      <c r="P48" s="1419" t="s">
        <v>821</v>
      </c>
      <c r="Q48" s="1420" t="str">
        <f ca="1">J60</f>
        <v>0</v>
      </c>
      <c r="R48" s="1420" t="s">
        <v>822</v>
      </c>
    </row>
    <row r="49" spans="1:18" s="1384" customFormat="1" ht="13.5" thickBot="1">
      <c r="A49" s="975" t="s">
        <v>439</v>
      </c>
      <c r="B49" s="1371" t="s">
        <v>779</v>
      </c>
      <c r="C49" s="1114">
        <f ca="1">ROUND(F49*F51*F50*(1-F52)/10000,0)</f>
        <v>0</v>
      </c>
      <c r="D49" s="1055" t="s">
        <v>2110</v>
      </c>
      <c r="E49" s="1372" t="s">
        <v>780</v>
      </c>
      <c r="F49" s="1060"/>
      <c r="G49" s="1425"/>
      <c r="H49" s="723"/>
      <c r="I49" s="1421" t="s">
        <v>823</v>
      </c>
      <c r="J49" s="1426">
        <v>2010</v>
      </c>
      <c r="K49" s="1423" t="s">
        <v>824</v>
      </c>
      <c r="L49" s="1427"/>
      <c r="O49" s="1428" t="s">
        <v>405</v>
      </c>
      <c r="P49" s="1419" t="s">
        <v>825</v>
      </c>
      <c r="Q49" s="1420">
        <f ca="1">C29</f>
        <v>5522</v>
      </c>
      <c r="R49" s="1420" t="s">
        <v>818</v>
      </c>
    </row>
    <row r="50" spans="1:18" s="1384" customFormat="1" ht="13.5" thickBot="1">
      <c r="A50" s="976"/>
      <c r="B50" s="979"/>
      <c r="C50" s="1118"/>
      <c r="D50" s="953"/>
      <c r="E50" s="1056" t="s">
        <v>697</v>
      </c>
      <c r="F50" s="1057">
        <f ca="1">F7</f>
        <v>214</v>
      </c>
      <c r="H50" s="723"/>
      <c r="I50" s="1421" t="s">
        <v>826</v>
      </c>
      <c r="J50" s="1429">
        <f>SUMPRODUCT((I63:I65=J47)*(J62:L62=J48)*(J63:L65))</f>
        <v>60</v>
      </c>
      <c r="K50" s="1423" t="s">
        <v>827</v>
      </c>
      <c r="L50" s="1427"/>
      <c r="M50" s="1430"/>
      <c r="O50" s="1428" t="s">
        <v>406</v>
      </c>
      <c r="P50" s="1419" t="s">
        <v>828</v>
      </c>
      <c r="Q50" s="1431" t="e">
        <f ca="1">J58</f>
        <v>#VALUE!</v>
      </c>
      <c r="R50" s="1420"/>
    </row>
    <row r="51" spans="1:18" s="1384" customFormat="1" ht="13.5" thickBot="1">
      <c r="A51" s="977"/>
      <c r="B51" s="979"/>
      <c r="C51" s="980"/>
      <c r="D51" s="953"/>
      <c r="E51" s="981" t="s">
        <v>698</v>
      </c>
      <c r="F51" s="303">
        <f ca="1">F8</f>
        <v>12</v>
      </c>
      <c r="I51" s="1432" t="s">
        <v>829</v>
      </c>
      <c r="J51" s="1433">
        <f>IF(J49="",J50,J49+J50-YEAR('数据-取费表'!B2))</f>
        <v>48</v>
      </c>
      <c r="K51" s="1434" t="s">
        <v>830</v>
      </c>
      <c r="L51" s="1435">
        <f ca="1">ROUND(-PV(INDIRECT("'数据-取费表'!h"&amp;$G$1),J51,(C39-C13*C76),0),0)</f>
        <v>-2642</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21.67</v>
      </c>
      <c r="R52" s="1420" t="s">
        <v>835</v>
      </c>
    </row>
    <row r="53" spans="1:18" s="1384" customFormat="1" ht="24.75" thickBot="1">
      <c r="A53" s="1152" t="s">
        <v>440</v>
      </c>
      <c r="B53" s="1373" t="s">
        <v>700</v>
      </c>
      <c r="C53" s="316">
        <f ca="1">ROUND(IF(F53="押一",C49/12*F11,IF(F53="押二",C49/12*2*F11,IF(F53="押三",C49/12*3*F11,C54*F11))),0)</f>
        <v>0</v>
      </c>
      <c r="D53" s="1366" t="s">
        <v>2116</v>
      </c>
      <c r="E53" s="313" t="s">
        <v>701</v>
      </c>
      <c r="F53" s="1116"/>
      <c r="I53" s="1439" t="s">
        <v>836</v>
      </c>
      <c r="J53" s="2168">
        <f ca="1">IF(M47="住宅",IF(D1="——",MAX(J51,L48),MAX(J51,L48-'数据-取费表'!B24)),IF(D1="——",MIN(J51,L48),MIN(J51,L48-'数据-取费表'!B24)))</f>
        <v>21.67</v>
      </c>
      <c r="K53" s="3766" t="s">
        <v>837</v>
      </c>
      <c r="L53" s="3767"/>
      <c r="O53" s="1418" t="s">
        <v>409</v>
      </c>
      <c r="P53" s="1419" t="s">
        <v>838</v>
      </c>
      <c r="Q53" s="1420">
        <f ca="1">Q47+Q48</f>
        <v>2751</v>
      </c>
      <c r="R53" s="1420" t="s">
        <v>410</v>
      </c>
    </row>
    <row r="54" spans="1:18" s="1384" customFormat="1" ht="13.5" thickBot="1">
      <c r="A54" s="1153"/>
      <c r="B54" s="1367" t="s">
        <v>679</v>
      </c>
      <c r="C54" s="959"/>
      <c r="D54" s="1366"/>
      <c r="E54" s="3476"/>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3476"/>
      <c r="F55" s="1440"/>
      <c r="I55" s="1443" t="s">
        <v>840</v>
      </c>
      <c r="J55" s="1444" t="e">
        <f ca="1">ROUND(IF(J47="钢混",J57/J50,1-(1-2%)*(J50-J57)/J50),3)</f>
        <v>#VALUE!</v>
      </c>
      <c r="K55" s="1445" t="s">
        <v>841</v>
      </c>
      <c r="L55" s="1446"/>
      <c r="O55" s="1411" t="s">
        <v>811</v>
      </c>
      <c r="P55" s="1412" t="s">
        <v>812</v>
      </c>
      <c r="Q55" s="1413" t="s">
        <v>813</v>
      </c>
      <c r="R55" s="1413" t="s">
        <v>814</v>
      </c>
    </row>
    <row r="56" spans="1:18" s="1384" customFormat="1" ht="25.5" thickTop="1" thickBot="1">
      <c r="A56" s="957">
        <v>2</v>
      </c>
      <c r="B56" s="958" t="s">
        <v>704</v>
      </c>
      <c r="C56" s="232">
        <f ca="1">C13</f>
        <v>4859</v>
      </c>
      <c r="D56" s="1447"/>
      <c r="E56" s="1448"/>
      <c r="F56" s="1440"/>
      <c r="I56" s="1449" t="s">
        <v>842</v>
      </c>
      <c r="J56" s="1450" t="s">
        <v>3401</v>
      </c>
      <c r="K56" s="1421" t="s">
        <v>843</v>
      </c>
      <c r="L56" s="1424" t="str">
        <f ca="1">IF(L48&lt;J51,"——",L48-J53)</f>
        <v>——</v>
      </c>
      <c r="O56" s="1418" t="s">
        <v>403</v>
      </c>
      <c r="P56" s="1419" t="s">
        <v>817</v>
      </c>
      <c r="Q56" s="1420">
        <f ca="1">C40+J29</f>
        <v>2751</v>
      </c>
      <c r="R56" s="1420" t="s">
        <v>818</v>
      </c>
    </row>
    <row r="57" spans="1:18" s="1384" customFormat="1" ht="24.75" thickBot="1">
      <c r="A57" s="1451"/>
      <c r="B57" s="950" t="s">
        <v>767</v>
      </c>
      <c r="C57" s="238">
        <f ca="1">C29</f>
        <v>5522</v>
      </c>
      <c r="D57" s="1452"/>
      <c r="E57" s="1453"/>
      <c r="F57" s="1454"/>
      <c r="I57" s="1455" t="s">
        <v>844</v>
      </c>
      <c r="J57" s="1456" t="str">
        <f ca="1">IF(OR(M47="住宅",J51&lt;L48,J56="是"),"——",J51-L48)</f>
        <v>——</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26</v>
      </c>
      <c r="D58" s="960" t="s">
        <v>715</v>
      </c>
      <c r="E58" s="961"/>
      <c r="F58" s="962"/>
      <c r="I58" s="1455" t="s">
        <v>848</v>
      </c>
      <c r="J58" s="1457" t="e">
        <f ca="1">IF(J55&lt;0.4,0.4,J55)</f>
        <v>#VALUE!</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5</v>
      </c>
      <c r="D59" s="963" t="s">
        <v>720</v>
      </c>
      <c r="E59" s="964" t="s">
        <v>721</v>
      </c>
      <c r="F59" s="2315" t="str">
        <f>IF(项目基本情况!B11="企业","——",IF('数据-取费表'!B10="住宅",IF(F49*F50*F51/12/(1+'数据-取费表'!F30)&gt;100000,4%,2.5%),IF(F49*F50*F51/12/(1+'数据-取费表'!F30)&gt;100000,12%,7%)))</f>
        <v>——</v>
      </c>
      <c r="I59" s="1455" t="s">
        <v>851</v>
      </c>
      <c r="J59" s="1456" t="str">
        <f ca="1">IF(OR(M47="住宅",J51&lt;L48,J56="是"),"——",ROUND(C29*J58,0))</f>
        <v>——</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t="str">
        <f ca="1">IF(OR(M47="住宅",J51&lt;L48,J56="是"),"0",ROUND(J59/(1+J52)^J53,0))</f>
        <v>0</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3342</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IF(项目基本情况!B11="自然人","——",ROUND(F62*F63/10000,2))</f>
        <v>4.67</v>
      </c>
      <c r="D62" s="965" t="s">
        <v>731</v>
      </c>
      <c r="E62" s="950" t="s">
        <v>787</v>
      </c>
      <c r="F62" s="325">
        <f t="shared" si="0"/>
        <v>18</v>
      </c>
      <c r="I62" s="1462" t="s">
        <v>858</v>
      </c>
      <c r="J62" s="1463" t="s">
        <v>859</v>
      </c>
      <c r="K62" s="1463" t="s">
        <v>860</v>
      </c>
      <c r="L62" s="1463" t="s">
        <v>861</v>
      </c>
      <c r="M62" s="1464" t="s">
        <v>862</v>
      </c>
      <c r="O62" s="1418" t="s">
        <v>409</v>
      </c>
      <c r="P62" s="1419" t="s">
        <v>863</v>
      </c>
      <c r="Q62" s="1420">
        <f ca="1">Q56+Q57</f>
        <v>2751</v>
      </c>
      <c r="R62" s="1420" t="s">
        <v>410</v>
      </c>
    </row>
    <row r="63" spans="1:18" s="1384" customFormat="1" ht="13.5" thickBot="1">
      <c r="A63" s="326"/>
      <c r="B63" s="956"/>
      <c r="C63" s="26"/>
      <c r="D63" s="966"/>
      <c r="E63" s="950" t="s">
        <v>788</v>
      </c>
      <c r="F63" s="303">
        <f t="shared" ca="1" si="0"/>
        <v>2596.8000000000002</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16.57</v>
      </c>
      <c r="D64" s="964" t="s">
        <v>791</v>
      </c>
      <c r="E64" s="950" t="s">
        <v>783</v>
      </c>
      <c r="F64" s="328">
        <f t="shared" ca="1" si="0"/>
        <v>3.0000000000000001E-3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4.8600000000000003</v>
      </c>
      <c r="D65" s="964" t="s">
        <v>743</v>
      </c>
      <c r="E65" s="950" t="s">
        <v>744</v>
      </c>
      <c r="F65" s="330">
        <f t="shared" ca="1" si="0"/>
        <v>1E-3</v>
      </c>
      <c r="I65" s="1462" t="s">
        <v>867</v>
      </c>
      <c r="J65" s="1463">
        <v>40</v>
      </c>
      <c r="K65" s="1463">
        <v>30</v>
      </c>
      <c r="L65" s="1463">
        <v>50</v>
      </c>
      <c r="M65" s="1465">
        <v>0.02</v>
      </c>
      <c r="O65" s="1418" t="s">
        <v>403</v>
      </c>
      <c r="P65" s="1419" t="s">
        <v>868</v>
      </c>
      <c r="Q65" s="1420">
        <f ca="1">C40+J29</f>
        <v>2751</v>
      </c>
      <c r="R65" s="1420" t="s">
        <v>818</v>
      </c>
    </row>
    <row r="66" spans="1:18" s="1384" customFormat="1" ht="16.5" thickBot="1">
      <c r="A66" s="982" t="s">
        <v>793</v>
      </c>
      <c r="B66" s="950" t="s">
        <v>728</v>
      </c>
      <c r="C66" s="21">
        <f ca="1">ROUND(C48*F66,2)</f>
        <v>0</v>
      </c>
      <c r="D66" s="964" t="s">
        <v>794</v>
      </c>
      <c r="E66" s="950" t="s">
        <v>712</v>
      </c>
      <c r="F66" s="312">
        <f t="shared" ca="1" si="0"/>
        <v>0.01</v>
      </c>
      <c r="O66" s="1418" t="s">
        <v>404</v>
      </c>
      <c r="P66" s="1419" t="s">
        <v>846</v>
      </c>
      <c r="Q66" s="1420">
        <f ca="1">L60</f>
        <v>0</v>
      </c>
      <c r="R66" s="1420" t="s">
        <v>869</v>
      </c>
    </row>
    <row r="67" spans="1:18" s="1384" customFormat="1" ht="16.5" thickBot="1">
      <c r="A67" s="957" t="s">
        <v>394</v>
      </c>
      <c r="B67" s="967" t="s">
        <v>752</v>
      </c>
      <c r="C67" s="316">
        <f ca="1">C48-C58</f>
        <v>-26</v>
      </c>
      <c r="D67" s="963" t="s">
        <v>753</v>
      </c>
      <c r="E67" s="968"/>
      <c r="F67" s="969"/>
      <c r="O67" s="1428" t="s">
        <v>405</v>
      </c>
      <c r="P67" s="1419" t="s">
        <v>850</v>
      </c>
      <c r="Q67" s="1466">
        <f ca="1">L51</f>
        <v>-2642</v>
      </c>
      <c r="R67" s="1420" t="s">
        <v>870</v>
      </c>
    </row>
    <row r="68" spans="1:18" s="1384" customFormat="1" ht="16.5" thickBot="1">
      <c r="A68" s="947" t="s">
        <v>395</v>
      </c>
      <c r="B68" s="948" t="s">
        <v>774</v>
      </c>
      <c r="C68" s="301">
        <f ca="1">ROUND(C67*(1-((1+F70)/(1+F68))^F69)/(F68-F70),0)</f>
        <v>-325</v>
      </c>
      <c r="D68" s="965" t="s">
        <v>758</v>
      </c>
      <c r="E68" s="950" t="s">
        <v>759</v>
      </c>
      <c r="F68" s="312">
        <f ca="1">F40</f>
        <v>5.5E-2</v>
      </c>
      <c r="O68" s="1428" t="s">
        <v>406</v>
      </c>
      <c r="P68" s="1467" t="s">
        <v>871</v>
      </c>
      <c r="Q68" s="1420">
        <f ca="1">ROUND(Q69-Q70*Q71,0)</f>
        <v>-146</v>
      </c>
      <c r="R68" s="1420" t="s">
        <v>414</v>
      </c>
    </row>
    <row r="69" spans="1:18" s="1384" customFormat="1" ht="13.5" thickBot="1">
      <c r="A69" s="951"/>
      <c r="B69" s="952"/>
      <c r="C69" s="306"/>
      <c r="D69" s="970" t="s">
        <v>762</v>
      </c>
      <c r="E69" s="950" t="s">
        <v>763</v>
      </c>
      <c r="F69" s="333">
        <f ca="1">F41</f>
        <v>21.67</v>
      </c>
      <c r="O69" s="1428" t="s">
        <v>411</v>
      </c>
      <c r="P69" s="1467" t="s">
        <v>872</v>
      </c>
      <c r="Q69" s="1420">
        <f ca="1">C39</f>
        <v>194</v>
      </c>
      <c r="R69" s="1420" t="s">
        <v>818</v>
      </c>
    </row>
    <row r="70" spans="1:18" s="1384" customFormat="1" ht="13.5" thickBot="1">
      <c r="A70" s="954"/>
      <c r="B70" s="955"/>
      <c r="C70" s="310"/>
      <c r="D70" s="966"/>
      <c r="E70" s="950" t="s">
        <v>766</v>
      </c>
      <c r="F70" s="1054"/>
      <c r="O70" s="1428" t="s">
        <v>412</v>
      </c>
      <c r="P70" s="1467" t="s">
        <v>873</v>
      </c>
      <c r="Q70" s="1420">
        <f ca="1">C13</f>
        <v>4859</v>
      </c>
      <c r="R70" s="1420" t="s">
        <v>818</v>
      </c>
    </row>
    <row r="71" spans="1:18" s="1384" customFormat="1" ht="13.5" thickBot="1">
      <c r="A71" s="971" t="s">
        <v>396</v>
      </c>
      <c r="B71" s="972" t="s">
        <v>776</v>
      </c>
      <c r="C71" s="336">
        <f ca="1">ROUND(C68*10000/F71,0)</f>
        <v>-291</v>
      </c>
      <c r="D71" s="973" t="s">
        <v>777</v>
      </c>
      <c r="E71" s="974" t="s">
        <v>778</v>
      </c>
      <c r="F71" s="339">
        <f ca="1">F43</f>
        <v>11153.76</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340</v>
      </c>
      <c r="D75" s="1384"/>
      <c r="E75" s="1384"/>
      <c r="F75" s="1384"/>
      <c r="K75" s="1402"/>
      <c r="L75" s="1384"/>
      <c r="O75" s="1418" t="s">
        <v>409</v>
      </c>
      <c r="P75" s="1419" t="s">
        <v>838</v>
      </c>
      <c r="Q75" s="1420">
        <f ca="1">Q65+Q66</f>
        <v>2751</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-0.75299999999999989</v>
      </c>
    </row>
    <row r="80" spans="1:18">
      <c r="B80" s="340" t="s">
        <v>800</v>
      </c>
      <c r="C80" s="274">
        <f ca="1">ROUND(C75/C39,3)</f>
        <v>1.7529999999999999</v>
      </c>
    </row>
    <row r="81" spans="2:3">
      <c r="B81" s="270" t="s">
        <v>801</v>
      </c>
      <c r="C81" s="238"/>
    </row>
    <row r="82" spans="2:3">
      <c r="B82" s="273" t="s">
        <v>802</v>
      </c>
      <c r="C82" s="275">
        <f ca="1">1-C83</f>
        <v>-0.76600000000000001</v>
      </c>
    </row>
    <row r="83" spans="2:3">
      <c r="B83" s="273" t="s">
        <v>803</v>
      </c>
      <c r="C83" s="274">
        <f ca="1">ROUND(C13/C40,3)</f>
        <v>1.766</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155" priority="4">
      <formula>$L$48&gt;$J$51</formula>
    </cfRule>
  </conditionalFormatting>
  <conditionalFormatting sqref="I55 I60">
    <cfRule type="expression" dxfId="154" priority="5">
      <formula>$J$51&gt;$L$48</formula>
    </cfRule>
  </conditionalFormatting>
  <conditionalFormatting sqref="C11">
    <cfRule type="expression" dxfId="153" priority="3">
      <formula>$F$10="自定义"</formula>
    </cfRule>
  </conditionalFormatting>
  <conditionalFormatting sqref="J11">
    <cfRule type="expression" dxfId="152" priority="2">
      <formula>$M$10="自定义"</formula>
    </cfRule>
  </conditionalFormatting>
  <conditionalFormatting sqref="C54">
    <cfRule type="expression" dxfId="151"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B3" sqref="B3"/>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1658</v>
      </c>
      <c r="B1" s="1868"/>
      <c r="C1" s="1868"/>
      <c r="D1" s="1868"/>
      <c r="E1" s="1869"/>
      <c r="F1" s="2706"/>
      <c r="G1" s="1489"/>
      <c r="H1" s="1489"/>
      <c r="I1" s="1489"/>
      <c r="J1" s="1489"/>
      <c r="K1" s="1489"/>
      <c r="L1" s="1489"/>
      <c r="M1" s="1489"/>
      <c r="N1" s="1489"/>
      <c r="O1" s="1489"/>
      <c r="P1" s="1489"/>
      <c r="Q1" s="1489"/>
      <c r="R1" s="1489"/>
      <c r="S1" s="1489"/>
    </row>
    <row r="2" spans="1:22" ht="15.75">
      <c r="A2" s="1870" t="s">
        <v>1462</v>
      </c>
      <c r="B2" s="1871">
        <f ca="1">SUMIF(B6:B13,"&lt;&gt;#ref!",B6:B13)</f>
        <v>188608</v>
      </c>
      <c r="C2" s="1872" t="s">
        <v>1651</v>
      </c>
      <c r="D2" s="1873" t="s">
        <v>1652</v>
      </c>
      <c r="E2" s="2606">
        <f>SUM(E6:E13)</f>
        <v>51034.460000000006</v>
      </c>
      <c r="F2" s="2706"/>
      <c r="G2" s="1489"/>
      <c r="H2" s="1489"/>
      <c r="I2" s="1489"/>
      <c r="J2" s="1489"/>
      <c r="K2" s="1489"/>
      <c r="L2" s="1489"/>
      <c r="M2" s="1489"/>
      <c r="N2" s="1489"/>
      <c r="O2" s="1489"/>
      <c r="P2" s="1489"/>
      <c r="Q2" s="1489"/>
      <c r="R2" s="1489"/>
      <c r="S2" s="1489"/>
    </row>
    <row r="3" spans="1:22" ht="15.75">
      <c r="A3" s="1870" t="s">
        <v>686</v>
      </c>
      <c r="B3" s="2600">
        <f ca="1">ROUND(B2*10000/E2,0)</f>
        <v>36957</v>
      </c>
      <c r="C3" s="1872" t="s">
        <v>1659</v>
      </c>
      <c r="D3" s="2708"/>
      <c r="E3" s="2710"/>
      <c r="F3" s="2706"/>
      <c r="G3" s="1489"/>
      <c r="H3" s="1489"/>
      <c r="I3" s="1489"/>
      <c r="J3" s="1489"/>
      <c r="K3" s="1489"/>
      <c r="L3" s="1489"/>
      <c r="M3" s="1489"/>
      <c r="N3" s="1489"/>
      <c r="O3" s="1489"/>
      <c r="P3" s="1489"/>
      <c r="Q3" s="1489"/>
      <c r="R3" s="1489"/>
      <c r="S3" s="1489"/>
    </row>
    <row r="4" spans="1:22" ht="15.75">
      <c r="A4" s="2711"/>
      <c r="B4" s="2708"/>
      <c r="C4" s="2708"/>
      <c r="D4" s="2708"/>
      <c r="E4" s="2710"/>
      <c r="F4" s="2706"/>
      <c r="G4" s="1489"/>
      <c r="H4" s="1489"/>
      <c r="I4" s="1489"/>
      <c r="J4" s="1489"/>
      <c r="K4" s="1489"/>
      <c r="L4" s="1489"/>
      <c r="M4" s="1489"/>
      <c r="N4" s="1489"/>
      <c r="O4" s="1489"/>
      <c r="P4" s="1489"/>
      <c r="Q4" s="1489"/>
      <c r="R4" s="1489"/>
      <c r="S4" s="1489"/>
    </row>
    <row r="5" spans="1:22" ht="15">
      <c r="A5" s="2602" t="s">
        <v>1653</v>
      </c>
      <c r="B5" s="3790" t="s">
        <v>1654</v>
      </c>
      <c r="C5" s="3791"/>
      <c r="D5" s="2707"/>
      <c r="E5" s="1874" t="s">
        <v>1655</v>
      </c>
      <c r="F5" s="1875" t="s">
        <v>1656</v>
      </c>
      <c r="G5" s="1489"/>
      <c r="H5" s="1489"/>
      <c r="I5" s="1489"/>
      <c r="J5" s="1489"/>
      <c r="K5" s="1489"/>
      <c r="L5" s="1489"/>
      <c r="M5" s="1489"/>
      <c r="N5" s="1489"/>
      <c r="O5" s="1489"/>
      <c r="P5" s="1489"/>
      <c r="Q5" s="1489"/>
      <c r="R5" s="1489"/>
      <c r="S5" s="1489"/>
    </row>
    <row r="6" spans="1:22">
      <c r="A6" s="2603" t="str">
        <f>'数据-取费表'!AN6</f>
        <v>收益法</v>
      </c>
      <c r="B6" s="2601">
        <f ca="1">IF(F6="是",'数据-取费表'!AO6,0)</f>
        <v>185857</v>
      </c>
      <c r="C6" s="1872" t="s">
        <v>1651</v>
      </c>
      <c r="D6" s="2708"/>
      <c r="E6" s="2605">
        <f>IF(OR(A6=0,F6="否"),0,'数据-取费表'!K6+'数据-取费表'!S6)</f>
        <v>39880.700000000004</v>
      </c>
      <c r="F6" s="1876" t="s">
        <v>1657</v>
      </c>
      <c r="G6" s="1489"/>
      <c r="H6" s="1489"/>
      <c r="I6" s="1489"/>
      <c r="J6" s="1489"/>
      <c r="K6" s="1489"/>
      <c r="L6" s="1489"/>
      <c r="M6" s="1489"/>
      <c r="N6" s="1489"/>
      <c r="O6" s="1489"/>
      <c r="P6" s="1489"/>
      <c r="Q6" s="1489"/>
      <c r="R6" s="1489"/>
      <c r="S6" s="1489"/>
    </row>
    <row r="7" spans="1:22">
      <c r="A7" s="2603" t="str">
        <f>'数据-取费表'!AN7</f>
        <v>收益法 (车位)</v>
      </c>
      <c r="B7" s="2601">
        <f ca="1">IF(F7="是",'数据-取费表'!AO7,0)</f>
        <v>2751</v>
      </c>
      <c r="C7" s="1872" t="s">
        <v>1651</v>
      </c>
      <c r="D7" s="2708"/>
      <c r="E7" s="2605">
        <f>IF(OR(A7=0,F7="否"),0,'数据-取费表'!K7+'数据-取费表'!S7)</f>
        <v>11153.76</v>
      </c>
      <c r="F7" s="1876" t="s">
        <v>1657</v>
      </c>
      <c r="G7" s="1489"/>
      <c r="H7" s="1489"/>
      <c r="I7" s="1489"/>
      <c r="J7" s="1489"/>
      <c r="K7" s="1489"/>
      <c r="L7" s="1489"/>
      <c r="M7" s="1489"/>
      <c r="N7" s="1489"/>
      <c r="O7" s="1489"/>
      <c r="P7" s="1489"/>
      <c r="Q7" s="1489"/>
      <c r="R7" s="1489"/>
      <c r="S7" s="1489"/>
    </row>
    <row r="8" spans="1:22">
      <c r="A8" s="2603">
        <f>'数据-取费表'!AN8</f>
        <v>0</v>
      </c>
      <c r="B8" s="2601" t="e">
        <f ca="1">IF(F8="是",'数据-取费表'!AO8,0)</f>
        <v>#REF!</v>
      </c>
      <c r="C8" s="1872" t="s">
        <v>1651</v>
      </c>
      <c r="D8" s="2708"/>
      <c r="E8" s="2605">
        <f>IF(OR(A8=0,F8="否"),0,'数据-取费表'!K8+'数据-取费表'!S8)</f>
        <v>0</v>
      </c>
      <c r="F8" s="1876" t="s">
        <v>1657</v>
      </c>
      <c r="G8" s="1489"/>
      <c r="H8" s="1489"/>
      <c r="I8" s="1489"/>
      <c r="J8" s="1489"/>
      <c r="K8" s="1489"/>
      <c r="L8" s="1489"/>
      <c r="M8" s="1489"/>
      <c r="N8" s="1489"/>
      <c r="O8" s="1489"/>
      <c r="P8" s="1489"/>
      <c r="Q8" s="1489"/>
      <c r="R8" s="1489"/>
      <c r="S8" s="1489"/>
    </row>
    <row r="9" spans="1:22">
      <c r="A9" s="2603">
        <f>'数据-取费表'!AN9</f>
        <v>0</v>
      </c>
      <c r="B9" s="2601" t="e">
        <f ca="1">IF(F9="是",'数据-取费表'!AO9,0)</f>
        <v>#REF!</v>
      </c>
      <c r="C9" s="1872" t="s">
        <v>1651</v>
      </c>
      <c r="D9" s="2708"/>
      <c r="E9" s="2605">
        <f>IF(OR(A9=0,F9="否"),0,'数据-取费表'!K9+'数据-取费表'!S9)</f>
        <v>0</v>
      </c>
      <c r="F9" s="1876" t="s">
        <v>1657</v>
      </c>
      <c r="G9" s="1489"/>
      <c r="H9" s="1489"/>
      <c r="I9" s="1489"/>
      <c r="J9" s="1489"/>
      <c r="K9" s="1489"/>
      <c r="L9" s="1489"/>
      <c r="M9" s="1489"/>
      <c r="N9" s="1489"/>
      <c r="O9" s="1489"/>
      <c r="P9" s="1489"/>
      <c r="Q9" s="1489"/>
      <c r="R9" s="1489"/>
      <c r="S9" s="1489"/>
    </row>
    <row r="10" spans="1:22">
      <c r="A10" s="2603">
        <f>'数据-取费表'!AN10</f>
        <v>0</v>
      </c>
      <c r="B10" s="2601" t="e">
        <f ca="1">IF(F10="是",'数据-取费表'!AO10,0)</f>
        <v>#REF!</v>
      </c>
      <c r="C10" s="1872" t="s">
        <v>1651</v>
      </c>
      <c r="D10" s="2708"/>
      <c r="E10" s="2605">
        <f>IF(OR(A10=0,F10="否"),0,'数据-取费表'!K10+'数据-取费表'!S10)</f>
        <v>0</v>
      </c>
      <c r="F10" s="1876" t="s">
        <v>1657</v>
      </c>
      <c r="G10" s="1489"/>
      <c r="H10" s="1489"/>
      <c r="I10" s="1489"/>
      <c r="J10" s="1489"/>
      <c r="K10" s="1489"/>
      <c r="L10" s="1489"/>
      <c r="M10" s="1489"/>
      <c r="N10" s="1489"/>
      <c r="O10" s="1489"/>
      <c r="P10" s="1489"/>
      <c r="Q10" s="1489"/>
      <c r="R10" s="1489"/>
      <c r="S10" s="1489"/>
    </row>
    <row r="11" spans="1:22">
      <c r="A11" s="2603">
        <f>'数据-取费表'!AN11</f>
        <v>0</v>
      </c>
      <c r="B11" s="2601" t="e">
        <f ca="1">IF(F11="是",'数据-取费表'!AO11,0)</f>
        <v>#REF!</v>
      </c>
      <c r="C11" s="1872" t="s">
        <v>1651</v>
      </c>
      <c r="D11" s="2708"/>
      <c r="E11" s="2605">
        <f>IF(OR(A11=0,F11="否"),0,'数据-取费表'!K11+'数据-取费表'!S11)</f>
        <v>0</v>
      </c>
      <c r="F11" s="1876" t="s">
        <v>1657</v>
      </c>
      <c r="G11" s="1489"/>
      <c r="H11" s="1489"/>
      <c r="I11" s="1489"/>
      <c r="J11" s="1489"/>
      <c r="K11" s="1489"/>
      <c r="L11" s="1489"/>
      <c r="M11" s="1489"/>
      <c r="N11" s="1489"/>
      <c r="O11" s="1489"/>
      <c r="P11" s="1489"/>
      <c r="Q11" s="1489"/>
      <c r="R11" s="1489"/>
      <c r="S11" s="1489"/>
    </row>
    <row r="12" spans="1:22">
      <c r="A12" s="2603">
        <f>'数据-取费表'!AN12</f>
        <v>0</v>
      </c>
      <c r="B12" s="2601" t="e">
        <f ca="1">IF(F12="是",'数据-取费表'!AO12,0)</f>
        <v>#REF!</v>
      </c>
      <c r="C12" s="1872" t="s">
        <v>1651</v>
      </c>
      <c r="D12" s="2708"/>
      <c r="E12" s="2605">
        <f>IF(OR(A12=0,F12="否"),0,'数据-取费表'!K12+'数据-取费表'!S12)</f>
        <v>0</v>
      </c>
      <c r="F12" s="1876" t="s">
        <v>1657</v>
      </c>
      <c r="G12" s="1489"/>
      <c r="H12" s="1489"/>
      <c r="I12" s="1489"/>
      <c r="J12" s="1489"/>
      <c r="K12" s="1489"/>
      <c r="L12" s="1489"/>
      <c r="M12" s="1489"/>
      <c r="N12" s="1489"/>
      <c r="O12" s="1489"/>
      <c r="P12" s="1489"/>
      <c r="Q12" s="1489"/>
      <c r="R12" s="1489"/>
      <c r="S12" s="1489"/>
    </row>
    <row r="13" spans="1:22" ht="15" thickBot="1">
      <c r="A13" s="2604">
        <f>'数据-取费表'!AN13</f>
        <v>0</v>
      </c>
      <c r="B13" s="2601" t="e">
        <f ca="1">IF(F13="是",'数据-取费表'!AO13,0)</f>
        <v>#REF!</v>
      </c>
      <c r="C13" s="1877" t="s">
        <v>1651</v>
      </c>
      <c r="D13" s="2709"/>
      <c r="E13" s="2605">
        <f>IF(OR(A13=0,F13="否"),0,'数据-取费表'!K13+'数据-取费表'!S13)</f>
        <v>0</v>
      </c>
      <c r="F13" s="1876" t="s">
        <v>1657</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E2" sqref="E2"/>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1661</v>
      </c>
      <c r="C1" s="1238" t="s">
        <v>1662</v>
      </c>
      <c r="D1" s="1225"/>
      <c r="E1" s="3425"/>
      <c r="F1" s="1879"/>
      <c r="G1" s="1235" t="s">
        <v>1663</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6"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1664</v>
      </c>
      <c r="F2" s="1883"/>
      <c r="G2" s="907"/>
      <c r="H2" s="907"/>
      <c r="I2" s="907"/>
      <c r="J2" s="907"/>
      <c r="K2" s="1884"/>
      <c r="L2" s="2712"/>
      <c r="M2" s="2713"/>
      <c r="N2" s="2713"/>
      <c r="O2" s="2713"/>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1665</v>
      </c>
      <c r="D3" s="353">
        <f>IF(D1="",'数据-汇总表'!E3,SUMIF('数据-汇总表'!$C19:$C33,D1,'数据-汇总表'!$E19:$E33))</f>
        <v>51034.460000000006</v>
      </c>
      <c r="E3" s="907"/>
      <c r="F3" s="1888"/>
      <c r="G3" s="907"/>
      <c r="H3" s="907"/>
      <c r="I3" s="907"/>
      <c r="J3" s="907"/>
      <c r="K3" s="1884"/>
      <c r="L3" s="2712"/>
      <c r="M3" s="2713"/>
      <c r="N3" s="2713"/>
      <c r="O3" s="2713"/>
      <c r="P3" s="1885"/>
      <c r="Q3" s="1886"/>
      <c r="R3" s="1886"/>
      <c r="S3" s="1886"/>
      <c r="T3" s="1886"/>
      <c r="U3" s="1886"/>
      <c r="V3" s="1886"/>
      <c r="W3" s="1886"/>
      <c r="X3" s="1886"/>
      <c r="Y3" s="1886"/>
      <c r="Z3" s="1886"/>
      <c r="AA3" s="1886"/>
      <c r="AB3" s="1886"/>
      <c r="AC3" s="1061"/>
    </row>
    <row r="4" spans="1:29" ht="15">
      <c r="A4" s="355" t="s">
        <v>1666</v>
      </c>
      <c r="B4" s="356"/>
      <c r="C4" s="3810" t="s">
        <v>1667</v>
      </c>
      <c r="D4" s="3811"/>
      <c r="E4" s="3812" t="s">
        <v>1668</v>
      </c>
      <c r="F4" s="3813"/>
      <c r="G4" s="3810" t="s">
        <v>1669</v>
      </c>
      <c r="H4" s="3811"/>
      <c r="I4" s="3810" t="s">
        <v>1670</v>
      </c>
      <c r="J4" s="3811"/>
      <c r="K4" s="1889" t="s">
        <v>1671</v>
      </c>
      <c r="L4" s="2714"/>
      <c r="M4" s="2715"/>
      <c r="N4" s="2715"/>
      <c r="O4" s="2715"/>
      <c r="P4" s="3814" t="s">
        <v>1672</v>
      </c>
      <c r="Q4" s="3815"/>
      <c r="R4" s="3797" t="s">
        <v>1668</v>
      </c>
      <c r="S4" s="3798"/>
      <c r="T4" s="3797" t="s">
        <v>1669</v>
      </c>
      <c r="U4" s="3798"/>
      <c r="V4" s="3822" t="s">
        <v>1670</v>
      </c>
      <c r="W4" s="3822"/>
      <c r="X4" s="1355"/>
      <c r="Y4" s="3797" t="s">
        <v>1672</v>
      </c>
      <c r="Z4" s="3798"/>
      <c r="AA4" s="3792" t="s">
        <v>1668</v>
      </c>
      <c r="AB4" s="3792" t="s">
        <v>1669</v>
      </c>
      <c r="AC4" s="3792" t="s">
        <v>1670</v>
      </c>
    </row>
    <row r="5" spans="1:29" ht="15">
      <c r="A5" s="358"/>
      <c r="B5" s="359"/>
      <c r="C5" s="3803" t="s">
        <v>1673</v>
      </c>
      <c r="D5" s="3804"/>
      <c r="E5" s="3801" t="s">
        <v>1674</v>
      </c>
      <c r="F5" s="3802"/>
      <c r="G5" s="3803" t="s">
        <v>1675</v>
      </c>
      <c r="H5" s="3804"/>
      <c r="I5" s="3803" t="s">
        <v>1676</v>
      </c>
      <c r="J5" s="3804"/>
      <c r="K5" s="1890"/>
      <c r="L5" s="2714"/>
      <c r="M5" s="2715"/>
      <c r="N5" s="2715"/>
      <c r="O5" s="2715"/>
      <c r="P5" s="3816"/>
      <c r="Q5" s="3817"/>
      <c r="R5" s="3799"/>
      <c r="S5" s="3800"/>
      <c r="T5" s="3799"/>
      <c r="U5" s="3800"/>
      <c r="V5" s="3822"/>
      <c r="W5" s="3822"/>
      <c r="X5" s="1355"/>
      <c r="Y5" s="3799"/>
      <c r="Z5" s="3800"/>
      <c r="AA5" s="3793"/>
      <c r="AB5" s="3793"/>
      <c r="AC5" s="3793"/>
    </row>
    <row r="6" spans="1:29" ht="15.75" thickBot="1">
      <c r="A6" s="360"/>
      <c r="B6" s="361"/>
      <c r="C6" s="3805" t="s">
        <v>1677</v>
      </c>
      <c r="D6" s="3806"/>
      <c r="E6" s="3807" t="s">
        <v>1677</v>
      </c>
      <c r="F6" s="3808"/>
      <c r="G6" s="3805" t="s">
        <v>1677</v>
      </c>
      <c r="H6" s="3806"/>
      <c r="I6" s="3805" t="s">
        <v>1677</v>
      </c>
      <c r="J6" s="3806"/>
      <c r="K6" s="1890" t="s">
        <v>1678</v>
      </c>
      <c r="L6" s="2714"/>
      <c r="M6" s="2715"/>
      <c r="N6" s="2715"/>
      <c r="O6" s="2715"/>
      <c r="P6" s="3818"/>
      <c r="Q6" s="3819"/>
      <c r="R6" s="3799"/>
      <c r="S6" s="3800"/>
      <c r="T6" s="3820"/>
      <c r="U6" s="3821"/>
      <c r="V6" s="3822"/>
      <c r="W6" s="3822"/>
      <c r="X6" s="1355"/>
      <c r="Y6" s="3820"/>
      <c r="Z6" s="3821"/>
      <c r="AA6" s="3794"/>
      <c r="AB6" s="3794"/>
      <c r="AC6" s="3794"/>
    </row>
    <row r="7" spans="1:29" s="108" customFormat="1" ht="15.75" thickBot="1">
      <c r="A7" s="362" t="s">
        <v>1679</v>
      </c>
      <c r="B7" s="363"/>
      <c r="C7" s="364">
        <f>'数据-取费表'!B2</f>
        <v>44926</v>
      </c>
      <c r="D7" s="365">
        <v>100</v>
      </c>
      <c r="E7" s="366"/>
      <c r="F7" s="367">
        <f>SUMIF(58:58,YEAR(E7)&amp;"-"&amp;MONTH(E7),59:59)</f>
        <v>0</v>
      </c>
      <c r="G7" s="366"/>
      <c r="H7" s="365">
        <f>SUMIF(58:58,YEAR(G7)&amp;"-"&amp;MONTH(G7),59:59)</f>
        <v>0</v>
      </c>
      <c r="I7" s="366"/>
      <c r="J7" s="365">
        <f>SUMIF(58:58,YEAR(I7)&amp;"-"&amp;MONTH(I7),59:59)</f>
        <v>0</v>
      </c>
      <c r="K7" s="1891"/>
      <c r="L7" s="2716"/>
      <c r="M7" s="2717"/>
      <c r="N7" s="2717"/>
      <c r="O7" s="2717"/>
      <c r="P7" s="3795" t="s">
        <v>1680</v>
      </c>
      <c r="Q7" s="3823"/>
      <c r="R7" s="701" t="s">
        <v>20</v>
      </c>
      <c r="S7" s="702">
        <f t="shared" ref="S7:S15" si="0">F7</f>
        <v>0</v>
      </c>
      <c r="T7" s="701" t="s">
        <v>20</v>
      </c>
      <c r="U7" s="702">
        <f t="shared" ref="U7:U15" si="1">H7</f>
        <v>0</v>
      </c>
      <c r="V7" s="701" t="s">
        <v>20</v>
      </c>
      <c r="W7" s="702">
        <f t="shared" ref="W7:W15" si="2">J7</f>
        <v>0</v>
      </c>
      <c r="X7" s="703"/>
      <c r="Y7" s="3795" t="s">
        <v>1680</v>
      </c>
      <c r="Z7" s="3796"/>
      <c r="AA7" s="704" t="e">
        <f>D7/F7</f>
        <v>#DIV/0!</v>
      </c>
      <c r="AB7" s="704" t="e">
        <f>D7/H7</f>
        <v>#DIV/0!</v>
      </c>
      <c r="AC7" s="704" t="e">
        <f>D7/J7</f>
        <v>#DIV/0!</v>
      </c>
    </row>
    <row r="8" spans="1:29" s="108" customFormat="1" ht="15.75" thickBot="1">
      <c r="A8" s="362" t="s">
        <v>1681</v>
      </c>
      <c r="B8" s="363"/>
      <c r="C8" s="368"/>
      <c r="D8" s="365">
        <v>100</v>
      </c>
      <c r="E8" s="1892"/>
      <c r="F8" s="367">
        <f>SUMIF(61:61,E8,62:62)-SUMIF(61:61,C8,62:62)+100</f>
        <v>100</v>
      </c>
      <c r="G8" s="368"/>
      <c r="H8" s="365">
        <f>SUMIF(61:61,G8,62:62)-SUMIF(61:61,C8,62:62)+100</f>
        <v>100</v>
      </c>
      <c r="I8" s="1892"/>
      <c r="J8" s="365">
        <f>SUMIF(61:61,I8,62:62)-SUMIF(61:61,C8,62:62)+100</f>
        <v>100</v>
      </c>
      <c r="K8" s="1891"/>
      <c r="L8" s="2716"/>
      <c r="M8" s="2717"/>
      <c r="N8" s="2717"/>
      <c r="O8" s="2717"/>
      <c r="P8" s="3795" t="s">
        <v>1683</v>
      </c>
      <c r="Q8" s="3796"/>
      <c r="R8" s="701" t="s">
        <v>20</v>
      </c>
      <c r="S8" s="702">
        <f t="shared" si="0"/>
        <v>100</v>
      </c>
      <c r="T8" s="701" t="s">
        <v>20</v>
      </c>
      <c r="U8" s="702">
        <f t="shared" si="1"/>
        <v>100</v>
      </c>
      <c r="V8" s="701" t="s">
        <v>20</v>
      </c>
      <c r="W8" s="702">
        <f t="shared" si="2"/>
        <v>100</v>
      </c>
      <c r="X8" s="703"/>
      <c r="Y8" s="3795" t="s">
        <v>1683</v>
      </c>
      <c r="Z8" s="3796"/>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1"/>
      <c r="L9" s="2716"/>
      <c r="M9" s="2717"/>
      <c r="N9" s="2717"/>
      <c r="O9" s="2717"/>
      <c r="P9" s="3809" t="s">
        <v>1686</v>
      </c>
      <c r="Q9" s="1343" t="str">
        <f t="shared" ref="Q9:Q15" si="6">B9</f>
        <v>用途</v>
      </c>
      <c r="R9" s="701" t="s">
        <v>14</v>
      </c>
      <c r="S9" s="702">
        <f t="shared" si="0"/>
        <v>100</v>
      </c>
      <c r="T9" s="701" t="s">
        <v>14</v>
      </c>
      <c r="U9" s="702">
        <f t="shared" si="1"/>
        <v>100</v>
      </c>
      <c r="V9" s="701" t="s">
        <v>14</v>
      </c>
      <c r="W9" s="702">
        <f t="shared" si="2"/>
        <v>100</v>
      </c>
      <c r="X9" s="703"/>
      <c r="Y9" s="3720" t="s">
        <v>1687</v>
      </c>
      <c r="Z9" s="52" t="str">
        <f t="shared" ref="Z9:Z15" si="7">Q9</f>
        <v>用途</v>
      </c>
      <c r="AA9" s="704">
        <f t="shared" si="3"/>
        <v>1</v>
      </c>
      <c r="AB9" s="704">
        <f t="shared" si="4"/>
        <v>1</v>
      </c>
      <c r="AC9" s="704">
        <f t="shared" si="5"/>
        <v>1</v>
      </c>
    </row>
    <row r="10" spans="1:29" s="378" customFormat="1" ht="27">
      <c r="A10" s="374"/>
      <c r="B10" s="375" t="s">
        <v>1688</v>
      </c>
      <c r="C10" s="3433"/>
      <c r="D10" s="127">
        <v>100</v>
      </c>
      <c r="E10" s="3434"/>
      <c r="F10" s="376">
        <f>SUMIF(65:65,E10,66:66)-SUMIF(65:65,C10,66:66)+100</f>
        <v>100</v>
      </c>
      <c r="G10" s="3433"/>
      <c r="H10" s="127">
        <f>SUMIF(65:65,G10,66:66)-SUMIF(65:65,C10,66:66)+100</f>
        <v>100</v>
      </c>
      <c r="I10" s="3433"/>
      <c r="J10" s="127">
        <f>SUMIF(65:65,I10,66:66)-SUMIF(65:65,C10,66:66)+100</f>
        <v>100</v>
      </c>
      <c r="K10" s="1891"/>
      <c r="L10" s="2718"/>
      <c r="M10" s="2719"/>
      <c r="N10" s="2719"/>
      <c r="O10" s="2719"/>
      <c r="P10" s="3809"/>
      <c r="Q10" s="1343" t="str">
        <f t="shared" si="6"/>
        <v>土地使用年限（年）</v>
      </c>
      <c r="R10" s="701" t="s">
        <v>14</v>
      </c>
      <c r="S10" s="702">
        <f t="shared" si="0"/>
        <v>100</v>
      </c>
      <c r="T10" s="701" t="s">
        <v>14</v>
      </c>
      <c r="U10" s="702">
        <f t="shared" si="1"/>
        <v>100</v>
      </c>
      <c r="V10" s="701" t="s">
        <v>14</v>
      </c>
      <c r="W10" s="702">
        <f t="shared" si="2"/>
        <v>100</v>
      </c>
      <c r="X10" s="703"/>
      <c r="Y10" s="3720"/>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20"/>
      <c r="M11" s="2715"/>
      <c r="N11" s="2715"/>
      <c r="O11" s="2715"/>
      <c r="P11" s="3809"/>
      <c r="Q11" s="1343" t="str">
        <f t="shared" si="6"/>
        <v>容积率</v>
      </c>
      <c r="R11" s="701" t="s">
        <v>18</v>
      </c>
      <c r="S11" s="702" t="e">
        <f t="shared" si="0"/>
        <v>#N/A</v>
      </c>
      <c r="T11" s="701" t="s">
        <v>18</v>
      </c>
      <c r="U11" s="702" t="e">
        <f t="shared" si="1"/>
        <v>#N/A</v>
      </c>
      <c r="V11" s="701" t="s">
        <v>18</v>
      </c>
      <c r="W11" s="702" t="e">
        <f t="shared" si="2"/>
        <v>#N/A</v>
      </c>
      <c r="X11" s="703"/>
      <c r="Y11" s="3720"/>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6"/>
      <c r="M12" s="2717"/>
      <c r="N12" s="2717"/>
      <c r="O12" s="2717"/>
      <c r="P12" s="3809"/>
      <c r="Q12" s="1343">
        <f t="shared" si="6"/>
        <v>111</v>
      </c>
      <c r="R12" s="701" t="s">
        <v>18</v>
      </c>
      <c r="S12" s="702">
        <f t="shared" si="0"/>
        <v>100</v>
      </c>
      <c r="T12" s="701" t="s">
        <v>18</v>
      </c>
      <c r="U12" s="702">
        <f t="shared" si="1"/>
        <v>100</v>
      </c>
      <c r="V12" s="701" t="s">
        <v>18</v>
      </c>
      <c r="W12" s="702">
        <f t="shared" si="2"/>
        <v>100</v>
      </c>
      <c r="X12" s="703"/>
      <c r="Y12" s="3720"/>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1"/>
      <c r="M13" s="2715"/>
      <c r="N13" s="2715"/>
      <c r="O13" s="2715"/>
      <c r="P13" s="3809"/>
      <c r="Q13" s="1343">
        <f t="shared" si="6"/>
        <v>111</v>
      </c>
      <c r="R13" s="701" t="s">
        <v>18</v>
      </c>
      <c r="S13" s="702">
        <f t="shared" si="0"/>
        <v>100</v>
      </c>
      <c r="T13" s="701" t="s">
        <v>18</v>
      </c>
      <c r="U13" s="702">
        <f t="shared" si="1"/>
        <v>100</v>
      </c>
      <c r="V13" s="701" t="s">
        <v>18</v>
      </c>
      <c r="W13" s="702">
        <f t="shared" si="2"/>
        <v>100</v>
      </c>
      <c r="X13" s="703"/>
      <c r="Y13" s="3720"/>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1"/>
      <c r="M14" s="2715"/>
      <c r="N14" s="2715"/>
      <c r="O14" s="2715"/>
      <c r="P14" s="3809"/>
      <c r="Q14" s="1343">
        <f t="shared" si="6"/>
        <v>111</v>
      </c>
      <c r="R14" s="701" t="s">
        <v>18</v>
      </c>
      <c r="S14" s="702">
        <f t="shared" si="0"/>
        <v>100</v>
      </c>
      <c r="T14" s="701" t="s">
        <v>18</v>
      </c>
      <c r="U14" s="702">
        <f t="shared" si="1"/>
        <v>100</v>
      </c>
      <c r="V14" s="701" t="s">
        <v>18</v>
      </c>
      <c r="W14" s="702">
        <f t="shared" si="2"/>
        <v>100</v>
      </c>
      <c r="X14" s="703"/>
      <c r="Y14" s="3720"/>
      <c r="Z14" s="52">
        <f t="shared" si="7"/>
        <v>111</v>
      </c>
      <c r="AA14" s="704">
        <f t="shared" si="3"/>
        <v>1</v>
      </c>
      <c r="AB14" s="704">
        <f t="shared" si="4"/>
        <v>1</v>
      </c>
      <c r="AC14" s="704">
        <f t="shared" si="5"/>
        <v>1</v>
      </c>
    </row>
    <row r="15" spans="1:29" ht="85.5">
      <c r="A15" s="391" t="s">
        <v>1690</v>
      </c>
      <c r="B15" s="61" t="s">
        <v>1257</v>
      </c>
      <c r="C15" s="1896"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1"/>
      <c r="M15" s="2715"/>
      <c r="N15" s="2715"/>
      <c r="O15" s="2715"/>
      <c r="P15" s="3836" t="s">
        <v>1691</v>
      </c>
      <c r="Q15" s="1352" t="str">
        <f t="shared" si="6"/>
        <v>居住社区成熟度</v>
      </c>
      <c r="R15" s="705" t="s">
        <v>18</v>
      </c>
      <c r="S15" s="706">
        <f t="shared" si="0"/>
        <v>100</v>
      </c>
      <c r="T15" s="705" t="s">
        <v>18</v>
      </c>
      <c r="U15" s="706">
        <f t="shared" si="1"/>
        <v>100</v>
      </c>
      <c r="V15" s="705" t="s">
        <v>18</v>
      </c>
      <c r="W15" s="706">
        <f t="shared" si="2"/>
        <v>100</v>
      </c>
      <c r="X15" s="1355"/>
      <c r="Y15" s="3829" t="s">
        <v>1691</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1"/>
      <c r="M16" s="2715"/>
      <c r="N16" s="2715"/>
      <c r="O16" s="2715"/>
      <c r="P16" s="3837"/>
      <c r="Q16" s="1352"/>
      <c r="R16" s="705"/>
      <c r="S16" s="706"/>
      <c r="T16" s="705"/>
      <c r="U16" s="706"/>
      <c r="V16" s="705"/>
      <c r="W16" s="706"/>
      <c r="X16" s="1355"/>
      <c r="Y16" s="3830"/>
      <c r="Z16" s="1356"/>
      <c r="AA16" s="1353">
        <v>1</v>
      </c>
      <c r="AB16" s="1353">
        <v>1</v>
      </c>
      <c r="AC16" s="1353">
        <v>1</v>
      </c>
    </row>
    <row r="17" spans="1:29" ht="15">
      <c r="A17" s="379"/>
      <c r="B17" s="402" t="s">
        <v>1259</v>
      </c>
      <c r="C17" s="1900" t="str">
        <f>估价对象房地状况!C6</f>
        <v>光熙门536米</v>
      </c>
      <c r="D17" s="401">
        <v>100</v>
      </c>
      <c r="E17" s="405"/>
      <c r="F17" s="401">
        <f>SUMIF(78:78,E18,79:79)-SUMIF(78:78,C18,79:79)+100</f>
        <v>100</v>
      </c>
      <c r="G17" s="403"/>
      <c r="H17" s="406">
        <f>SUMIF(78:78,G18,79:79)-SUMIF(78:78,C18,79:79)+100</f>
        <v>100</v>
      </c>
      <c r="I17" s="403"/>
      <c r="J17" s="406">
        <f>SUMIF(78:78,I18,79:79)-SUMIF(78:78,C18,79:79)+100</f>
        <v>100</v>
      </c>
      <c r="K17" s="396"/>
      <c r="L17" s="2721"/>
      <c r="M17" s="2715"/>
      <c r="N17" s="2715"/>
      <c r="O17" s="2715"/>
      <c r="P17" s="3837"/>
      <c r="Q17" s="1352" t="str">
        <f>B17</f>
        <v>交通便捷度</v>
      </c>
      <c r="R17" s="705" t="s">
        <v>18</v>
      </c>
      <c r="S17" s="706">
        <f>F17</f>
        <v>100</v>
      </c>
      <c r="T17" s="705" t="s">
        <v>18</v>
      </c>
      <c r="U17" s="706">
        <f>H17</f>
        <v>100</v>
      </c>
      <c r="V17" s="705" t="s">
        <v>18</v>
      </c>
      <c r="W17" s="706">
        <f>J17</f>
        <v>100</v>
      </c>
      <c r="X17" s="1355"/>
      <c r="Y17" s="3830"/>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1"/>
      <c r="M18" s="2715"/>
      <c r="N18" s="2715"/>
      <c r="O18" s="2715"/>
      <c r="P18" s="3837"/>
      <c r="Q18" s="1352"/>
      <c r="R18" s="705"/>
      <c r="S18" s="706"/>
      <c r="T18" s="705"/>
      <c r="U18" s="706"/>
      <c r="V18" s="705"/>
      <c r="W18" s="706"/>
      <c r="X18" s="1355"/>
      <c r="Y18" s="3830"/>
      <c r="Z18" s="1356"/>
      <c r="AA18" s="1353">
        <v>1</v>
      </c>
      <c r="AB18" s="1353">
        <v>1</v>
      </c>
      <c r="AC18" s="1353">
        <v>1</v>
      </c>
    </row>
    <row r="19" spans="1:29" ht="42.75">
      <c r="A19" s="379"/>
      <c r="B19" s="402" t="s">
        <v>1258</v>
      </c>
      <c r="C19" s="1900"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1"/>
      <c r="M19" s="2715"/>
      <c r="N19" s="2715"/>
      <c r="O19" s="2715"/>
      <c r="P19" s="3837"/>
      <c r="Q19" s="1352" t="str">
        <f>B19</f>
        <v>公共配套设施</v>
      </c>
      <c r="R19" s="705" t="s">
        <v>18</v>
      </c>
      <c r="S19" s="706">
        <f>F19</f>
        <v>100</v>
      </c>
      <c r="T19" s="705" t="s">
        <v>18</v>
      </c>
      <c r="U19" s="706">
        <f>H19</f>
        <v>100</v>
      </c>
      <c r="V19" s="705" t="s">
        <v>18</v>
      </c>
      <c r="W19" s="706">
        <f>J19</f>
        <v>100</v>
      </c>
      <c r="X19" s="1355"/>
      <c r="Y19" s="3830"/>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1"/>
      <c r="M20" s="2715"/>
      <c r="N20" s="2715"/>
      <c r="O20" s="2715"/>
      <c r="P20" s="3837"/>
      <c r="Q20" s="1352"/>
      <c r="R20" s="705"/>
      <c r="S20" s="706"/>
      <c r="T20" s="705"/>
      <c r="U20" s="706"/>
      <c r="V20" s="705"/>
      <c r="W20" s="706"/>
      <c r="X20" s="1355"/>
      <c r="Y20" s="3830"/>
      <c r="Z20" s="1356"/>
      <c r="AA20" s="1353">
        <v>1</v>
      </c>
      <c r="AB20" s="1353">
        <v>1</v>
      </c>
      <c r="AC20" s="1353">
        <v>1</v>
      </c>
    </row>
    <row r="21" spans="1:29" ht="28.5">
      <c r="A21" s="379"/>
      <c r="B21" s="1131" t="s">
        <v>1260</v>
      </c>
      <c r="C21" s="1900"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1"/>
      <c r="M21" s="2715"/>
      <c r="N21" s="2715"/>
      <c r="O21" s="2715"/>
      <c r="P21" s="3837"/>
      <c r="Q21" s="1352" t="str">
        <f>B21</f>
        <v>基础设施水平</v>
      </c>
      <c r="R21" s="705" t="s">
        <v>14</v>
      </c>
      <c r="S21" s="706">
        <f>F21</f>
        <v>100</v>
      </c>
      <c r="T21" s="705" t="s">
        <v>14</v>
      </c>
      <c r="U21" s="706">
        <f>H21</f>
        <v>100</v>
      </c>
      <c r="V21" s="705" t="s">
        <v>14</v>
      </c>
      <c r="W21" s="706">
        <f>J21</f>
        <v>100</v>
      </c>
      <c r="X21" s="1355"/>
      <c r="Y21" s="3830"/>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21"/>
      <c r="M22" s="2715"/>
      <c r="N22" s="2715"/>
      <c r="O22" s="2715"/>
      <c r="P22" s="3837"/>
      <c r="Q22" s="1352"/>
      <c r="R22" s="705"/>
      <c r="S22" s="706"/>
      <c r="T22" s="705"/>
      <c r="U22" s="706"/>
      <c r="V22" s="705"/>
      <c r="W22" s="706"/>
      <c r="X22" s="1355"/>
      <c r="Y22" s="3830"/>
      <c r="Z22" s="1356"/>
      <c r="AA22" s="1353">
        <v>1</v>
      </c>
      <c r="AB22" s="1353">
        <v>1</v>
      </c>
      <c r="AC22" s="1353">
        <v>1</v>
      </c>
    </row>
    <row r="23" spans="1:29" ht="42.75">
      <c r="A23" s="379"/>
      <c r="B23" s="402" t="s">
        <v>1261</v>
      </c>
      <c r="C23" s="1900"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1"/>
      <c r="M23" s="2715"/>
      <c r="N23" s="2715"/>
      <c r="O23" s="2715"/>
      <c r="P23" s="3837"/>
      <c r="Q23" s="1352" t="str">
        <f>B23</f>
        <v>自然及人文环境</v>
      </c>
      <c r="R23" s="705" t="s">
        <v>18</v>
      </c>
      <c r="S23" s="706">
        <f>F23</f>
        <v>100</v>
      </c>
      <c r="T23" s="705" t="s">
        <v>18</v>
      </c>
      <c r="U23" s="706">
        <f>H23</f>
        <v>100</v>
      </c>
      <c r="V23" s="705" t="s">
        <v>18</v>
      </c>
      <c r="W23" s="706">
        <f>J23</f>
        <v>100</v>
      </c>
      <c r="X23" s="1355"/>
      <c r="Y23" s="3830"/>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1"/>
      <c r="M24" s="2715"/>
      <c r="N24" s="2715"/>
      <c r="O24" s="2715"/>
      <c r="P24" s="3837"/>
      <c r="Q24" s="1352"/>
      <c r="R24" s="705"/>
      <c r="S24" s="706"/>
      <c r="T24" s="705"/>
      <c r="U24" s="706"/>
      <c r="V24" s="705"/>
      <c r="W24" s="706"/>
      <c r="X24" s="1355"/>
      <c r="Y24" s="3830"/>
      <c r="Z24" s="1356"/>
      <c r="AA24" s="1353">
        <v>1</v>
      </c>
      <c r="AB24" s="1353">
        <v>1</v>
      </c>
      <c r="AC24" s="1353">
        <v>1</v>
      </c>
    </row>
    <row r="25" spans="1:29" ht="15">
      <c r="A25" s="379"/>
      <c r="B25" s="375" t="s">
        <v>1692</v>
      </c>
      <c r="C25" s="411"/>
      <c r="D25" s="386">
        <v>100</v>
      </c>
      <c r="E25" s="1906"/>
      <c r="F25" s="386">
        <f>SUMIF(86:86,E25,87:87)-SUMIF(86:86,C25,87:87)+100</f>
        <v>100</v>
      </c>
      <c r="G25" s="1907"/>
      <c r="H25" s="386">
        <f>SUMIF(86:86,G25,87:87)-SUMIF(86:86,C25,87:87)+100</f>
        <v>100</v>
      </c>
      <c r="I25" s="1907"/>
      <c r="J25" s="386">
        <f>SUMIF(86:86,I25,87:87)-SUMIF(86:86,C25,87:87)+100</f>
        <v>100</v>
      </c>
      <c r="K25" s="377"/>
      <c r="L25" s="2721"/>
      <c r="M25" s="2715"/>
      <c r="N25" s="2715"/>
      <c r="O25" s="2715"/>
      <c r="P25" s="3837"/>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830"/>
      <c r="Z25" s="1356" t="str">
        <f>Q25</f>
        <v>楼层-1</v>
      </c>
      <c r="AA25" s="1353">
        <f t="shared" ref="AA25:AA46" si="15">D25/F25</f>
        <v>1</v>
      </c>
      <c r="AB25" s="1353">
        <f t="shared" ref="AB25:AB46" si="16">D25/H25</f>
        <v>1</v>
      </c>
      <c r="AC25" s="1353">
        <f t="shared" ref="AC25:AC46" si="17">D25/J25</f>
        <v>1</v>
      </c>
    </row>
    <row r="26" spans="1:29" ht="15">
      <c r="A26" s="379"/>
      <c r="B26" s="375" t="s">
        <v>1693</v>
      </c>
      <c r="C26" s="411"/>
      <c r="D26" s="386">
        <v>100</v>
      </c>
      <c r="E26" s="1906"/>
      <c r="F26" s="386">
        <f>SUMIF(88:88,E26,89:89)-SUMIF(88:88,C26,89:89)+100</f>
        <v>100</v>
      </c>
      <c r="G26" s="1907"/>
      <c r="H26" s="386">
        <f>SUMIF(88:88,G26,89:89)-SUMIF(88:88,C26,89:89)+100</f>
        <v>100</v>
      </c>
      <c r="I26" s="1907"/>
      <c r="J26" s="386">
        <f>SUMIF(88:88,I26,89:89)-SUMIF(88:88,C26,89:89)+100</f>
        <v>100</v>
      </c>
      <c r="K26" s="377"/>
      <c r="L26" s="2721"/>
      <c r="M26" s="2715"/>
      <c r="N26" s="2715"/>
      <c r="O26" s="2715"/>
      <c r="P26" s="3837"/>
      <c r="Q26" s="1352" t="str">
        <f t="shared" si="11"/>
        <v>朝向</v>
      </c>
      <c r="R26" s="705" t="s">
        <v>18</v>
      </c>
      <c r="S26" s="706">
        <f t="shared" si="12"/>
        <v>100</v>
      </c>
      <c r="T26" s="705" t="s">
        <v>18</v>
      </c>
      <c r="U26" s="706">
        <f t="shared" si="13"/>
        <v>100</v>
      </c>
      <c r="V26" s="705" t="s">
        <v>18</v>
      </c>
      <c r="W26" s="706">
        <f t="shared" si="14"/>
        <v>100</v>
      </c>
      <c r="X26" s="1355"/>
      <c r="Y26" s="3830"/>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6"/>
      <c r="M27" s="2717"/>
      <c r="N27" s="2717"/>
      <c r="O27" s="2717"/>
      <c r="P27" s="3837"/>
      <c r="Q27" s="1343">
        <f t="shared" si="11"/>
        <v>111</v>
      </c>
      <c r="R27" s="701" t="s">
        <v>18</v>
      </c>
      <c r="S27" s="702">
        <f t="shared" si="12"/>
        <v>100</v>
      </c>
      <c r="T27" s="701" t="s">
        <v>18</v>
      </c>
      <c r="U27" s="702">
        <f t="shared" si="13"/>
        <v>100</v>
      </c>
      <c r="V27" s="701" t="s">
        <v>18</v>
      </c>
      <c r="W27" s="702">
        <f t="shared" si="14"/>
        <v>100</v>
      </c>
      <c r="X27" s="703"/>
      <c r="Y27" s="3830"/>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1"/>
      <c r="M28" s="2715"/>
      <c r="N28" s="2715"/>
      <c r="O28" s="2715"/>
      <c r="P28" s="3837"/>
      <c r="Q28" s="1352">
        <f t="shared" si="11"/>
        <v>111</v>
      </c>
      <c r="R28" s="705" t="s">
        <v>18</v>
      </c>
      <c r="S28" s="706">
        <f t="shared" si="12"/>
        <v>100</v>
      </c>
      <c r="T28" s="705" t="s">
        <v>18</v>
      </c>
      <c r="U28" s="706">
        <f t="shared" si="13"/>
        <v>100</v>
      </c>
      <c r="V28" s="705" t="s">
        <v>18</v>
      </c>
      <c r="W28" s="706">
        <f t="shared" si="14"/>
        <v>100</v>
      </c>
      <c r="X28" s="1355"/>
      <c r="Y28" s="3830"/>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1"/>
      <c r="M29" s="2715"/>
      <c r="N29" s="2715"/>
      <c r="O29" s="2715"/>
      <c r="P29" s="3837"/>
      <c r="Q29" s="1352">
        <f t="shared" si="11"/>
        <v>111</v>
      </c>
      <c r="R29" s="705" t="s">
        <v>18</v>
      </c>
      <c r="S29" s="706">
        <f t="shared" si="12"/>
        <v>100</v>
      </c>
      <c r="T29" s="705" t="s">
        <v>18</v>
      </c>
      <c r="U29" s="706">
        <f t="shared" si="13"/>
        <v>100</v>
      </c>
      <c r="V29" s="705" t="s">
        <v>18</v>
      </c>
      <c r="W29" s="706">
        <f t="shared" si="14"/>
        <v>100</v>
      </c>
      <c r="X29" s="1355"/>
      <c r="Y29" s="3830"/>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1"/>
      <c r="M30" s="2715"/>
      <c r="N30" s="2715"/>
      <c r="O30" s="2715"/>
      <c r="P30" s="3837"/>
      <c r="Q30" s="1352">
        <f t="shared" si="11"/>
        <v>111</v>
      </c>
      <c r="R30" s="705" t="s">
        <v>18</v>
      </c>
      <c r="S30" s="706">
        <f t="shared" si="12"/>
        <v>100</v>
      </c>
      <c r="T30" s="705" t="s">
        <v>18</v>
      </c>
      <c r="U30" s="706">
        <f t="shared" si="13"/>
        <v>100</v>
      </c>
      <c r="V30" s="705" t="s">
        <v>18</v>
      </c>
      <c r="W30" s="706">
        <f t="shared" si="14"/>
        <v>100</v>
      </c>
      <c r="X30" s="1355"/>
      <c r="Y30" s="3830"/>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1"/>
      <c r="M31" s="2715"/>
      <c r="N31" s="2715"/>
      <c r="O31" s="2715"/>
      <c r="P31" s="3837"/>
      <c r="Q31" s="1352">
        <f t="shared" si="11"/>
        <v>111</v>
      </c>
      <c r="R31" s="705" t="s">
        <v>18</v>
      </c>
      <c r="S31" s="706">
        <f t="shared" si="12"/>
        <v>100</v>
      </c>
      <c r="T31" s="705" t="s">
        <v>18</v>
      </c>
      <c r="U31" s="706">
        <f t="shared" si="13"/>
        <v>100</v>
      </c>
      <c r="V31" s="705" t="s">
        <v>18</v>
      </c>
      <c r="W31" s="706">
        <f t="shared" si="14"/>
        <v>100</v>
      </c>
      <c r="X31" s="1355"/>
      <c r="Y31" s="3830"/>
      <c r="Z31" s="1356">
        <f t="shared" si="18"/>
        <v>111</v>
      </c>
      <c r="AA31" s="1353">
        <f t="shared" si="15"/>
        <v>1</v>
      </c>
      <c r="AB31" s="1353">
        <f t="shared" si="16"/>
        <v>1</v>
      </c>
      <c r="AC31" s="1353">
        <f t="shared" si="17"/>
        <v>1</v>
      </c>
    </row>
    <row r="32" spans="1:29" ht="15">
      <c r="A32" s="391" t="s">
        <v>1694</v>
      </c>
      <c r="B32" s="63" t="s">
        <v>1695</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1"/>
      <c r="M32" s="2715"/>
      <c r="N32" s="2715"/>
      <c r="O32" s="2715"/>
      <c r="P32" s="3831" t="s">
        <v>1696</v>
      </c>
      <c r="Q32" s="1352" t="str">
        <f t="shared" si="11"/>
        <v>建筑类型</v>
      </c>
      <c r="R32" s="705" t="s">
        <v>18</v>
      </c>
      <c r="S32" s="706">
        <f t="shared" si="12"/>
        <v>100</v>
      </c>
      <c r="T32" s="705" t="s">
        <v>18</v>
      </c>
      <c r="U32" s="706">
        <f t="shared" si="13"/>
        <v>100</v>
      </c>
      <c r="V32" s="705" t="s">
        <v>18</v>
      </c>
      <c r="W32" s="706">
        <f t="shared" si="14"/>
        <v>100</v>
      </c>
      <c r="X32" s="1355"/>
      <c r="Y32" s="3834" t="s">
        <v>1696</v>
      </c>
      <c r="Z32" s="1356" t="str">
        <f t="shared" si="18"/>
        <v>建筑类型</v>
      </c>
      <c r="AA32" s="1353">
        <f t="shared" si="15"/>
        <v>1</v>
      </c>
      <c r="AB32" s="1353">
        <f t="shared" si="16"/>
        <v>1</v>
      </c>
      <c r="AC32" s="1353">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20"/>
      <c r="M33" s="2722"/>
      <c r="N33" s="2722"/>
      <c r="O33" s="2722"/>
      <c r="P33" s="3832"/>
      <c r="Q33" s="707" t="str">
        <f t="shared" si="11"/>
        <v>项目建筑规模</v>
      </c>
      <c r="R33" s="708" t="s">
        <v>18</v>
      </c>
      <c r="S33" s="709" t="e">
        <f t="shared" si="12"/>
        <v>#N/A</v>
      </c>
      <c r="T33" s="708" t="s">
        <v>18</v>
      </c>
      <c r="U33" s="709" t="e">
        <f t="shared" si="13"/>
        <v>#N/A</v>
      </c>
      <c r="V33" s="708" t="s">
        <v>18</v>
      </c>
      <c r="W33" s="709" t="e">
        <f t="shared" si="14"/>
        <v>#N/A</v>
      </c>
      <c r="X33" s="710"/>
      <c r="Y33" s="3834"/>
      <c r="Z33" s="711" t="str">
        <f t="shared" si="18"/>
        <v>项目建筑规模</v>
      </c>
      <c r="AA33" s="1353" t="e">
        <f t="shared" si="15"/>
        <v>#N/A</v>
      </c>
      <c r="AB33" s="1353" t="e">
        <f t="shared" si="16"/>
        <v>#N/A</v>
      </c>
      <c r="AC33" s="1353" t="e">
        <f t="shared" si="17"/>
        <v>#N/A</v>
      </c>
    </row>
    <row r="34" spans="1:29" ht="15">
      <c r="A34" s="423"/>
      <c r="B34" s="375" t="s">
        <v>1698</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1"/>
      <c r="M34" s="2715"/>
      <c r="N34" s="2715"/>
      <c r="O34" s="2715"/>
      <c r="P34" s="3832"/>
      <c r="Q34" s="1352" t="str">
        <f t="shared" si="11"/>
        <v>建筑结构</v>
      </c>
      <c r="R34" s="705" t="s">
        <v>18</v>
      </c>
      <c r="S34" s="706">
        <f t="shared" si="12"/>
        <v>100</v>
      </c>
      <c r="T34" s="705" t="s">
        <v>18</v>
      </c>
      <c r="U34" s="706">
        <f t="shared" si="13"/>
        <v>100</v>
      </c>
      <c r="V34" s="705" t="s">
        <v>18</v>
      </c>
      <c r="W34" s="706">
        <f t="shared" si="14"/>
        <v>100</v>
      </c>
      <c r="X34" s="1355"/>
      <c r="Y34" s="3834"/>
      <c r="Z34" s="1356" t="str">
        <f t="shared" si="18"/>
        <v>建筑结构</v>
      </c>
      <c r="AA34" s="1353">
        <f t="shared" si="15"/>
        <v>1</v>
      </c>
      <c r="AB34" s="1353">
        <f t="shared" si="16"/>
        <v>1</v>
      </c>
      <c r="AC34" s="1353">
        <f t="shared" si="17"/>
        <v>1</v>
      </c>
    </row>
    <row r="35" spans="1:29" ht="15">
      <c r="A35" s="423"/>
      <c r="B35" s="375" t="s">
        <v>1699</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1"/>
      <c r="M35" s="2715"/>
      <c r="N35" s="2715"/>
      <c r="O35" s="2715"/>
      <c r="P35" s="3832"/>
      <c r="Q35" s="1352" t="str">
        <f t="shared" si="11"/>
        <v>建筑品质</v>
      </c>
      <c r="R35" s="705" t="s">
        <v>18</v>
      </c>
      <c r="S35" s="706">
        <f t="shared" si="12"/>
        <v>100</v>
      </c>
      <c r="T35" s="705" t="s">
        <v>18</v>
      </c>
      <c r="U35" s="706">
        <f t="shared" si="13"/>
        <v>100</v>
      </c>
      <c r="V35" s="705" t="s">
        <v>18</v>
      </c>
      <c r="W35" s="706">
        <f t="shared" si="14"/>
        <v>100</v>
      </c>
      <c r="X35" s="1355"/>
      <c r="Y35" s="3834"/>
      <c r="Z35" s="1356" t="str">
        <f t="shared" si="18"/>
        <v>建筑品质</v>
      </c>
      <c r="AA35" s="1353">
        <f t="shared" si="15"/>
        <v>1</v>
      </c>
      <c r="AB35" s="1353">
        <f t="shared" si="16"/>
        <v>1</v>
      </c>
      <c r="AC35" s="1353">
        <f t="shared" si="17"/>
        <v>1</v>
      </c>
    </row>
    <row r="36" spans="1:29" ht="15">
      <c r="A36" s="423"/>
      <c r="B36" s="375" t="s">
        <v>1700</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1"/>
      <c r="M36" s="2715"/>
      <c r="N36" s="2715"/>
      <c r="O36" s="2715"/>
      <c r="P36" s="3832"/>
      <c r="Q36" s="1352" t="str">
        <f t="shared" si="11"/>
        <v>公共部分装修</v>
      </c>
      <c r="R36" s="705" t="s">
        <v>18</v>
      </c>
      <c r="S36" s="706">
        <f t="shared" si="12"/>
        <v>100</v>
      </c>
      <c r="T36" s="705" t="s">
        <v>18</v>
      </c>
      <c r="U36" s="706">
        <f t="shared" si="13"/>
        <v>100</v>
      </c>
      <c r="V36" s="705" t="s">
        <v>18</v>
      </c>
      <c r="W36" s="706">
        <f t="shared" si="14"/>
        <v>100</v>
      </c>
      <c r="X36" s="1355"/>
      <c r="Y36" s="3834"/>
      <c r="Z36" s="1356" t="str">
        <f t="shared" si="18"/>
        <v>公共部分装修</v>
      </c>
      <c r="AA36" s="1353">
        <f t="shared" si="15"/>
        <v>1</v>
      </c>
      <c r="AB36" s="1353">
        <f t="shared" si="16"/>
        <v>1</v>
      </c>
      <c r="AC36" s="1353">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6"/>
      <c r="M37" s="2717"/>
      <c r="N37" s="2717"/>
      <c r="O37" s="2717"/>
      <c r="P37" s="3832"/>
      <c r="Q37" s="1343" t="str">
        <f t="shared" si="11"/>
        <v>成新度</v>
      </c>
      <c r="R37" s="701" t="s">
        <v>18</v>
      </c>
      <c r="S37" s="702" t="e">
        <f t="shared" si="12"/>
        <v>#N/A</v>
      </c>
      <c r="T37" s="701" t="s">
        <v>18</v>
      </c>
      <c r="U37" s="702" t="e">
        <f t="shared" si="13"/>
        <v>#N/A</v>
      </c>
      <c r="V37" s="701" t="s">
        <v>18</v>
      </c>
      <c r="W37" s="702" t="e">
        <f t="shared" si="14"/>
        <v>#N/A</v>
      </c>
      <c r="X37" s="703"/>
      <c r="Y37" s="3834"/>
      <c r="Z37" s="52" t="str">
        <f t="shared" si="18"/>
        <v>成新度</v>
      </c>
      <c r="AA37" s="704" t="e">
        <f t="shared" si="15"/>
        <v>#N/A</v>
      </c>
      <c r="AB37" s="704" t="e">
        <f t="shared" si="16"/>
        <v>#N/A</v>
      </c>
      <c r="AC37" s="704" t="e">
        <f t="shared" si="17"/>
        <v>#N/A</v>
      </c>
    </row>
    <row r="38" spans="1:29" ht="15">
      <c r="A38" s="423"/>
      <c r="B38" s="375" t="s">
        <v>1702</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1"/>
      <c r="M38" s="2715"/>
      <c r="N38" s="2715"/>
      <c r="O38" s="2715"/>
      <c r="P38" s="3832" t="s">
        <v>1696</v>
      </c>
      <c r="Q38" s="1352" t="str">
        <f t="shared" si="11"/>
        <v>物业管理</v>
      </c>
      <c r="R38" s="705" t="s">
        <v>18</v>
      </c>
      <c r="S38" s="706">
        <f t="shared" si="12"/>
        <v>100</v>
      </c>
      <c r="T38" s="705" t="s">
        <v>18</v>
      </c>
      <c r="U38" s="706">
        <f t="shared" si="13"/>
        <v>100</v>
      </c>
      <c r="V38" s="705" t="s">
        <v>18</v>
      </c>
      <c r="W38" s="706">
        <f t="shared" si="14"/>
        <v>100</v>
      </c>
      <c r="X38" s="1355"/>
      <c r="Y38" s="3834" t="s">
        <v>1696</v>
      </c>
      <c r="Z38" s="1356" t="str">
        <f t="shared" si="18"/>
        <v>物业管理</v>
      </c>
      <c r="AA38" s="1353">
        <f t="shared" si="15"/>
        <v>1</v>
      </c>
      <c r="AB38" s="1353">
        <f t="shared" si="16"/>
        <v>1</v>
      </c>
      <c r="AC38" s="1353">
        <f t="shared" si="17"/>
        <v>1</v>
      </c>
    </row>
    <row r="39" spans="1:29" ht="15">
      <c r="A39" s="423"/>
      <c r="B39" s="375" t="s">
        <v>1703</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1"/>
      <c r="M39" s="2715"/>
      <c r="N39" s="2715"/>
      <c r="O39" s="2715"/>
      <c r="P39" s="3832"/>
      <c r="Q39" s="1352" t="str">
        <f t="shared" si="11"/>
        <v>市政基础设施</v>
      </c>
      <c r="R39" s="705" t="s">
        <v>18</v>
      </c>
      <c r="S39" s="706">
        <f t="shared" si="12"/>
        <v>100</v>
      </c>
      <c r="T39" s="705" t="s">
        <v>18</v>
      </c>
      <c r="U39" s="706">
        <f t="shared" si="13"/>
        <v>100</v>
      </c>
      <c r="V39" s="705" t="s">
        <v>18</v>
      </c>
      <c r="W39" s="706">
        <f t="shared" si="14"/>
        <v>100</v>
      </c>
      <c r="X39" s="1355"/>
      <c r="Y39" s="3834"/>
      <c r="Z39" s="1356" t="str">
        <f t="shared" si="18"/>
        <v>市政基础设施</v>
      </c>
      <c r="AA39" s="1353">
        <f t="shared" si="15"/>
        <v>1</v>
      </c>
      <c r="AB39" s="1353">
        <f t="shared" si="16"/>
        <v>1</v>
      </c>
      <c r="AC39" s="1353">
        <f t="shared" si="17"/>
        <v>1</v>
      </c>
    </row>
    <row r="40" spans="1:29" ht="15">
      <c r="A40" s="423"/>
      <c r="B40" s="375" t="s">
        <v>1704</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1"/>
      <c r="M40" s="2715"/>
      <c r="N40" s="2715"/>
      <c r="O40" s="2715"/>
      <c r="P40" s="3832"/>
      <c r="Q40" s="1352" t="str">
        <f t="shared" si="11"/>
        <v>房型</v>
      </c>
      <c r="R40" s="705" t="s">
        <v>18</v>
      </c>
      <c r="S40" s="706">
        <f t="shared" si="12"/>
        <v>100</v>
      </c>
      <c r="T40" s="705" t="s">
        <v>18</v>
      </c>
      <c r="U40" s="706">
        <f t="shared" si="13"/>
        <v>100</v>
      </c>
      <c r="V40" s="705" t="s">
        <v>18</v>
      </c>
      <c r="W40" s="706">
        <f t="shared" si="14"/>
        <v>100</v>
      </c>
      <c r="X40" s="1355"/>
      <c r="Y40" s="3834"/>
      <c r="Z40" s="1356" t="str">
        <f t="shared" si="18"/>
        <v>房型</v>
      </c>
      <c r="AA40" s="1353">
        <f t="shared" si="15"/>
        <v>1</v>
      </c>
      <c r="AB40" s="1353">
        <f t="shared" si="16"/>
        <v>1</v>
      </c>
      <c r="AC40" s="1353">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20"/>
      <c r="M41" s="2722"/>
      <c r="N41" s="2722"/>
      <c r="O41" s="2722"/>
      <c r="P41" s="3832"/>
      <c r="Q41" s="707" t="str">
        <f t="shared" si="11"/>
        <v>单套/主力户型建筑面积</v>
      </c>
      <c r="R41" s="708" t="s">
        <v>18</v>
      </c>
      <c r="S41" s="709">
        <f t="shared" si="12"/>
        <v>100</v>
      </c>
      <c r="T41" s="708" t="s">
        <v>18</v>
      </c>
      <c r="U41" s="709">
        <f t="shared" si="13"/>
        <v>100</v>
      </c>
      <c r="V41" s="708" t="s">
        <v>18</v>
      </c>
      <c r="W41" s="709">
        <f t="shared" si="14"/>
        <v>100</v>
      </c>
      <c r="X41" s="710"/>
      <c r="Y41" s="3834"/>
      <c r="Z41" s="711" t="str">
        <f t="shared" si="18"/>
        <v>单套/主力户型建筑面积</v>
      </c>
      <c r="AA41" s="1353">
        <f t="shared" si="15"/>
        <v>1</v>
      </c>
      <c r="AB41" s="1353">
        <f t="shared" si="16"/>
        <v>1</v>
      </c>
      <c r="AC41" s="1353">
        <f t="shared" si="17"/>
        <v>1</v>
      </c>
    </row>
    <row r="42" spans="1:29" ht="15">
      <c r="A42" s="423"/>
      <c r="B42" s="375" t="s">
        <v>1706</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1"/>
      <c r="M42" s="2715"/>
      <c r="N42" s="2715"/>
      <c r="O42" s="2715"/>
      <c r="P42" s="3832"/>
      <c r="Q42" s="1352" t="str">
        <f t="shared" si="11"/>
        <v>内部装修</v>
      </c>
      <c r="R42" s="705" t="s">
        <v>18</v>
      </c>
      <c r="S42" s="706">
        <f t="shared" si="12"/>
        <v>100</v>
      </c>
      <c r="T42" s="705" t="s">
        <v>18</v>
      </c>
      <c r="U42" s="706">
        <f t="shared" si="13"/>
        <v>100</v>
      </c>
      <c r="V42" s="705" t="s">
        <v>18</v>
      </c>
      <c r="W42" s="706">
        <f t="shared" si="14"/>
        <v>100</v>
      </c>
      <c r="X42" s="1355"/>
      <c r="Y42" s="3834"/>
      <c r="Z42" s="1356" t="str">
        <f t="shared" si="18"/>
        <v>内部装修</v>
      </c>
      <c r="AA42" s="1353">
        <f t="shared" si="15"/>
        <v>1</v>
      </c>
      <c r="AB42" s="1353">
        <f t="shared" si="16"/>
        <v>1</v>
      </c>
      <c r="AC42" s="1353">
        <f t="shared" si="17"/>
        <v>1</v>
      </c>
    </row>
    <row r="43" spans="1:29" ht="15">
      <c r="A43" s="423"/>
      <c r="B43" s="375" t="s">
        <v>1707</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1"/>
      <c r="M43" s="2715"/>
      <c r="N43" s="2715"/>
      <c r="O43" s="2715"/>
      <c r="P43" s="3832"/>
      <c r="Q43" s="1352" t="str">
        <f t="shared" si="11"/>
        <v>内部装修维护情况</v>
      </c>
      <c r="R43" s="705" t="s">
        <v>18</v>
      </c>
      <c r="S43" s="706">
        <f t="shared" si="12"/>
        <v>100</v>
      </c>
      <c r="T43" s="705" t="s">
        <v>18</v>
      </c>
      <c r="U43" s="706">
        <f t="shared" si="13"/>
        <v>100</v>
      </c>
      <c r="V43" s="705" t="s">
        <v>18</v>
      </c>
      <c r="W43" s="706">
        <f t="shared" si="14"/>
        <v>100</v>
      </c>
      <c r="X43" s="1355"/>
      <c r="Y43" s="3834"/>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6"/>
      <c r="M44" s="2717"/>
      <c r="N44" s="2717"/>
      <c r="O44" s="2717"/>
      <c r="P44" s="3832"/>
      <c r="Q44" s="1343">
        <f t="shared" si="11"/>
        <v>111</v>
      </c>
      <c r="R44" s="701" t="s">
        <v>18</v>
      </c>
      <c r="S44" s="702">
        <f t="shared" si="12"/>
        <v>100</v>
      </c>
      <c r="T44" s="701" t="s">
        <v>18</v>
      </c>
      <c r="U44" s="702">
        <f t="shared" si="13"/>
        <v>100</v>
      </c>
      <c r="V44" s="701" t="s">
        <v>18</v>
      </c>
      <c r="W44" s="702">
        <f t="shared" si="14"/>
        <v>100</v>
      </c>
      <c r="X44" s="703"/>
      <c r="Y44" s="3834"/>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1"/>
      <c r="M45" s="2715"/>
      <c r="N45" s="2715"/>
      <c r="O45" s="2715"/>
      <c r="P45" s="3832"/>
      <c r="Q45" s="1352">
        <f t="shared" si="11"/>
        <v>111</v>
      </c>
      <c r="R45" s="705" t="s">
        <v>18</v>
      </c>
      <c r="S45" s="706">
        <f t="shared" si="12"/>
        <v>100</v>
      </c>
      <c r="T45" s="705" t="s">
        <v>18</v>
      </c>
      <c r="U45" s="706">
        <f t="shared" si="13"/>
        <v>100</v>
      </c>
      <c r="V45" s="705" t="s">
        <v>18</v>
      </c>
      <c r="W45" s="706">
        <f t="shared" si="14"/>
        <v>100</v>
      </c>
      <c r="X45" s="1355"/>
      <c r="Y45" s="3834"/>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1"/>
      <c r="M46" s="2715"/>
      <c r="N46" s="2715"/>
      <c r="O46" s="2715"/>
      <c r="P46" s="3833"/>
      <c r="Q46" s="1352">
        <f t="shared" si="11"/>
        <v>111</v>
      </c>
      <c r="R46" s="705" t="s">
        <v>17</v>
      </c>
      <c r="S46" s="706">
        <f t="shared" si="12"/>
        <v>100</v>
      </c>
      <c r="T46" s="705" t="s">
        <v>17</v>
      </c>
      <c r="U46" s="706">
        <f t="shared" si="13"/>
        <v>100</v>
      </c>
      <c r="V46" s="705" t="s">
        <v>17</v>
      </c>
      <c r="W46" s="706">
        <f t="shared" si="14"/>
        <v>100</v>
      </c>
      <c r="X46" s="1355"/>
      <c r="Y46" s="3835"/>
      <c r="Z46" s="1356">
        <f t="shared" si="18"/>
        <v>111</v>
      </c>
      <c r="AA46" s="1353">
        <f t="shared" si="15"/>
        <v>1</v>
      </c>
      <c r="AB46" s="1353">
        <f t="shared" si="16"/>
        <v>1</v>
      </c>
      <c r="AC46" s="1353">
        <f t="shared" si="17"/>
        <v>1</v>
      </c>
    </row>
    <row r="47" spans="1:29" ht="15">
      <c r="A47" s="430" t="s">
        <v>1708</v>
      </c>
      <c r="B47" s="431"/>
      <c r="C47" s="1154" t="s">
        <v>16</v>
      </c>
      <c r="D47" s="1155"/>
      <c r="E47" s="1156"/>
      <c r="F47" s="1157"/>
      <c r="G47" s="1158"/>
      <c r="H47" s="1159"/>
      <c r="I47" s="1156"/>
      <c r="J47" s="1159"/>
      <c r="K47" s="1914"/>
      <c r="L47" s="2723"/>
      <c r="M47" s="2724"/>
      <c r="N47" s="2715"/>
      <c r="O47" s="2724"/>
      <c r="P47" s="3827" t="str">
        <f>A47</f>
        <v>成交单价（元/平方米）</v>
      </c>
      <c r="Q47" s="3827"/>
      <c r="R47" s="3828">
        <f>E47</f>
        <v>0</v>
      </c>
      <c r="S47" s="3828"/>
      <c r="T47" s="3828">
        <f>G47</f>
        <v>0</v>
      </c>
      <c r="U47" s="3828"/>
      <c r="V47" s="3828">
        <f>I47</f>
        <v>0</v>
      </c>
      <c r="W47" s="3828"/>
      <c r="X47" s="690"/>
      <c r="Y47" s="712"/>
      <c r="Z47" s="690"/>
      <c r="AA47" s="690"/>
      <c r="AB47" s="690"/>
      <c r="AC47" s="690"/>
    </row>
    <row r="48" spans="1:29" ht="15.75" thickBot="1">
      <c r="A48" s="437" t="s">
        <v>1709</v>
      </c>
      <c r="B48" s="438"/>
      <c r="C48" s="1160" t="e">
        <f>R49</f>
        <v>#DIV/0!</v>
      </c>
      <c r="D48" s="2317" t="s">
        <v>2138</v>
      </c>
      <c r="E48" s="1161" t="e">
        <f>R48</f>
        <v>#DIV/0!</v>
      </c>
      <c r="F48" s="2318"/>
      <c r="G48" s="1160" t="e">
        <f>T48</f>
        <v>#DIV/0!</v>
      </c>
      <c r="H48" s="2318"/>
      <c r="I48" s="1161" t="e">
        <f>V48</f>
        <v>#DIV/0!</v>
      </c>
      <c r="J48" s="2318"/>
      <c r="K48" s="2319">
        <f>F48+H48+J48</f>
        <v>0</v>
      </c>
      <c r="L48" s="2723"/>
      <c r="M48" s="2724"/>
      <c r="N48" s="2724"/>
      <c r="O48" s="2724"/>
      <c r="P48" s="3827" t="str">
        <f>A48</f>
        <v>比较价值（元/平方米）</v>
      </c>
      <c r="Q48" s="3827"/>
      <c r="R48" s="3828" t="e">
        <f>IF(F1="售价",ROUND(PRODUCT(R47,AA7:AA46),0),ROUND(PRODUCT(R47,AA7:AA46),1))</f>
        <v>#DIV/0!</v>
      </c>
      <c r="S48" s="3828"/>
      <c r="T48" s="3828" t="e">
        <f>IF(F1="售价",ROUND(PRODUCT(T47,AB7:AB46),0),ROUND(PRODUCT(T47,AB7:AB46),1))</f>
        <v>#DIV/0!</v>
      </c>
      <c r="U48" s="3828"/>
      <c r="V48" s="3828" t="e">
        <f>IF(F1="售价",ROUND(PRODUCT(V47,AC7:AC46),0),ROUND(PRODUCT(V47,AC7:AC46),1))</f>
        <v>#DIV/0!</v>
      </c>
      <c r="W48" s="3828"/>
      <c r="X48" s="690"/>
      <c r="Y48" s="690"/>
      <c r="Z48" s="690"/>
      <c r="AA48" s="690"/>
      <c r="AB48" s="690"/>
      <c r="AC48" s="690"/>
    </row>
    <row r="49" spans="1:29" ht="15.75" thickBot="1">
      <c r="A49" s="441" t="s">
        <v>1710</v>
      </c>
      <c r="B49" s="442"/>
      <c r="C49" s="1162" t="e">
        <f>R49</f>
        <v>#DIV/0!</v>
      </c>
      <c r="D49" s="1163"/>
      <c r="E49" s="1163"/>
      <c r="F49" s="1163"/>
      <c r="G49" s="1163"/>
      <c r="H49" s="1163"/>
      <c r="I49" s="1163"/>
      <c r="J49" s="1163"/>
      <c r="K49" s="1915"/>
      <c r="L49" s="2723"/>
      <c r="M49" s="2724"/>
      <c r="N49" s="2724"/>
      <c r="O49" s="2724"/>
      <c r="P49" s="3824" t="str">
        <f>A49</f>
        <v>估价对象XX用房的比较价值（楼面单价，元/平方米）</v>
      </c>
      <c r="Q49" s="3825"/>
      <c r="R49" s="3826" t="e">
        <f>IF(F1="售价",ROUND(IF(D48="简单平均",AVERAGE(R48:V48),R48*F48+T48*H48+V48*J48),0),ROUND(IF(D48="简单平均",AVERAGE(R48:V48),R48*F48+T48*H48+V48*J48),1))</f>
        <v>#DIV/0!</v>
      </c>
      <c r="S49" s="3826"/>
      <c r="T49" s="3826"/>
      <c r="U49" s="3826"/>
      <c r="V49" s="3826"/>
      <c r="W49" s="3826"/>
      <c r="X49" s="690"/>
      <c r="Y49" s="690"/>
      <c r="Z49" s="690"/>
      <c r="AA49" s="690"/>
      <c r="AB49" s="690"/>
      <c r="AC49" s="690"/>
    </row>
    <row r="50" spans="1:29">
      <c r="A50" s="2724"/>
      <c r="B50" s="2724"/>
      <c r="C50" s="2724"/>
      <c r="D50" s="2724"/>
      <c r="E50" s="2724"/>
      <c r="F50" s="2724"/>
      <c r="G50" s="2728"/>
      <c r="H50" s="2724"/>
      <c r="I50" s="2724"/>
      <c r="J50" s="2724"/>
      <c r="K50" s="2729"/>
      <c r="L50" s="2725"/>
      <c r="M50" s="2724"/>
      <c r="N50" s="2724"/>
      <c r="O50" s="2724"/>
    </row>
    <row r="51" spans="1:29">
      <c r="A51" s="2724"/>
      <c r="B51" s="2724"/>
      <c r="C51" s="2724"/>
      <c r="D51" s="2724"/>
      <c r="E51" s="2724"/>
      <c r="F51" s="2724"/>
      <c r="G51" s="2724"/>
      <c r="H51" s="2724"/>
      <c r="I51" s="2724"/>
      <c r="J51" s="2724"/>
      <c r="K51" s="2729"/>
      <c r="L51" s="2725"/>
      <c r="M51" s="2724"/>
      <c r="N51" s="2724"/>
      <c r="O51" s="2724"/>
    </row>
    <row r="52" spans="1:29" ht="13.5" customHeight="1">
      <c r="A52" s="2724"/>
      <c r="B52" s="2724"/>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9"/>
      <c r="L52" s="2725"/>
      <c r="M52" s="2724"/>
      <c r="N52" s="2724"/>
      <c r="O52" s="2724"/>
    </row>
    <row r="53" spans="1:29" ht="13.5" customHeight="1">
      <c r="A53" s="2724"/>
      <c r="B53" s="2724"/>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9"/>
      <c r="L53" s="2725"/>
      <c r="M53" s="2724"/>
      <c r="N53" s="2724"/>
      <c r="O53" s="2724"/>
    </row>
    <row r="54" spans="1:29" s="451" customFormat="1" ht="13.5" customHeight="1">
      <c r="A54" s="2727"/>
      <c r="B54" s="2727"/>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2"/>
      <c r="L54" s="2726"/>
      <c r="M54" s="2727"/>
      <c r="N54" s="2727"/>
      <c r="O54" s="2727"/>
      <c r="P54" s="1917"/>
    </row>
    <row r="55" spans="1:29" s="451" customFormat="1">
      <c r="A55" s="2727"/>
      <c r="B55" s="2730"/>
      <c r="C55" s="2731"/>
      <c r="D55" s="2727"/>
      <c r="E55" s="2727"/>
      <c r="F55" s="2727"/>
      <c r="G55" s="2727"/>
      <c r="H55" s="2727"/>
      <c r="I55" s="2727"/>
      <c r="J55" s="2727"/>
      <c r="K55" s="2732"/>
      <c r="L55" s="2726"/>
      <c r="M55" s="2727"/>
      <c r="N55" s="2727"/>
      <c r="O55" s="2727"/>
      <c r="P55" s="1917"/>
    </row>
    <row r="56" spans="1:29">
      <c r="A56" s="2724"/>
      <c r="B56" s="2730"/>
      <c r="C56" s="2731"/>
      <c r="D56" s="2724"/>
      <c r="E56" s="2724"/>
      <c r="F56" s="2724"/>
      <c r="G56" s="2724"/>
      <c r="H56" s="2724"/>
      <c r="I56" s="2724"/>
      <c r="J56" s="2724"/>
      <c r="K56" s="2729"/>
      <c r="L56" s="2725"/>
      <c r="M56" s="2724"/>
      <c r="N56" s="2724"/>
      <c r="O56" s="2724"/>
    </row>
    <row r="57" spans="1:29" ht="21.75" thickBot="1">
      <c r="A57" s="694" t="s">
        <v>1714</v>
      </c>
      <c r="B57" s="690"/>
      <c r="C57" s="695"/>
      <c r="D57" s="695"/>
      <c r="E57" s="695"/>
      <c r="F57" s="696"/>
      <c r="G57" s="696"/>
      <c r="H57" s="695"/>
      <c r="I57" s="695"/>
      <c r="J57" s="695"/>
      <c r="K57" s="941"/>
      <c r="L57" s="942"/>
      <c r="M57" s="940"/>
      <c r="N57" s="940"/>
      <c r="O57" s="940"/>
      <c r="P57" s="1918"/>
      <c r="Q57" s="453"/>
    </row>
    <row r="58" spans="1:29" s="457" customFormat="1" ht="15">
      <c r="A58" s="454" t="s">
        <v>1715</v>
      </c>
      <c r="B58" s="455"/>
      <c r="C58" s="1186" t="str">
        <f>YEAR(C7)&amp;"-"&amp;MONTH(C7)</f>
        <v>2022-12</v>
      </c>
      <c r="D58" s="1185">
        <f>EDATE(C58,-1)</f>
        <v>44866</v>
      </c>
      <c r="E58" s="1185">
        <f>EDATE(D58,-1)</f>
        <v>44835</v>
      </c>
      <c r="F58" s="1185">
        <f t="shared" ref="F58:O58" si="19">EDATE(E58,-1)</f>
        <v>44805</v>
      </c>
      <c r="G58" s="1185">
        <f t="shared" si="19"/>
        <v>44774</v>
      </c>
      <c r="H58" s="1185">
        <f t="shared" si="19"/>
        <v>44743</v>
      </c>
      <c r="I58" s="1185">
        <f t="shared" si="19"/>
        <v>44713</v>
      </c>
      <c r="J58" s="1185">
        <f t="shared" si="19"/>
        <v>44682</v>
      </c>
      <c r="K58" s="1185">
        <f t="shared" si="19"/>
        <v>44652</v>
      </c>
      <c r="L58" s="1185">
        <f t="shared" si="19"/>
        <v>44621</v>
      </c>
      <c r="M58" s="1185">
        <f t="shared" si="19"/>
        <v>44593</v>
      </c>
      <c r="N58" s="1185">
        <f t="shared" si="19"/>
        <v>44562</v>
      </c>
      <c r="O58" s="1185">
        <f t="shared" si="19"/>
        <v>44531</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1716</v>
      </c>
      <c r="B60" s="465"/>
      <c r="C60" s="466"/>
      <c r="D60" s="467"/>
      <c r="E60" s="467"/>
      <c r="F60" s="467"/>
      <c r="G60" s="467"/>
      <c r="H60" s="467"/>
      <c r="I60" s="467"/>
      <c r="J60" s="467"/>
      <c r="K60" s="467"/>
      <c r="L60" s="467"/>
      <c r="M60" s="468"/>
      <c r="N60" s="467"/>
      <c r="O60" s="468"/>
      <c r="P60" s="1920"/>
      <c r="Q60" s="453"/>
    </row>
    <row r="61" spans="1:29" s="108" customFormat="1" ht="15">
      <c r="A61" s="470" t="s">
        <v>1717</v>
      </c>
      <c r="B61" s="459"/>
      <c r="C61" s="471" t="s">
        <v>1718</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1719</v>
      </c>
      <c r="B63" s="477" t="s">
        <v>1685</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1688</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1260</v>
      </c>
      <c r="C82" s="488" t="s">
        <v>1728</v>
      </c>
      <c r="D82" s="488" t="s">
        <v>1729</v>
      </c>
      <c r="E82" s="488" t="s">
        <v>1730</v>
      </c>
      <c r="F82" s="488" t="s">
        <v>1731</v>
      </c>
      <c r="G82" s="488" t="s">
        <v>1732</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1734</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1735</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1694</v>
      </c>
      <c r="B100" s="477" t="s">
        <v>1736</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1738</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1739</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1740</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1741</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1742</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1743</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1705</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1744</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1746</v>
      </c>
    </row>
    <row r="137" spans="1:17" ht="15">
      <c r="B137" s="1930" t="s">
        <v>1747</v>
      </c>
      <c r="C137" s="1931"/>
      <c r="D137" s="1931"/>
      <c r="E137" s="1931"/>
      <c r="F137" s="1931"/>
      <c r="G137" s="1932"/>
      <c r="H137" s="1933"/>
      <c r="I137" s="1934" t="s">
        <v>1748</v>
      </c>
      <c r="J137" s="1931"/>
      <c r="K137" s="1935"/>
    </row>
    <row r="138" spans="1:17" ht="15">
      <c r="B138" s="1936"/>
      <c r="C138" s="137" t="s">
        <v>1749</v>
      </c>
      <c r="D138" s="137" t="s">
        <v>1750</v>
      </c>
      <c r="E138" s="1937" t="s">
        <v>1751</v>
      </c>
      <c r="F138" s="1938" t="s">
        <v>1752</v>
      </c>
      <c r="G138" s="137" t="s">
        <v>1750</v>
      </c>
      <c r="H138" s="138" t="s">
        <v>1751</v>
      </c>
      <c r="I138" s="1939"/>
      <c r="J138" s="137" t="s">
        <v>1753</v>
      </c>
      <c r="K138" s="138" t="s">
        <v>1754</v>
      </c>
    </row>
    <row r="139" spans="1:17" ht="15">
      <c r="B139" s="867">
        <v>6</v>
      </c>
      <c r="C139" s="868">
        <v>96</v>
      </c>
      <c r="D139" s="1940" t="s">
        <v>1755</v>
      </c>
      <c r="E139" s="869">
        <v>100</v>
      </c>
      <c r="F139" s="870">
        <v>102.5</v>
      </c>
      <c r="G139" s="1940" t="s">
        <v>1755</v>
      </c>
      <c r="H139" s="871">
        <v>105</v>
      </c>
      <c r="I139" s="1941" t="s">
        <v>1756</v>
      </c>
      <c r="J139" s="868">
        <v>20</v>
      </c>
      <c r="K139" s="872">
        <f>C145/(J139-2)</f>
        <v>4.0555555555555553E-3</v>
      </c>
    </row>
    <row r="140" spans="1:17" ht="15">
      <c r="B140" s="873">
        <v>5</v>
      </c>
      <c r="C140" s="874">
        <v>100</v>
      </c>
      <c r="D140" s="874"/>
      <c r="E140" s="875"/>
      <c r="F140" s="876">
        <v>102</v>
      </c>
      <c r="G140" s="874"/>
      <c r="H140" s="877"/>
      <c r="I140" s="1942" t="s">
        <v>1757</v>
      </c>
      <c r="J140" s="271">
        <f>ROUNDUP((J139-1)/2,0)</f>
        <v>10</v>
      </c>
      <c r="K140" s="878">
        <v>100</v>
      </c>
    </row>
    <row r="141" spans="1:17" ht="15">
      <c r="B141" s="873">
        <v>4</v>
      </c>
      <c r="C141" s="874">
        <v>102</v>
      </c>
      <c r="D141" s="874"/>
      <c r="E141" s="875"/>
      <c r="F141" s="876">
        <v>101.5</v>
      </c>
      <c r="G141" s="874"/>
      <c r="H141" s="877"/>
      <c r="I141" s="1942" t="s">
        <v>1758</v>
      </c>
      <c r="J141" s="271">
        <v>1</v>
      </c>
      <c r="K141" s="879">
        <f>ROUND(100+(J141-J140)*K139*100,1)</f>
        <v>96.4</v>
      </c>
    </row>
    <row r="142" spans="1:17" ht="15">
      <c r="B142" s="873">
        <v>3</v>
      </c>
      <c r="C142" s="874">
        <v>103</v>
      </c>
      <c r="D142" s="874"/>
      <c r="E142" s="875"/>
      <c r="F142" s="876">
        <v>101</v>
      </c>
      <c r="G142" s="874"/>
      <c r="H142" s="877"/>
      <c r="I142" s="1942" t="s">
        <v>1759</v>
      </c>
      <c r="J142" s="271">
        <f>J139</f>
        <v>20</v>
      </c>
      <c r="K142" s="880">
        <v>95</v>
      </c>
    </row>
    <row r="143" spans="1:17" ht="15">
      <c r="B143" s="873">
        <v>2</v>
      </c>
      <c r="C143" s="874">
        <v>100</v>
      </c>
      <c r="D143" s="874"/>
      <c r="E143" s="875"/>
      <c r="F143" s="876">
        <v>100.5</v>
      </c>
      <c r="G143" s="874"/>
      <c r="H143" s="877"/>
      <c r="I143" s="1942" t="s">
        <v>1760</v>
      </c>
      <c r="J143" s="874">
        <v>15</v>
      </c>
      <c r="K143" s="879">
        <f>ROUND(100+(J143-J140)*K139*100,1)</f>
        <v>102</v>
      </c>
    </row>
    <row r="144" spans="1:17" ht="15">
      <c r="B144" s="873">
        <v>1</v>
      </c>
      <c r="C144" s="874">
        <v>98</v>
      </c>
      <c r="D144" s="1943" t="s">
        <v>1761</v>
      </c>
      <c r="E144" s="875">
        <v>102</v>
      </c>
      <c r="F144" s="881">
        <v>100</v>
      </c>
      <c r="G144" s="1943" t="s">
        <v>1761</v>
      </c>
      <c r="H144" s="877">
        <v>105</v>
      </c>
      <c r="I144" s="1942" t="s">
        <v>1760</v>
      </c>
      <c r="J144" s="874">
        <v>18</v>
      </c>
      <c r="K144" s="879">
        <f>ROUND(100+(J144-J140)*K139*100,1)</f>
        <v>103.2</v>
      </c>
    </row>
    <row r="145" spans="2:11" ht="15.75" thickBot="1">
      <c r="B145" s="1944" t="s">
        <v>1762</v>
      </c>
      <c r="C145" s="882">
        <f>ROUND(MAX(C139:C144)/MIN(C139:C144)-1,3)</f>
        <v>7.2999999999999995E-2</v>
      </c>
      <c r="D145" s="883"/>
      <c r="E145" s="883"/>
      <c r="F145" s="1945" t="s">
        <v>1763</v>
      </c>
      <c r="G145" s="1946"/>
      <c r="H145" s="1947"/>
      <c r="I145" s="1948" t="s">
        <v>1760</v>
      </c>
      <c r="J145" s="884">
        <v>8</v>
      </c>
      <c r="K145" s="885">
        <f>ROUND(100+(J145-J140)*K139*100,1)</f>
        <v>99.2</v>
      </c>
    </row>
    <row r="147" spans="2:11">
      <c r="B147" s="1929" t="s">
        <v>1764</v>
      </c>
    </row>
    <row r="148" spans="2:11">
      <c r="B148" s="1929"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50" priority="19" stopIfTrue="1" operator="containsText" text="超过">
      <formula>NOT(ISERROR(SEARCH("超过",F52)))</formula>
    </cfRule>
  </conditionalFormatting>
  <conditionalFormatting sqref="J54">
    <cfRule type="containsText" dxfId="149" priority="18" stopIfTrue="1" operator="containsText" text="超过">
      <formula>NOT(ISERROR(SEARCH("超过",J54)))</formula>
    </cfRule>
  </conditionalFormatting>
  <conditionalFormatting sqref="H54">
    <cfRule type="containsText" dxfId="148" priority="17" stopIfTrue="1" operator="containsText" text="超过">
      <formula>NOT(ISERROR(SEARCH("超过",H54)))</formula>
    </cfRule>
  </conditionalFormatting>
  <conditionalFormatting sqref="F54">
    <cfRule type="containsText" dxfId="147" priority="16" stopIfTrue="1" operator="containsText" text="超过">
      <formula>NOT(ISERROR(SEARCH("超过",F54)))</formula>
    </cfRule>
  </conditionalFormatting>
  <conditionalFormatting sqref="F53 H53 J53">
    <cfRule type="containsText" dxfId="146" priority="15" stopIfTrue="1" operator="containsText" text="超过">
      <formula>NOT(ISERROR(SEARCH("超过",F53)))</formula>
    </cfRule>
  </conditionalFormatting>
  <conditionalFormatting sqref="E52">
    <cfRule type="expression" dxfId="145" priority="14" stopIfTrue="1">
      <formula>$F$52="超过30%"</formula>
    </cfRule>
  </conditionalFormatting>
  <conditionalFormatting sqref="G54">
    <cfRule type="expression" dxfId="144" priority="12" stopIfTrue="1">
      <formula>$H$54="超过30%"</formula>
    </cfRule>
  </conditionalFormatting>
  <conditionalFormatting sqref="E53">
    <cfRule type="expression" dxfId="143" priority="11" stopIfTrue="1">
      <formula>$F$53="超过20%"</formula>
    </cfRule>
  </conditionalFormatting>
  <conditionalFormatting sqref="E54">
    <cfRule type="expression" dxfId="142" priority="10" stopIfTrue="1">
      <formula>$F$54="超过30%"</formula>
    </cfRule>
  </conditionalFormatting>
  <conditionalFormatting sqref="G52">
    <cfRule type="expression" dxfId="141" priority="9" stopIfTrue="1">
      <formula>$H$52="超过30%"</formula>
    </cfRule>
  </conditionalFormatting>
  <conditionalFormatting sqref="G53">
    <cfRule type="expression" dxfId="140" priority="8" stopIfTrue="1">
      <formula>$H$53="超过20%"</formula>
    </cfRule>
  </conditionalFormatting>
  <conditionalFormatting sqref="I52">
    <cfRule type="expression" dxfId="139" priority="7" stopIfTrue="1">
      <formula>$J$52="超过30%"</formula>
    </cfRule>
  </conditionalFormatting>
  <conditionalFormatting sqref="I53">
    <cfRule type="expression" dxfId="138" priority="6" stopIfTrue="1">
      <formula>$J$53="超过20%"</formula>
    </cfRule>
  </conditionalFormatting>
  <conditionalFormatting sqref="I54">
    <cfRule type="expression" dxfId="137" priority="5" stopIfTrue="1">
      <formula>$J$54="超过30%"</formula>
    </cfRule>
  </conditionalFormatting>
  <conditionalFormatting sqref="F48">
    <cfRule type="expression" dxfId="136" priority="4">
      <formula>$D$48="简单平均"</formula>
    </cfRule>
  </conditionalFormatting>
  <conditionalFormatting sqref="H48">
    <cfRule type="expression" dxfId="135" priority="3">
      <formula>$D$48="简单平均"</formula>
    </cfRule>
  </conditionalFormatting>
  <conditionalFormatting sqref="J48">
    <cfRule type="expression" dxfId="134" priority="2">
      <formula>$D$48="简单平均"</formula>
    </cfRule>
  </conditionalFormatting>
  <conditionalFormatting sqref="F7:F46 H7:H46 J7:J46">
    <cfRule type="cellIs" dxfId="133"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85" zoomScaleNormal="70" zoomScaleSheetLayoutView="85" workbookViewId="0">
      <selection activeCell="E1" sqref="E1"/>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1766</v>
      </c>
      <c r="C1" s="1238" t="s">
        <v>1662</v>
      </c>
      <c r="D1" s="1225"/>
      <c r="E1" s="3425"/>
      <c r="F1" s="1879"/>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3"/>
      <c r="M2" s="2734"/>
      <c r="N2" s="2734"/>
      <c r="O2" s="2734"/>
      <c r="P2" s="1952"/>
      <c r="Q2" s="912"/>
      <c r="R2" s="912"/>
      <c r="S2" s="912"/>
      <c r="T2" s="912"/>
      <c r="U2" s="912"/>
      <c r="V2" s="912"/>
      <c r="W2" s="912"/>
      <c r="X2" s="912"/>
      <c r="Y2" s="912"/>
      <c r="Z2" s="912"/>
      <c r="AA2" s="912"/>
      <c r="AB2" s="912"/>
      <c r="AC2" s="1953"/>
    </row>
    <row r="3" spans="1:29" s="352" customFormat="1" ht="28.5" customHeight="1" thickBot="1">
      <c r="A3" s="203" t="s">
        <v>1464</v>
      </c>
      <c r="B3" s="558">
        <f>IF(C2="——",C49,ROUND(B2*10000/D3,0))</f>
        <v>0</v>
      </c>
      <c r="C3" s="354" t="s">
        <v>1768</v>
      </c>
      <c r="D3" s="353">
        <f>IF(D1="",'数据-汇总表'!E3,SUMIF('数据-汇总表'!$C19:$C33,D1,'数据-汇总表'!$E19:$E33))</f>
        <v>51034.460000000006</v>
      </c>
      <c r="E3" s="1954"/>
      <c r="F3" s="909"/>
      <c r="G3" s="908"/>
      <c r="H3" s="908"/>
      <c r="I3" s="908"/>
      <c r="J3" s="908"/>
      <c r="K3" s="910"/>
      <c r="L3" s="2733"/>
      <c r="M3" s="2734"/>
      <c r="N3" s="2734"/>
      <c r="O3" s="2734"/>
      <c r="P3" s="1952"/>
      <c r="Q3" s="912"/>
      <c r="R3" s="912"/>
      <c r="S3" s="912"/>
      <c r="T3" s="912"/>
      <c r="U3" s="912"/>
      <c r="V3" s="912"/>
      <c r="W3" s="912"/>
      <c r="X3" s="912"/>
      <c r="Y3" s="912"/>
      <c r="Z3" s="912"/>
      <c r="AA3" s="912"/>
      <c r="AB3" s="912"/>
      <c r="AC3" s="1954"/>
    </row>
    <row r="4" spans="1:29" ht="15">
      <c r="A4" s="355" t="s">
        <v>1769</v>
      </c>
      <c r="B4" s="356"/>
      <c r="C4" s="3810" t="s">
        <v>1770</v>
      </c>
      <c r="D4" s="3811"/>
      <c r="E4" s="3812" t="s">
        <v>1771</v>
      </c>
      <c r="F4" s="3813"/>
      <c r="G4" s="3810" t="s">
        <v>1772</v>
      </c>
      <c r="H4" s="3811"/>
      <c r="I4" s="3810" t="s">
        <v>1773</v>
      </c>
      <c r="J4" s="3811"/>
      <c r="K4" s="559" t="s">
        <v>1774</v>
      </c>
      <c r="L4" s="2714"/>
      <c r="M4" s="2715"/>
      <c r="N4" s="2715"/>
      <c r="O4" s="2715"/>
      <c r="P4" s="3814" t="s">
        <v>1775</v>
      </c>
      <c r="Q4" s="3815"/>
      <c r="R4" s="3797" t="s">
        <v>1771</v>
      </c>
      <c r="S4" s="3798"/>
      <c r="T4" s="3797" t="s">
        <v>1772</v>
      </c>
      <c r="U4" s="3798"/>
      <c r="V4" s="3822" t="s">
        <v>1773</v>
      </c>
      <c r="W4" s="3822"/>
      <c r="X4" s="1355"/>
      <c r="Y4" s="3797" t="s">
        <v>1775</v>
      </c>
      <c r="Z4" s="3798"/>
      <c r="AA4" s="3792" t="s">
        <v>1771</v>
      </c>
      <c r="AB4" s="3822" t="s">
        <v>1772</v>
      </c>
      <c r="AC4" s="3792" t="s">
        <v>1773</v>
      </c>
    </row>
    <row r="5" spans="1:29" ht="15">
      <c r="A5" s="358"/>
      <c r="B5" s="359"/>
      <c r="C5" s="3803" t="s">
        <v>1673</v>
      </c>
      <c r="D5" s="3804"/>
      <c r="E5" s="3801" t="s">
        <v>1674</v>
      </c>
      <c r="F5" s="3802"/>
      <c r="G5" s="3803" t="s">
        <v>1675</v>
      </c>
      <c r="H5" s="3804"/>
      <c r="I5" s="3803" t="s">
        <v>1676</v>
      </c>
      <c r="J5" s="3804"/>
      <c r="K5" s="559"/>
      <c r="L5" s="2714"/>
      <c r="M5" s="2715"/>
      <c r="N5" s="2715"/>
      <c r="O5" s="2715"/>
      <c r="P5" s="3816"/>
      <c r="Q5" s="3817"/>
      <c r="R5" s="3799"/>
      <c r="S5" s="3800"/>
      <c r="T5" s="3799"/>
      <c r="U5" s="3800"/>
      <c r="V5" s="3822"/>
      <c r="W5" s="3822"/>
      <c r="X5" s="1355"/>
      <c r="Y5" s="3799"/>
      <c r="Z5" s="3800"/>
      <c r="AA5" s="3793"/>
      <c r="AB5" s="3822"/>
      <c r="AC5" s="3793"/>
    </row>
    <row r="6" spans="1:29" ht="15.75" thickBot="1">
      <c r="A6" s="360"/>
      <c r="B6" s="361"/>
      <c r="C6" s="3805" t="s">
        <v>1677</v>
      </c>
      <c r="D6" s="3806"/>
      <c r="E6" s="3807" t="s">
        <v>1677</v>
      </c>
      <c r="F6" s="3808"/>
      <c r="G6" s="3805" t="s">
        <v>1677</v>
      </c>
      <c r="H6" s="3806"/>
      <c r="I6" s="3805" t="s">
        <v>1677</v>
      </c>
      <c r="J6" s="3806"/>
      <c r="K6" s="559" t="s">
        <v>1678</v>
      </c>
      <c r="L6" s="2714"/>
      <c r="M6" s="2715"/>
      <c r="N6" s="2715"/>
      <c r="O6" s="2715"/>
      <c r="P6" s="3818"/>
      <c r="Q6" s="3819"/>
      <c r="R6" s="3799"/>
      <c r="S6" s="3800"/>
      <c r="T6" s="3820"/>
      <c r="U6" s="3821"/>
      <c r="V6" s="3822"/>
      <c r="W6" s="3822"/>
      <c r="X6" s="1355"/>
      <c r="Y6" s="3820"/>
      <c r="Z6" s="3821"/>
      <c r="AA6" s="3794"/>
      <c r="AB6" s="3822"/>
      <c r="AC6" s="3794"/>
    </row>
    <row r="7" spans="1:29" s="108" customFormat="1" ht="15.75" thickBot="1">
      <c r="A7" s="362" t="s">
        <v>1679</v>
      </c>
      <c r="B7" s="363"/>
      <c r="C7" s="364">
        <f>'数据-取费表'!B2</f>
        <v>44926</v>
      </c>
      <c r="D7" s="365">
        <v>100</v>
      </c>
      <c r="E7" s="366"/>
      <c r="F7" s="367">
        <f>SUMIF(58:58,YEAR(E7)&amp;"-"&amp;MONTH(E7),59:59)</f>
        <v>0</v>
      </c>
      <c r="G7" s="366"/>
      <c r="H7" s="365">
        <f>SUMIF(58:58,YEAR(G7)&amp;"-"&amp;MONTH(G7),59:59)</f>
        <v>0</v>
      </c>
      <c r="I7" s="366"/>
      <c r="J7" s="365">
        <f>SUMIF(58:58,YEAR(I7)&amp;"-"&amp;MONTH(I7),59:59)</f>
        <v>0</v>
      </c>
      <c r="K7" s="560"/>
      <c r="L7" s="2716"/>
      <c r="M7" s="2717"/>
      <c r="N7" s="2717"/>
      <c r="O7" s="2717"/>
      <c r="P7" s="3795" t="s">
        <v>1680</v>
      </c>
      <c r="Q7" s="3823"/>
      <c r="R7" s="701" t="s">
        <v>14</v>
      </c>
      <c r="S7" s="702">
        <f t="shared" ref="S7:S15" si="0">F7</f>
        <v>0</v>
      </c>
      <c r="T7" s="701" t="s">
        <v>14</v>
      </c>
      <c r="U7" s="702">
        <f t="shared" ref="U7:U15" si="1">H7</f>
        <v>0</v>
      </c>
      <c r="V7" s="701" t="s">
        <v>14</v>
      </c>
      <c r="W7" s="702">
        <f t="shared" ref="W7:W15" si="2">J7</f>
        <v>0</v>
      </c>
      <c r="X7" s="703"/>
      <c r="Y7" s="3795" t="s">
        <v>1680</v>
      </c>
      <c r="Z7" s="3796"/>
      <c r="AA7" s="704" t="e">
        <f>D7/F7</f>
        <v>#DIV/0!</v>
      </c>
      <c r="AB7" s="704" t="e">
        <f>D7/H7</f>
        <v>#DIV/0!</v>
      </c>
      <c r="AC7" s="704" t="e">
        <f>D7/J7</f>
        <v>#DIV/0!</v>
      </c>
    </row>
    <row r="8" spans="1:29" s="108" customFormat="1" ht="15.75" thickBot="1">
      <c r="A8" s="362" t="s">
        <v>1681</v>
      </c>
      <c r="B8" s="363"/>
      <c r="C8" s="368"/>
      <c r="D8" s="365">
        <v>100</v>
      </c>
      <c r="E8" s="368"/>
      <c r="F8" s="367">
        <f>SUMIF(61:61,E8,62:62)-SUMIF(61:61,C8,62:62)+100</f>
        <v>100</v>
      </c>
      <c r="G8" s="368"/>
      <c r="H8" s="365">
        <f>SUMIF(61:61,G8,62:62)-SUMIF(61:61,C8,62:62)+100</f>
        <v>100</v>
      </c>
      <c r="I8" s="368"/>
      <c r="J8" s="365">
        <f>SUMIF(61:61,I8,62:62)-SUMIF(61:61,C8,62:62)+100</f>
        <v>100</v>
      </c>
      <c r="K8" s="560"/>
      <c r="L8" s="2716"/>
      <c r="M8" s="2717"/>
      <c r="N8" s="2717"/>
      <c r="O8" s="2717"/>
      <c r="P8" s="3795" t="s">
        <v>1683</v>
      </c>
      <c r="Q8" s="3796"/>
      <c r="R8" s="701" t="s">
        <v>14</v>
      </c>
      <c r="S8" s="702">
        <f t="shared" si="0"/>
        <v>100</v>
      </c>
      <c r="T8" s="701" t="s">
        <v>14</v>
      </c>
      <c r="U8" s="702">
        <f t="shared" si="1"/>
        <v>100</v>
      </c>
      <c r="V8" s="701" t="s">
        <v>14</v>
      </c>
      <c r="W8" s="702">
        <f t="shared" si="2"/>
        <v>100</v>
      </c>
      <c r="X8" s="703"/>
      <c r="Y8" s="3795" t="s">
        <v>1683</v>
      </c>
      <c r="Z8" s="3796"/>
      <c r="AA8" s="704">
        <f t="shared" ref="AA8:AA46" si="3">D8/F8</f>
        <v>1</v>
      </c>
      <c r="AB8" s="704">
        <f t="shared" ref="AB8:AB46" si="4">D8/H8</f>
        <v>1</v>
      </c>
      <c r="AC8" s="704">
        <f t="shared" ref="AC8:AC46" si="5">D8/J8</f>
        <v>1</v>
      </c>
    </row>
    <row r="9" spans="1:29" s="108" customFormat="1">
      <c r="A9" s="369" t="s">
        <v>1684</v>
      </c>
      <c r="B9" s="63" t="s">
        <v>1685</v>
      </c>
      <c r="C9" s="370"/>
      <c r="D9" s="126">
        <v>100</v>
      </c>
      <c r="E9" s="371"/>
      <c r="F9" s="372">
        <f>SUMIF(63:63,E9,64:64)-SUMIF(63:63,C9,64:64)+100</f>
        <v>100</v>
      </c>
      <c r="G9" s="371"/>
      <c r="H9" s="126">
        <f>SUMIF(63:63,G9,64:64)-SUMIF(63:63,C9,64:64)+100</f>
        <v>100</v>
      </c>
      <c r="I9" s="371"/>
      <c r="J9" s="126">
        <f>SUMIF(63:63,I9,64:64)-SUMIF(63:63,C9,64:64)+100</f>
        <v>100</v>
      </c>
      <c r="K9" s="560"/>
      <c r="L9" s="2716"/>
      <c r="M9" s="2717"/>
      <c r="N9" s="2717"/>
      <c r="O9" s="2717"/>
      <c r="P9" s="3809" t="s">
        <v>1686</v>
      </c>
      <c r="Q9" s="1343" t="str">
        <f t="shared" ref="Q9:Q15" si="6">B9</f>
        <v>用途</v>
      </c>
      <c r="R9" s="701" t="s">
        <v>14</v>
      </c>
      <c r="S9" s="702">
        <f t="shared" si="0"/>
        <v>100</v>
      </c>
      <c r="T9" s="701" t="s">
        <v>14</v>
      </c>
      <c r="U9" s="702">
        <f t="shared" si="1"/>
        <v>100</v>
      </c>
      <c r="V9" s="701" t="s">
        <v>14</v>
      </c>
      <c r="W9" s="702">
        <f t="shared" si="2"/>
        <v>100</v>
      </c>
      <c r="X9" s="703"/>
      <c r="Y9" s="3720" t="s">
        <v>1687</v>
      </c>
      <c r="Z9" s="52" t="str">
        <f t="shared" ref="Z9:Z15" si="7">Q9</f>
        <v>用途</v>
      </c>
      <c r="AA9" s="704">
        <f t="shared" si="3"/>
        <v>1</v>
      </c>
      <c r="AB9" s="704">
        <f t="shared" si="4"/>
        <v>1</v>
      </c>
      <c r="AC9" s="704">
        <f t="shared" si="5"/>
        <v>1</v>
      </c>
    </row>
    <row r="10" spans="1:29" s="378" customFormat="1" ht="27">
      <c r="A10" s="374"/>
      <c r="B10" s="375" t="s">
        <v>1688</v>
      </c>
      <c r="C10" s="3433"/>
      <c r="D10" s="127">
        <v>100</v>
      </c>
      <c r="E10" s="3434"/>
      <c r="F10" s="376">
        <f>SUMIF(65:65,E10,66:66)-SUMIF(65:65,C10,66:66)+100</f>
        <v>100</v>
      </c>
      <c r="G10" s="3433"/>
      <c r="H10" s="127">
        <f>SUMIF(65:65,G10,66:66)-SUMIF(65:65,C10,66:66)+100</f>
        <v>100</v>
      </c>
      <c r="I10" s="3433"/>
      <c r="J10" s="127">
        <f>SUMIF(65:65,I10,66:66)-SUMIF(65:65,C10,66:66)+100</f>
        <v>100</v>
      </c>
      <c r="K10" s="560"/>
      <c r="L10" s="2718"/>
      <c r="M10" s="2719"/>
      <c r="N10" s="2719"/>
      <c r="O10" s="2719"/>
      <c r="P10" s="3809"/>
      <c r="Q10" s="1343" t="str">
        <f t="shared" si="6"/>
        <v>土地使用年限（年）</v>
      </c>
      <c r="R10" s="701" t="s">
        <v>14</v>
      </c>
      <c r="S10" s="702">
        <f t="shared" si="0"/>
        <v>100</v>
      </c>
      <c r="T10" s="701" t="s">
        <v>14</v>
      </c>
      <c r="U10" s="702">
        <f t="shared" si="1"/>
        <v>100</v>
      </c>
      <c r="V10" s="701" t="s">
        <v>14</v>
      </c>
      <c r="W10" s="702">
        <f t="shared" si="2"/>
        <v>100</v>
      </c>
      <c r="X10" s="703"/>
      <c r="Y10" s="3720"/>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20"/>
      <c r="M11" s="2715"/>
      <c r="N11" s="2715"/>
      <c r="O11" s="2715"/>
      <c r="P11" s="3809"/>
      <c r="Q11" s="1343" t="str">
        <f t="shared" si="6"/>
        <v>容积率</v>
      </c>
      <c r="R11" s="701" t="s">
        <v>14</v>
      </c>
      <c r="S11" s="702" t="e">
        <f t="shared" si="0"/>
        <v>#N/A</v>
      </c>
      <c r="T11" s="701" t="s">
        <v>14</v>
      </c>
      <c r="U11" s="702" t="e">
        <f t="shared" si="1"/>
        <v>#N/A</v>
      </c>
      <c r="V11" s="701" t="s">
        <v>14</v>
      </c>
      <c r="W11" s="702" t="e">
        <f t="shared" si="2"/>
        <v>#N/A</v>
      </c>
      <c r="X11" s="703"/>
      <c r="Y11" s="3720"/>
      <c r="Z11" s="52" t="str">
        <f t="shared" si="7"/>
        <v>容积率</v>
      </c>
      <c r="AA11" s="704" t="e">
        <f t="shared" si="3"/>
        <v>#N/A</v>
      </c>
      <c r="AB11" s="704" t="e">
        <f t="shared" si="4"/>
        <v>#N/A</v>
      </c>
      <c r="AC11" s="704" t="e">
        <f t="shared" si="5"/>
        <v>#N/A</v>
      </c>
    </row>
    <row r="12" spans="1:29" s="108" customFormat="1" ht="15">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6"/>
      <c r="M12" s="2717"/>
      <c r="N12" s="2717"/>
      <c r="O12" s="2717"/>
      <c r="P12" s="3809"/>
      <c r="Q12" s="1343">
        <f t="shared" si="6"/>
        <v>111</v>
      </c>
      <c r="R12" s="701" t="s">
        <v>14</v>
      </c>
      <c r="S12" s="702">
        <f t="shared" si="0"/>
        <v>100</v>
      </c>
      <c r="T12" s="701" t="s">
        <v>14</v>
      </c>
      <c r="U12" s="702">
        <f t="shared" si="1"/>
        <v>100</v>
      </c>
      <c r="V12" s="701" t="s">
        <v>14</v>
      </c>
      <c r="W12" s="702">
        <f t="shared" si="2"/>
        <v>100</v>
      </c>
      <c r="X12" s="703"/>
      <c r="Y12" s="3720"/>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1"/>
      <c r="M13" s="2715"/>
      <c r="N13" s="2715"/>
      <c r="O13" s="2715"/>
      <c r="P13" s="3809"/>
      <c r="Q13" s="1343">
        <f t="shared" si="6"/>
        <v>111</v>
      </c>
      <c r="R13" s="701" t="s">
        <v>14</v>
      </c>
      <c r="S13" s="702">
        <f t="shared" si="0"/>
        <v>100</v>
      </c>
      <c r="T13" s="701" t="s">
        <v>14</v>
      </c>
      <c r="U13" s="702">
        <f t="shared" si="1"/>
        <v>100</v>
      </c>
      <c r="V13" s="701" t="s">
        <v>14</v>
      </c>
      <c r="W13" s="702">
        <f t="shared" si="2"/>
        <v>100</v>
      </c>
      <c r="X13" s="703"/>
      <c r="Y13" s="3720"/>
      <c r="Z13" s="52">
        <f t="shared" si="7"/>
        <v>111</v>
      </c>
      <c r="AA13" s="704">
        <f t="shared" si="3"/>
        <v>1</v>
      </c>
      <c r="AB13" s="704">
        <f t="shared" si="4"/>
        <v>1</v>
      </c>
      <c r="AC13" s="704">
        <f t="shared" si="5"/>
        <v>1</v>
      </c>
    </row>
    <row r="14" spans="1:29" ht="15.75"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1"/>
      <c r="M14" s="2715"/>
      <c r="N14" s="2715"/>
      <c r="O14" s="2715"/>
      <c r="P14" s="3809"/>
      <c r="Q14" s="1343">
        <f t="shared" si="6"/>
        <v>111</v>
      </c>
      <c r="R14" s="701" t="s">
        <v>14</v>
      </c>
      <c r="S14" s="702">
        <f t="shared" si="0"/>
        <v>100</v>
      </c>
      <c r="T14" s="701" t="s">
        <v>14</v>
      </c>
      <c r="U14" s="702">
        <f t="shared" si="1"/>
        <v>100</v>
      </c>
      <c r="V14" s="701" t="s">
        <v>14</v>
      </c>
      <c r="W14" s="702">
        <f t="shared" si="2"/>
        <v>100</v>
      </c>
      <c r="X14" s="703"/>
      <c r="Y14" s="3720"/>
      <c r="Z14" s="52">
        <f t="shared" si="7"/>
        <v>111</v>
      </c>
      <c r="AA14" s="704">
        <f t="shared" si="3"/>
        <v>1</v>
      </c>
      <c r="AB14" s="704">
        <f t="shared" si="4"/>
        <v>1</v>
      </c>
      <c r="AC14" s="704">
        <f t="shared" si="5"/>
        <v>1</v>
      </c>
    </row>
    <row r="15" spans="1:29" ht="71.25">
      <c r="A15" s="391" t="s">
        <v>1690</v>
      </c>
      <c r="B15" s="61" t="s">
        <v>1777</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21"/>
      <c r="M15" s="2715"/>
      <c r="N15" s="2715"/>
      <c r="O15" s="2715"/>
      <c r="P15" s="3836" t="s">
        <v>1691</v>
      </c>
      <c r="Q15" s="1352" t="str">
        <f t="shared" si="6"/>
        <v>商业繁华度</v>
      </c>
      <c r="R15" s="705" t="s">
        <v>14</v>
      </c>
      <c r="S15" s="706">
        <f t="shared" si="0"/>
        <v>100</v>
      </c>
      <c r="T15" s="705" t="s">
        <v>14</v>
      </c>
      <c r="U15" s="706">
        <f t="shared" si="1"/>
        <v>100</v>
      </c>
      <c r="V15" s="705" t="s">
        <v>14</v>
      </c>
      <c r="W15" s="706">
        <f t="shared" si="2"/>
        <v>100</v>
      </c>
      <c r="X15" s="1355"/>
      <c r="Y15" s="3829" t="s">
        <v>1691</v>
      </c>
      <c r="Z15" s="1356" t="str">
        <f t="shared" si="7"/>
        <v>商业繁华度</v>
      </c>
      <c r="AA15" s="1353">
        <f t="shared" si="3"/>
        <v>1</v>
      </c>
      <c r="AB15" s="1353">
        <f t="shared" si="4"/>
        <v>1</v>
      </c>
      <c r="AC15" s="1353">
        <f t="shared" si="5"/>
        <v>1</v>
      </c>
    </row>
    <row r="16" spans="1:29" ht="15">
      <c r="A16" s="379"/>
      <c r="B16" s="397"/>
      <c r="C16" s="398"/>
      <c r="D16" s="399"/>
      <c r="E16" s="398"/>
      <c r="F16" s="400"/>
      <c r="G16" s="398"/>
      <c r="H16" s="401"/>
      <c r="I16" s="398"/>
      <c r="J16" s="399"/>
      <c r="K16" s="564"/>
      <c r="L16" s="2721"/>
      <c r="M16" s="2715"/>
      <c r="N16" s="2715"/>
      <c r="O16" s="2715"/>
      <c r="P16" s="3837"/>
      <c r="Q16" s="1352"/>
      <c r="R16" s="705"/>
      <c r="S16" s="706"/>
      <c r="T16" s="705"/>
      <c r="U16" s="706"/>
      <c r="V16" s="705"/>
      <c r="W16" s="706"/>
      <c r="X16" s="1355"/>
      <c r="Y16" s="3830"/>
      <c r="Z16" s="1356"/>
      <c r="AA16" s="1353">
        <v>1</v>
      </c>
      <c r="AB16" s="1353">
        <v>1</v>
      </c>
      <c r="AC16" s="1353">
        <v>1</v>
      </c>
    </row>
    <row r="17" spans="1:29" ht="15">
      <c r="A17" s="379"/>
      <c r="B17" s="402" t="s">
        <v>1259</v>
      </c>
      <c r="C17" s="1900" t="str">
        <f>估价对象房地状况!C6</f>
        <v>光熙门536米</v>
      </c>
      <c r="D17" s="401">
        <v>100</v>
      </c>
      <c r="E17" s="403"/>
      <c r="F17" s="404">
        <f>SUMIF(78:78,E18,79:79)-SUMIF(78:78,C18,79:79)+100</f>
        <v>100</v>
      </c>
      <c r="G17" s="405"/>
      <c r="H17" s="406">
        <f>SUMIF(78:78,G18,79:79)-SUMIF(78:78,C18,79:79)+100</f>
        <v>100</v>
      </c>
      <c r="I17" s="403"/>
      <c r="J17" s="406">
        <f>SUMIF(78:78,I18,79:79)-SUMIF(78:78,C18,79:79)+100</f>
        <v>100</v>
      </c>
      <c r="K17" s="563"/>
      <c r="L17" s="2721"/>
      <c r="M17" s="2715"/>
      <c r="N17" s="2715"/>
      <c r="O17" s="2715"/>
      <c r="P17" s="3837"/>
      <c r="Q17" s="1352" t="str">
        <f>B17</f>
        <v>交通便捷度</v>
      </c>
      <c r="R17" s="705" t="s">
        <v>14</v>
      </c>
      <c r="S17" s="706">
        <f>F17</f>
        <v>100</v>
      </c>
      <c r="T17" s="705" t="s">
        <v>14</v>
      </c>
      <c r="U17" s="706">
        <f>H17</f>
        <v>100</v>
      </c>
      <c r="V17" s="705" t="s">
        <v>14</v>
      </c>
      <c r="W17" s="706">
        <f>J17</f>
        <v>100</v>
      </c>
      <c r="X17" s="1355"/>
      <c r="Y17" s="3830"/>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2721"/>
      <c r="M18" s="2715"/>
      <c r="N18" s="2715"/>
      <c r="O18" s="2715"/>
      <c r="P18" s="3837"/>
      <c r="Q18" s="1352"/>
      <c r="R18" s="705"/>
      <c r="S18" s="706"/>
      <c r="T18" s="705"/>
      <c r="U18" s="706"/>
      <c r="V18" s="705"/>
      <c r="W18" s="706"/>
      <c r="X18" s="1355"/>
      <c r="Y18" s="3830"/>
      <c r="Z18" s="1356"/>
      <c r="AA18" s="1353">
        <v>1</v>
      </c>
      <c r="AB18" s="1353">
        <v>1</v>
      </c>
      <c r="AC18" s="1353">
        <v>1</v>
      </c>
    </row>
    <row r="19" spans="1:29" ht="42.75">
      <c r="A19" s="379"/>
      <c r="B19" s="402" t="s">
        <v>1778</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21"/>
      <c r="M19" s="2715"/>
      <c r="N19" s="2715"/>
      <c r="O19" s="2715"/>
      <c r="P19" s="3837"/>
      <c r="Q19" s="1352" t="str">
        <f>B19</f>
        <v>公共配套设施</v>
      </c>
      <c r="R19" s="705" t="s">
        <v>14</v>
      </c>
      <c r="S19" s="706">
        <f>F19</f>
        <v>100</v>
      </c>
      <c r="T19" s="705" t="s">
        <v>14</v>
      </c>
      <c r="U19" s="706">
        <f>H19</f>
        <v>100</v>
      </c>
      <c r="V19" s="705" t="s">
        <v>14</v>
      </c>
      <c r="W19" s="706">
        <f>J19</f>
        <v>100</v>
      </c>
      <c r="X19" s="1355"/>
      <c r="Y19" s="3830"/>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2721"/>
      <c r="M20" s="2715"/>
      <c r="N20" s="2715"/>
      <c r="O20" s="2715"/>
      <c r="P20" s="3837"/>
      <c r="Q20" s="1352"/>
      <c r="R20" s="705"/>
      <c r="S20" s="706"/>
      <c r="T20" s="705"/>
      <c r="U20" s="706"/>
      <c r="V20" s="705"/>
      <c r="W20" s="706"/>
      <c r="X20" s="1355"/>
      <c r="Y20" s="3830"/>
      <c r="Z20" s="1356"/>
      <c r="AA20" s="1353">
        <v>1</v>
      </c>
      <c r="AB20" s="1353">
        <v>1</v>
      </c>
      <c r="AC20" s="1353">
        <v>1</v>
      </c>
    </row>
    <row r="21" spans="1:29" ht="28.5">
      <c r="A21" s="379"/>
      <c r="B21" s="1131" t="s">
        <v>1779</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21"/>
      <c r="M21" s="2715"/>
      <c r="N21" s="2715"/>
      <c r="O21" s="2715"/>
      <c r="P21" s="3837"/>
      <c r="Q21" s="1352" t="str">
        <f>B21</f>
        <v>基础设施水平</v>
      </c>
      <c r="R21" s="705" t="s">
        <v>14</v>
      </c>
      <c r="S21" s="706">
        <f>F21</f>
        <v>100</v>
      </c>
      <c r="T21" s="705" t="s">
        <v>14</v>
      </c>
      <c r="U21" s="706">
        <f>H21</f>
        <v>100</v>
      </c>
      <c r="V21" s="705" t="s">
        <v>14</v>
      </c>
      <c r="W21" s="706">
        <f>J21</f>
        <v>100</v>
      </c>
      <c r="X21" s="1355"/>
      <c r="Y21" s="3830"/>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2721"/>
      <c r="M22" s="2715"/>
      <c r="N22" s="2715"/>
      <c r="O22" s="2715"/>
      <c r="P22" s="3837"/>
      <c r="Q22" s="1352"/>
      <c r="R22" s="705"/>
      <c r="S22" s="706"/>
      <c r="T22" s="705"/>
      <c r="U22" s="706"/>
      <c r="V22" s="705"/>
      <c r="W22" s="706"/>
      <c r="X22" s="1355"/>
      <c r="Y22" s="3830"/>
      <c r="Z22" s="1356"/>
      <c r="AA22" s="1353">
        <v>1</v>
      </c>
      <c r="AB22" s="1353">
        <v>1</v>
      </c>
      <c r="AC22" s="1353">
        <v>1</v>
      </c>
    </row>
    <row r="23" spans="1:29" ht="57">
      <c r="A23" s="379"/>
      <c r="B23" s="402" t="s">
        <v>1261</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21"/>
      <c r="M23" s="2715"/>
      <c r="N23" s="2715"/>
      <c r="O23" s="2715"/>
      <c r="P23" s="3837"/>
      <c r="Q23" s="1352" t="str">
        <f>B23</f>
        <v>自然及人文环境</v>
      </c>
      <c r="R23" s="705" t="s">
        <v>14</v>
      </c>
      <c r="S23" s="706">
        <f>F23</f>
        <v>100</v>
      </c>
      <c r="T23" s="705" t="s">
        <v>14</v>
      </c>
      <c r="U23" s="706">
        <f>H23</f>
        <v>100</v>
      </c>
      <c r="V23" s="705" t="s">
        <v>14</v>
      </c>
      <c r="W23" s="706">
        <f>J23</f>
        <v>100</v>
      </c>
      <c r="X23" s="1355"/>
      <c r="Y23" s="3830"/>
      <c r="Z23" s="1356" t="str">
        <f>Q23</f>
        <v>自然及人文环境</v>
      </c>
      <c r="AA23" s="1353">
        <f t="shared" si="3"/>
        <v>1</v>
      </c>
      <c r="AB23" s="1353">
        <f t="shared" si="4"/>
        <v>1</v>
      </c>
      <c r="AC23" s="1353">
        <f t="shared" si="5"/>
        <v>1</v>
      </c>
    </row>
    <row r="24" spans="1:29" ht="15">
      <c r="A24" s="379"/>
      <c r="B24" s="407"/>
      <c r="C24" s="398"/>
      <c r="D24" s="399"/>
      <c r="E24" s="1898"/>
      <c r="F24" s="400"/>
      <c r="G24" s="1897"/>
      <c r="H24" s="399"/>
      <c r="I24" s="1898"/>
      <c r="J24" s="399"/>
      <c r="K24" s="564"/>
      <c r="L24" s="2721"/>
      <c r="M24" s="2715"/>
      <c r="N24" s="2715"/>
      <c r="O24" s="2715"/>
      <c r="P24" s="3837"/>
      <c r="Q24" s="1352"/>
      <c r="R24" s="705"/>
      <c r="S24" s="706"/>
      <c r="T24" s="705"/>
      <c r="U24" s="706"/>
      <c r="V24" s="705"/>
      <c r="W24" s="706"/>
      <c r="X24" s="1355"/>
      <c r="Y24" s="3830"/>
      <c r="Z24" s="1356"/>
      <c r="AA24" s="1353">
        <v>1</v>
      </c>
      <c r="AB24" s="1353">
        <v>1</v>
      </c>
      <c r="AC24" s="1353">
        <v>1</v>
      </c>
    </row>
    <row r="25" spans="1:29" ht="15">
      <c r="A25" s="379"/>
      <c r="B25" s="375" t="s">
        <v>1780</v>
      </c>
      <c r="C25" s="565"/>
      <c r="D25" s="386">
        <v>100</v>
      </c>
      <c r="E25" s="565"/>
      <c r="F25" s="412">
        <f>SUMIF(86:86,E25,87:87)-SUMIF(86:86,C25,87:87)+100</f>
        <v>100</v>
      </c>
      <c r="G25" s="565"/>
      <c r="H25" s="386">
        <f>SUMIF(86:86,G25,87:87)-SUMIF(86:86,C25,87:87)+100</f>
        <v>100</v>
      </c>
      <c r="I25" s="565"/>
      <c r="J25" s="386">
        <f>SUMIF(86:86,I25,87:87)-SUMIF(86:86,C25,87:87)+100</f>
        <v>100</v>
      </c>
      <c r="K25" s="561"/>
      <c r="L25" s="2721"/>
      <c r="M25" s="2715"/>
      <c r="N25" s="2715"/>
      <c r="O25" s="2715"/>
      <c r="P25" s="3837"/>
      <c r="Q25" s="1352" t="str">
        <f t="shared" ref="Q25:Q46" si="11">B25</f>
        <v>临街状况</v>
      </c>
      <c r="R25" s="705" t="s">
        <v>14</v>
      </c>
      <c r="S25" s="706">
        <f>F25</f>
        <v>100</v>
      </c>
      <c r="T25" s="705" t="s">
        <v>14</v>
      </c>
      <c r="U25" s="706">
        <f>H25</f>
        <v>100</v>
      </c>
      <c r="V25" s="705" t="s">
        <v>14</v>
      </c>
      <c r="W25" s="706">
        <f>J25</f>
        <v>100</v>
      </c>
      <c r="X25" s="1355"/>
      <c r="Y25" s="3830"/>
      <c r="Z25" s="1356" t="str">
        <f>Q25</f>
        <v>临街状况</v>
      </c>
      <c r="AA25" s="1353">
        <f t="shared" si="3"/>
        <v>1</v>
      </c>
      <c r="AB25" s="1353">
        <f t="shared" si="4"/>
        <v>1</v>
      </c>
      <c r="AC25" s="1353">
        <f t="shared" si="5"/>
        <v>1</v>
      </c>
    </row>
    <row r="26" spans="1:29" ht="15">
      <c r="A26" s="379"/>
      <c r="B26" s="1133" t="s">
        <v>1781</v>
      </c>
      <c r="C26" s="385"/>
      <c r="D26" s="386">
        <v>100</v>
      </c>
      <c r="E26" s="385"/>
      <c r="F26" s="412">
        <f>SUMIF(88:88,E26,89:89)-SUMIF(88:88,C26,89:89)+100</f>
        <v>100</v>
      </c>
      <c r="G26" s="385"/>
      <c r="H26" s="386">
        <f>SUMIF(88:88,G26,89:89)-SUMIF(88:88,C26,89:89)+100</f>
        <v>100</v>
      </c>
      <c r="I26" s="385"/>
      <c r="J26" s="386">
        <f>SUMIF(88:88,I26,89:89)-SUMIF(88:88,C26,89:89)+100</f>
        <v>100</v>
      </c>
      <c r="K26" s="562"/>
      <c r="L26" s="2721"/>
      <c r="M26" s="2715"/>
      <c r="N26" s="2715"/>
      <c r="O26" s="2715"/>
      <c r="P26" s="3837"/>
      <c r="Q26" s="1352" t="str">
        <f t="shared" si="11"/>
        <v>平面位置/可视性</v>
      </c>
      <c r="R26" s="705" t="s">
        <v>14</v>
      </c>
      <c r="S26" s="706">
        <f>F26</f>
        <v>100</v>
      </c>
      <c r="T26" s="705" t="s">
        <v>14</v>
      </c>
      <c r="U26" s="706">
        <f>H26</f>
        <v>100</v>
      </c>
      <c r="V26" s="705" t="s">
        <v>14</v>
      </c>
      <c r="W26" s="706">
        <f>J26</f>
        <v>100</v>
      </c>
      <c r="X26" s="1355"/>
      <c r="Y26" s="3830"/>
      <c r="Z26" s="1356" t="str">
        <f>Q26</f>
        <v>平面位置/可视性</v>
      </c>
      <c r="AA26" s="1353">
        <f t="shared" si="3"/>
        <v>1</v>
      </c>
      <c r="AB26" s="1353">
        <f t="shared" si="4"/>
        <v>1</v>
      </c>
      <c r="AC26" s="1353">
        <f t="shared" si="5"/>
        <v>1</v>
      </c>
    </row>
    <row r="27" spans="1:29" s="108" customFormat="1" ht="15">
      <c r="A27" s="382"/>
      <c r="B27" s="402" t="s">
        <v>1782</v>
      </c>
      <c r="C27" s="1956"/>
      <c r="D27" s="413">
        <v>100</v>
      </c>
      <c r="E27" s="1956"/>
      <c r="F27" s="415">
        <f>SUMIF(90:90,E27,91:91)-SUMIF(90:90,C27,91:91)+100</f>
        <v>100</v>
      </c>
      <c r="G27" s="1956"/>
      <c r="H27" s="413">
        <f>SUMIF(90:90,G27,91:91)-SUMIF(90:90,C27,91:91)+100</f>
        <v>100</v>
      </c>
      <c r="I27" s="1956"/>
      <c r="J27" s="413">
        <f>SUMIF(90:90,I27,91:91)-SUMIF(90:90,C27,91:91)+100</f>
        <v>100</v>
      </c>
      <c r="K27" s="561"/>
      <c r="L27" s="2716"/>
      <c r="M27" s="2717"/>
      <c r="N27" s="2717"/>
      <c r="O27" s="2717"/>
      <c r="P27" s="3837"/>
      <c r="Q27" s="1343" t="str">
        <f t="shared" si="11"/>
        <v>人流量</v>
      </c>
      <c r="R27" s="701" t="s">
        <v>14</v>
      </c>
      <c r="S27" s="702">
        <f>F27</f>
        <v>100</v>
      </c>
      <c r="T27" s="701" t="s">
        <v>14</v>
      </c>
      <c r="U27" s="702">
        <f>H27</f>
        <v>100</v>
      </c>
      <c r="V27" s="701" t="s">
        <v>14</v>
      </c>
      <c r="W27" s="702">
        <f>J27</f>
        <v>100</v>
      </c>
      <c r="X27" s="703"/>
      <c r="Y27" s="3830"/>
      <c r="Z27" s="52" t="str">
        <f>Q27</f>
        <v>人流量</v>
      </c>
      <c r="AA27" s="1353">
        <f>D27/F27</f>
        <v>1</v>
      </c>
      <c r="AB27" s="1353">
        <f>D27/H27</f>
        <v>1</v>
      </c>
      <c r="AC27" s="1353">
        <f>D27/J27</f>
        <v>1</v>
      </c>
    </row>
    <row r="28" spans="1:29" ht="15">
      <c r="A28" s="379"/>
      <c r="B28" s="375" t="s">
        <v>1783</v>
      </c>
      <c r="C28" s="565"/>
      <c r="D28" s="386">
        <v>100</v>
      </c>
      <c r="E28" s="565"/>
      <c r="F28" s="412">
        <f>SUMIF(92:92,E28,93:93)-SUMIF(92:92,C28,93:93)+100</f>
        <v>100</v>
      </c>
      <c r="G28" s="565"/>
      <c r="H28" s="386">
        <f>SUMIF(92:92,G28,93:93)-SUMIF(92:92,C28,93:93)+100</f>
        <v>100</v>
      </c>
      <c r="I28" s="565"/>
      <c r="J28" s="386">
        <f>SUMIF(92:92,I28,93:93)-SUMIF(92:92,C28,93:93)+100</f>
        <v>100</v>
      </c>
      <c r="K28" s="562"/>
      <c r="L28" s="2721"/>
      <c r="M28" s="2715"/>
      <c r="N28" s="2715"/>
      <c r="O28" s="2715"/>
      <c r="P28" s="3837"/>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830"/>
      <c r="Z28" s="1356" t="str">
        <f t="shared" ref="Z28:Z46" si="15">Q28</f>
        <v>楼层</v>
      </c>
      <c r="AA28" s="1353">
        <f t="shared" si="3"/>
        <v>1</v>
      </c>
      <c r="AB28" s="1353">
        <f t="shared" si="4"/>
        <v>1</v>
      </c>
      <c r="AC28" s="1353">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1"/>
      <c r="M29" s="2715"/>
      <c r="N29" s="2715"/>
      <c r="O29" s="2715"/>
      <c r="P29" s="3837"/>
      <c r="Q29" s="1352">
        <f t="shared" si="11"/>
        <v>111</v>
      </c>
      <c r="R29" s="705" t="s">
        <v>14</v>
      </c>
      <c r="S29" s="706">
        <f t="shared" si="12"/>
        <v>100</v>
      </c>
      <c r="T29" s="705" t="s">
        <v>14</v>
      </c>
      <c r="U29" s="706">
        <f t="shared" si="13"/>
        <v>100</v>
      </c>
      <c r="V29" s="705" t="s">
        <v>14</v>
      </c>
      <c r="W29" s="706">
        <f t="shared" si="14"/>
        <v>100</v>
      </c>
      <c r="X29" s="1355"/>
      <c r="Y29" s="3830"/>
      <c r="Z29" s="1356">
        <f t="shared" si="15"/>
        <v>111</v>
      </c>
      <c r="AA29" s="1353">
        <f t="shared" si="3"/>
        <v>1</v>
      </c>
      <c r="AB29" s="1353">
        <f t="shared" si="4"/>
        <v>1</v>
      </c>
      <c r="AC29" s="1353">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1"/>
      <c r="M30" s="2715"/>
      <c r="N30" s="2715"/>
      <c r="O30" s="2715"/>
      <c r="P30" s="3837"/>
      <c r="Q30" s="1352">
        <f t="shared" si="11"/>
        <v>111</v>
      </c>
      <c r="R30" s="705" t="s">
        <v>14</v>
      </c>
      <c r="S30" s="706">
        <f t="shared" si="12"/>
        <v>100</v>
      </c>
      <c r="T30" s="705" t="s">
        <v>14</v>
      </c>
      <c r="U30" s="706">
        <f t="shared" si="13"/>
        <v>100</v>
      </c>
      <c r="V30" s="705" t="s">
        <v>14</v>
      </c>
      <c r="W30" s="706">
        <f t="shared" si="14"/>
        <v>100</v>
      </c>
      <c r="X30" s="1355"/>
      <c r="Y30" s="3830"/>
      <c r="Z30" s="1356">
        <f t="shared" si="15"/>
        <v>111</v>
      </c>
      <c r="AA30" s="1353">
        <f t="shared" si="3"/>
        <v>1</v>
      </c>
      <c r="AB30" s="1353">
        <f t="shared" si="4"/>
        <v>1</v>
      </c>
      <c r="AC30" s="1353">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1"/>
      <c r="M31" s="2715"/>
      <c r="N31" s="2715"/>
      <c r="O31" s="2715"/>
      <c r="P31" s="3837"/>
      <c r="Q31" s="1352">
        <f t="shared" si="11"/>
        <v>111</v>
      </c>
      <c r="R31" s="705" t="s">
        <v>14</v>
      </c>
      <c r="S31" s="706">
        <f t="shared" si="12"/>
        <v>100</v>
      </c>
      <c r="T31" s="705" t="s">
        <v>14</v>
      </c>
      <c r="U31" s="706">
        <f t="shared" si="13"/>
        <v>100</v>
      </c>
      <c r="V31" s="705" t="s">
        <v>14</v>
      </c>
      <c r="W31" s="706">
        <f t="shared" si="14"/>
        <v>100</v>
      </c>
      <c r="X31" s="1355"/>
      <c r="Y31" s="3830"/>
      <c r="Z31" s="1356">
        <f t="shared" si="15"/>
        <v>111</v>
      </c>
      <c r="AA31" s="1353">
        <f t="shared" si="3"/>
        <v>1</v>
      </c>
      <c r="AB31" s="1353">
        <f t="shared" si="4"/>
        <v>1</v>
      </c>
      <c r="AC31" s="1353">
        <f t="shared" si="5"/>
        <v>1</v>
      </c>
    </row>
    <row r="32" spans="1:29" ht="15">
      <c r="A32" s="391" t="s">
        <v>1694</v>
      </c>
      <c r="B32" s="63" t="s">
        <v>1784</v>
      </c>
      <c r="C32" s="1910"/>
      <c r="D32" s="418">
        <v>100</v>
      </c>
      <c r="E32" s="1910"/>
      <c r="F32" s="412">
        <f>SUMIF(100:100,E32,101:101)-SUMIF(100:100,C32,101:101)+100</f>
        <v>100</v>
      </c>
      <c r="G32" s="1910"/>
      <c r="H32" s="386">
        <f>SUMIF(100:100,G32,101:101)-SUMIF(100:100,C32,101:101)+100</f>
        <v>100</v>
      </c>
      <c r="I32" s="1910"/>
      <c r="J32" s="418">
        <f>SUMIF(100:100,I32,101:101)-SUMIF(100:100,C32,101:101)+100</f>
        <v>100</v>
      </c>
      <c r="K32" s="561"/>
      <c r="L32" s="2721"/>
      <c r="M32" s="2715"/>
      <c r="N32" s="2715"/>
      <c r="O32" s="2715"/>
      <c r="P32" s="3831" t="s">
        <v>1696</v>
      </c>
      <c r="Q32" s="1352" t="str">
        <f t="shared" si="11"/>
        <v>商业类型</v>
      </c>
      <c r="R32" s="705" t="s">
        <v>14</v>
      </c>
      <c r="S32" s="706">
        <f t="shared" si="12"/>
        <v>100</v>
      </c>
      <c r="T32" s="705" t="s">
        <v>14</v>
      </c>
      <c r="U32" s="706">
        <f t="shared" si="13"/>
        <v>100</v>
      </c>
      <c r="V32" s="705" t="s">
        <v>14</v>
      </c>
      <c r="W32" s="706">
        <f t="shared" si="14"/>
        <v>100</v>
      </c>
      <c r="X32" s="1355"/>
      <c r="Y32" s="3834" t="s">
        <v>1696</v>
      </c>
      <c r="Z32" s="1356" t="str">
        <f t="shared" si="15"/>
        <v>商业类型</v>
      </c>
      <c r="AA32" s="1353">
        <f t="shared" si="3"/>
        <v>1</v>
      </c>
      <c r="AB32" s="1353">
        <f t="shared" si="4"/>
        <v>1</v>
      </c>
      <c r="AC32" s="1353">
        <f t="shared" si="5"/>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20"/>
      <c r="M33" s="2722"/>
      <c r="N33" s="2722"/>
      <c r="O33" s="2722"/>
      <c r="P33" s="3832"/>
      <c r="Q33" s="707" t="str">
        <f t="shared" si="11"/>
        <v>项目建筑规模</v>
      </c>
      <c r="R33" s="708" t="s">
        <v>14</v>
      </c>
      <c r="S33" s="709" t="e">
        <f t="shared" si="12"/>
        <v>#N/A</v>
      </c>
      <c r="T33" s="708" t="s">
        <v>14</v>
      </c>
      <c r="U33" s="709" t="e">
        <f t="shared" si="13"/>
        <v>#N/A</v>
      </c>
      <c r="V33" s="708" t="s">
        <v>14</v>
      </c>
      <c r="W33" s="709" t="e">
        <f t="shared" si="14"/>
        <v>#N/A</v>
      </c>
      <c r="X33" s="710"/>
      <c r="Y33" s="3834"/>
      <c r="Z33" s="711" t="str">
        <f t="shared" si="15"/>
        <v>项目建筑规模</v>
      </c>
      <c r="AA33" s="1353" t="e">
        <f t="shared" si="3"/>
        <v>#N/A</v>
      </c>
      <c r="AB33" s="1353" t="e">
        <f t="shared" si="4"/>
        <v>#N/A</v>
      </c>
      <c r="AC33" s="1353" t="e">
        <f t="shared" si="5"/>
        <v>#N/A</v>
      </c>
    </row>
    <row r="34" spans="1:29" ht="15">
      <c r="A34" s="423"/>
      <c r="B34" s="375" t="s">
        <v>1698</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21"/>
      <c r="M34" s="2715"/>
      <c r="N34" s="2715"/>
      <c r="O34" s="2715"/>
      <c r="P34" s="3832"/>
      <c r="Q34" s="1352" t="str">
        <f t="shared" si="11"/>
        <v>建筑结构</v>
      </c>
      <c r="R34" s="705" t="s">
        <v>14</v>
      </c>
      <c r="S34" s="706">
        <f t="shared" si="12"/>
        <v>100</v>
      </c>
      <c r="T34" s="705" t="s">
        <v>14</v>
      </c>
      <c r="U34" s="706">
        <f t="shared" si="13"/>
        <v>100</v>
      </c>
      <c r="V34" s="705" t="s">
        <v>14</v>
      </c>
      <c r="W34" s="706">
        <f t="shared" si="14"/>
        <v>100</v>
      </c>
      <c r="X34" s="1355"/>
      <c r="Y34" s="3834"/>
      <c r="Z34" s="1356" t="str">
        <f t="shared" si="15"/>
        <v>建筑结构</v>
      </c>
      <c r="AA34" s="1353">
        <f t="shared" si="3"/>
        <v>1</v>
      </c>
      <c r="AB34" s="1353">
        <f t="shared" si="4"/>
        <v>1</v>
      </c>
      <c r="AC34" s="1353">
        <f t="shared" si="5"/>
        <v>1</v>
      </c>
    </row>
    <row r="35" spans="1:29" ht="15">
      <c r="A35" s="423"/>
      <c r="B35" s="375" t="s">
        <v>1785</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21"/>
      <c r="M35" s="2715"/>
      <c r="N35" s="2715"/>
      <c r="O35" s="2715"/>
      <c r="P35" s="3832"/>
      <c r="Q35" s="1352" t="str">
        <f t="shared" si="11"/>
        <v>公共部分装修</v>
      </c>
      <c r="R35" s="705" t="s">
        <v>14</v>
      </c>
      <c r="S35" s="706">
        <f t="shared" si="12"/>
        <v>100</v>
      </c>
      <c r="T35" s="705" t="s">
        <v>14</v>
      </c>
      <c r="U35" s="706">
        <f t="shared" si="13"/>
        <v>100</v>
      </c>
      <c r="V35" s="705" t="s">
        <v>14</v>
      </c>
      <c r="W35" s="706">
        <f t="shared" si="14"/>
        <v>100</v>
      </c>
      <c r="X35" s="1355"/>
      <c r="Y35" s="3834"/>
      <c r="Z35" s="1356" t="str">
        <f t="shared" si="15"/>
        <v>公共部分装修</v>
      </c>
      <c r="AA35" s="1353">
        <f t="shared" si="3"/>
        <v>1</v>
      </c>
      <c r="AB35" s="1353">
        <f t="shared" si="4"/>
        <v>1</v>
      </c>
      <c r="AC35" s="1353">
        <f t="shared" si="5"/>
        <v>1</v>
      </c>
    </row>
    <row r="36" spans="1:29" ht="15">
      <c r="A36" s="423"/>
      <c r="B36" s="375" t="s">
        <v>1786</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21"/>
      <c r="M36" s="2715"/>
      <c r="N36" s="2715"/>
      <c r="O36" s="2715"/>
      <c r="P36" s="3832"/>
      <c r="Q36" s="1352" t="str">
        <f t="shared" si="11"/>
        <v>成新度</v>
      </c>
      <c r="R36" s="705" t="s">
        <v>14</v>
      </c>
      <c r="S36" s="706" t="e">
        <f t="shared" si="12"/>
        <v>#N/A</v>
      </c>
      <c r="T36" s="705" t="s">
        <v>14</v>
      </c>
      <c r="U36" s="706" t="e">
        <f t="shared" si="13"/>
        <v>#N/A</v>
      </c>
      <c r="V36" s="705" t="s">
        <v>14</v>
      </c>
      <c r="W36" s="706" t="e">
        <f t="shared" si="14"/>
        <v>#N/A</v>
      </c>
      <c r="X36" s="1355"/>
      <c r="Y36" s="3834"/>
      <c r="Z36" s="1356" t="str">
        <f t="shared" si="15"/>
        <v>成新度</v>
      </c>
      <c r="AA36" s="1353" t="e">
        <f t="shared" si="3"/>
        <v>#N/A</v>
      </c>
      <c r="AB36" s="1353" t="e">
        <f t="shared" si="4"/>
        <v>#N/A</v>
      </c>
      <c r="AC36" s="1353" t="e">
        <f t="shared" si="5"/>
        <v>#N/A</v>
      </c>
    </row>
    <row r="37" spans="1:29" s="108" customFormat="1" ht="15">
      <c r="A37" s="424"/>
      <c r="B37" s="375" t="s">
        <v>1787</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6"/>
      <c r="M37" s="2717"/>
      <c r="N37" s="2717"/>
      <c r="O37" s="2717"/>
      <c r="P37" s="3832"/>
      <c r="Q37" s="1343" t="str">
        <f t="shared" si="11"/>
        <v>市政基础设施</v>
      </c>
      <c r="R37" s="701" t="s">
        <v>14</v>
      </c>
      <c r="S37" s="702">
        <f t="shared" si="12"/>
        <v>100</v>
      </c>
      <c r="T37" s="701" t="s">
        <v>14</v>
      </c>
      <c r="U37" s="702">
        <f t="shared" si="13"/>
        <v>100</v>
      </c>
      <c r="V37" s="701" t="s">
        <v>14</v>
      </c>
      <c r="W37" s="702">
        <f t="shared" si="14"/>
        <v>100</v>
      </c>
      <c r="X37" s="703"/>
      <c r="Y37" s="3834"/>
      <c r="Z37" s="52" t="str">
        <f t="shared" si="15"/>
        <v>市政基础设施</v>
      </c>
      <c r="AA37" s="704">
        <f t="shared" si="3"/>
        <v>1</v>
      </c>
      <c r="AB37" s="704">
        <f t="shared" si="4"/>
        <v>1</v>
      </c>
      <c r="AC37" s="704">
        <f t="shared" si="5"/>
        <v>1</v>
      </c>
    </row>
    <row r="38" spans="1:29" ht="15">
      <c r="A38" s="423"/>
      <c r="B38" s="375" t="s">
        <v>1788</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1"/>
      <c r="M38" s="2715"/>
      <c r="N38" s="2715"/>
      <c r="O38" s="2715"/>
      <c r="P38" s="3832" t="s">
        <v>1696</v>
      </c>
      <c r="Q38" s="1352" t="str">
        <f t="shared" si="11"/>
        <v>业态</v>
      </c>
      <c r="R38" s="705" t="s">
        <v>14</v>
      </c>
      <c r="S38" s="706">
        <f t="shared" si="12"/>
        <v>100</v>
      </c>
      <c r="T38" s="705" t="s">
        <v>14</v>
      </c>
      <c r="U38" s="706">
        <f t="shared" si="13"/>
        <v>100</v>
      </c>
      <c r="V38" s="705" t="s">
        <v>14</v>
      </c>
      <c r="W38" s="706">
        <f t="shared" si="14"/>
        <v>100</v>
      </c>
      <c r="X38" s="1355"/>
      <c r="Y38" s="3834" t="s">
        <v>1696</v>
      </c>
      <c r="Z38" s="1356" t="str">
        <f t="shared" si="15"/>
        <v>业态</v>
      </c>
      <c r="AA38" s="1353">
        <f t="shared" si="3"/>
        <v>1</v>
      </c>
      <c r="AB38" s="1353">
        <f t="shared" si="4"/>
        <v>1</v>
      </c>
      <c r="AC38" s="1353">
        <f t="shared" si="5"/>
        <v>1</v>
      </c>
    </row>
    <row r="39" spans="1:29" ht="15">
      <c r="A39" s="423"/>
      <c r="B39" s="375" t="s">
        <v>1789</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21"/>
      <c r="M39" s="2715"/>
      <c r="N39" s="2715"/>
      <c r="O39" s="2715"/>
      <c r="P39" s="3832"/>
      <c r="Q39" s="1352" t="str">
        <f t="shared" si="11"/>
        <v>层高</v>
      </c>
      <c r="R39" s="705" t="s">
        <v>14</v>
      </c>
      <c r="S39" s="706">
        <f t="shared" si="12"/>
        <v>100</v>
      </c>
      <c r="T39" s="705" t="s">
        <v>14</v>
      </c>
      <c r="U39" s="706">
        <f t="shared" si="13"/>
        <v>100</v>
      </c>
      <c r="V39" s="705" t="s">
        <v>14</v>
      </c>
      <c r="W39" s="706">
        <f t="shared" si="14"/>
        <v>100</v>
      </c>
      <c r="X39" s="1355"/>
      <c r="Y39" s="3834"/>
      <c r="Z39" s="1356" t="str">
        <f t="shared" si="15"/>
        <v>层高</v>
      </c>
      <c r="AA39" s="1353">
        <f t="shared" si="3"/>
        <v>1</v>
      </c>
      <c r="AB39" s="1353">
        <f t="shared" si="4"/>
        <v>1</v>
      </c>
      <c r="AC39" s="1353">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1"/>
      <c r="M40" s="2715"/>
      <c r="N40" s="2715"/>
      <c r="O40" s="2715"/>
      <c r="P40" s="3832"/>
      <c r="Q40" s="1352" t="str">
        <f t="shared" si="11"/>
        <v>单套建筑面积</v>
      </c>
      <c r="R40" s="705" t="s">
        <v>14</v>
      </c>
      <c r="S40" s="706">
        <f t="shared" si="12"/>
        <v>100</v>
      </c>
      <c r="T40" s="705" t="s">
        <v>14</v>
      </c>
      <c r="U40" s="706">
        <f t="shared" si="13"/>
        <v>100</v>
      </c>
      <c r="V40" s="705" t="s">
        <v>14</v>
      </c>
      <c r="W40" s="706">
        <f t="shared" si="14"/>
        <v>100</v>
      </c>
      <c r="X40" s="1355"/>
      <c r="Y40" s="3834"/>
      <c r="Z40" s="1356" t="str">
        <f t="shared" si="15"/>
        <v>单套建筑面积</v>
      </c>
      <c r="AA40" s="1353">
        <f t="shared" si="3"/>
        <v>1</v>
      </c>
      <c r="AB40" s="1353">
        <f t="shared" si="4"/>
        <v>1</v>
      </c>
      <c r="AC40" s="1353">
        <f t="shared" si="5"/>
        <v>1</v>
      </c>
    </row>
    <row r="41" spans="1:29" s="422" customFormat="1" ht="15">
      <c r="A41" s="419"/>
      <c r="B41" s="1354"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20"/>
      <c r="M41" s="2722"/>
      <c r="N41" s="2722"/>
      <c r="O41" s="2722"/>
      <c r="P41" s="3832"/>
      <c r="Q41" s="707" t="str">
        <f t="shared" si="11"/>
        <v>进深比</v>
      </c>
      <c r="R41" s="708" t="s">
        <v>14</v>
      </c>
      <c r="S41" s="709">
        <f t="shared" si="12"/>
        <v>100</v>
      </c>
      <c r="T41" s="708" t="s">
        <v>14</v>
      </c>
      <c r="U41" s="709">
        <f t="shared" si="13"/>
        <v>100</v>
      </c>
      <c r="V41" s="708" t="s">
        <v>14</v>
      </c>
      <c r="W41" s="709">
        <f t="shared" si="14"/>
        <v>100</v>
      </c>
      <c r="X41" s="710"/>
      <c r="Y41" s="3834"/>
      <c r="Z41" s="711" t="str">
        <f t="shared" si="15"/>
        <v>进深比</v>
      </c>
      <c r="AA41" s="1353">
        <f t="shared" si="3"/>
        <v>1</v>
      </c>
      <c r="AB41" s="1353">
        <f t="shared" si="4"/>
        <v>1</v>
      </c>
      <c r="AC41" s="1353">
        <f t="shared" si="5"/>
        <v>1</v>
      </c>
    </row>
    <row r="42" spans="1:29" ht="15">
      <c r="A42" s="423"/>
      <c r="B42" s="375" t="s">
        <v>1792</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21"/>
      <c r="M42" s="2715"/>
      <c r="N42" s="2715"/>
      <c r="O42" s="2715"/>
      <c r="P42" s="3832"/>
      <c r="Q42" s="1352" t="str">
        <f t="shared" si="11"/>
        <v>内部装修</v>
      </c>
      <c r="R42" s="705" t="s">
        <v>14</v>
      </c>
      <c r="S42" s="706">
        <f t="shared" si="12"/>
        <v>100</v>
      </c>
      <c r="T42" s="705" t="s">
        <v>14</v>
      </c>
      <c r="U42" s="706">
        <f t="shared" si="13"/>
        <v>100</v>
      </c>
      <c r="V42" s="705" t="s">
        <v>14</v>
      </c>
      <c r="W42" s="706">
        <f t="shared" si="14"/>
        <v>100</v>
      </c>
      <c r="X42" s="1355"/>
      <c r="Y42" s="3834"/>
      <c r="Z42" s="1356" t="str">
        <f t="shared" si="15"/>
        <v>内部装修</v>
      </c>
      <c r="AA42" s="1353">
        <f t="shared" si="3"/>
        <v>1</v>
      </c>
      <c r="AB42" s="1353">
        <f t="shared" si="4"/>
        <v>1</v>
      </c>
      <c r="AC42" s="1353">
        <f t="shared" si="5"/>
        <v>1</v>
      </c>
    </row>
    <row r="43" spans="1:29" ht="15">
      <c r="A43" s="423"/>
      <c r="B43" s="375" t="s">
        <v>1707</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21"/>
      <c r="M43" s="2715"/>
      <c r="N43" s="2715"/>
      <c r="O43" s="2715"/>
      <c r="P43" s="3832"/>
      <c r="Q43" s="1352" t="str">
        <f t="shared" si="11"/>
        <v>内部装修维护情况</v>
      </c>
      <c r="R43" s="705" t="s">
        <v>14</v>
      </c>
      <c r="S43" s="706">
        <f t="shared" si="12"/>
        <v>100</v>
      </c>
      <c r="T43" s="705" t="s">
        <v>14</v>
      </c>
      <c r="U43" s="706">
        <f t="shared" si="13"/>
        <v>100</v>
      </c>
      <c r="V43" s="705" t="s">
        <v>14</v>
      </c>
      <c r="W43" s="706">
        <f t="shared" si="14"/>
        <v>100</v>
      </c>
      <c r="X43" s="1355"/>
      <c r="Y43" s="3834"/>
      <c r="Z43" s="1356" t="str">
        <f t="shared" si="15"/>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6"/>
      <c r="M44" s="2717"/>
      <c r="N44" s="2717"/>
      <c r="O44" s="2717"/>
      <c r="P44" s="3832"/>
      <c r="Q44" s="1343">
        <f t="shared" si="11"/>
        <v>111</v>
      </c>
      <c r="R44" s="701" t="s">
        <v>14</v>
      </c>
      <c r="S44" s="702">
        <f t="shared" si="12"/>
        <v>100</v>
      </c>
      <c r="T44" s="701" t="s">
        <v>14</v>
      </c>
      <c r="U44" s="702">
        <f t="shared" si="13"/>
        <v>100</v>
      </c>
      <c r="V44" s="701" t="s">
        <v>14</v>
      </c>
      <c r="W44" s="702">
        <f t="shared" si="14"/>
        <v>100</v>
      </c>
      <c r="X44" s="703"/>
      <c r="Y44" s="3834"/>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1"/>
      <c r="M45" s="2715"/>
      <c r="N45" s="2715"/>
      <c r="O45" s="2715"/>
      <c r="P45" s="3832"/>
      <c r="Q45" s="1352">
        <f t="shared" si="11"/>
        <v>111</v>
      </c>
      <c r="R45" s="705" t="s">
        <v>14</v>
      </c>
      <c r="S45" s="706">
        <f t="shared" si="12"/>
        <v>100</v>
      </c>
      <c r="T45" s="705" t="s">
        <v>14</v>
      </c>
      <c r="U45" s="706">
        <f t="shared" si="13"/>
        <v>100</v>
      </c>
      <c r="V45" s="705" t="s">
        <v>14</v>
      </c>
      <c r="W45" s="706">
        <f t="shared" si="14"/>
        <v>100</v>
      </c>
      <c r="X45" s="1355"/>
      <c r="Y45" s="3834"/>
      <c r="Z45" s="1356">
        <f t="shared" si="15"/>
        <v>111</v>
      </c>
      <c r="AA45" s="1353">
        <f t="shared" si="3"/>
        <v>1</v>
      </c>
      <c r="AB45" s="1353">
        <f t="shared" si="4"/>
        <v>1</v>
      </c>
      <c r="AC45" s="1353">
        <f t="shared" si="5"/>
        <v>1</v>
      </c>
    </row>
    <row r="46" spans="1:29" ht="15.75"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1"/>
      <c r="M46" s="2715"/>
      <c r="N46" s="2715"/>
      <c r="O46" s="2715"/>
      <c r="P46" s="3833"/>
      <c r="Q46" s="1352">
        <f t="shared" si="11"/>
        <v>111</v>
      </c>
      <c r="R46" s="705" t="s">
        <v>14</v>
      </c>
      <c r="S46" s="706">
        <f t="shared" si="12"/>
        <v>100</v>
      </c>
      <c r="T46" s="705" t="s">
        <v>14</v>
      </c>
      <c r="U46" s="706">
        <f t="shared" si="13"/>
        <v>100</v>
      </c>
      <c r="V46" s="705" t="s">
        <v>14</v>
      </c>
      <c r="W46" s="706">
        <f t="shared" si="14"/>
        <v>100</v>
      </c>
      <c r="X46" s="1355"/>
      <c r="Y46" s="3835"/>
      <c r="Z46" s="1356">
        <f t="shared" si="15"/>
        <v>111</v>
      </c>
      <c r="AA46" s="1353">
        <f t="shared" si="3"/>
        <v>1</v>
      </c>
      <c r="AB46" s="1353">
        <f t="shared" si="4"/>
        <v>1</v>
      </c>
      <c r="AC46" s="1353">
        <f t="shared" si="5"/>
        <v>1</v>
      </c>
    </row>
    <row r="47" spans="1:29" ht="15">
      <c r="A47" s="430" t="s">
        <v>1708</v>
      </c>
      <c r="B47" s="431"/>
      <c r="C47" s="1154" t="s">
        <v>0</v>
      </c>
      <c r="D47" s="1155"/>
      <c r="E47" s="1156"/>
      <c r="F47" s="1157"/>
      <c r="G47" s="1158"/>
      <c r="H47" s="1159"/>
      <c r="I47" s="1156"/>
      <c r="J47" s="1159"/>
      <c r="K47" s="714"/>
      <c r="L47" s="2723"/>
      <c r="M47" s="2724"/>
      <c r="N47" s="2715"/>
      <c r="O47" s="2724"/>
      <c r="P47" s="3827" t="str">
        <f>A47</f>
        <v>成交单价（元/平方米）</v>
      </c>
      <c r="Q47" s="3827"/>
      <c r="R47" s="3822">
        <f>E47</f>
        <v>0</v>
      </c>
      <c r="S47" s="3822"/>
      <c r="T47" s="3822">
        <f>G47</f>
        <v>0</v>
      </c>
      <c r="U47" s="3822"/>
      <c r="V47" s="3822">
        <f>I47</f>
        <v>0</v>
      </c>
      <c r="W47" s="3822"/>
      <c r="X47" s="690"/>
      <c r="Y47" s="712"/>
      <c r="Z47" s="690"/>
      <c r="AA47" s="690"/>
      <c r="AB47" s="690"/>
      <c r="AC47" s="690"/>
    </row>
    <row r="48" spans="1:29" ht="15.75" thickBot="1">
      <c r="A48" s="437" t="s">
        <v>1793</v>
      </c>
      <c r="B48" s="438"/>
      <c r="C48" s="1160" t="e">
        <f>R49</f>
        <v>#DIV/0!</v>
      </c>
      <c r="D48" s="2317" t="s">
        <v>2138</v>
      </c>
      <c r="E48" s="1161" t="e">
        <f>R48</f>
        <v>#DIV/0!</v>
      </c>
      <c r="F48" s="2318"/>
      <c r="G48" s="1160" t="e">
        <f>T48</f>
        <v>#DIV/0!</v>
      </c>
      <c r="H48" s="2318"/>
      <c r="I48" s="1161" t="e">
        <f>V48</f>
        <v>#DIV/0!</v>
      </c>
      <c r="J48" s="2318"/>
      <c r="K48" s="2320">
        <f>F48+H48+J48</f>
        <v>0</v>
      </c>
      <c r="L48" s="2723"/>
      <c r="M48" s="2724"/>
      <c r="N48" s="2715"/>
      <c r="O48" s="2724"/>
      <c r="P48" s="3827" t="str">
        <f>A48</f>
        <v>比较价值（元/平方米）</v>
      </c>
      <c r="Q48" s="3827"/>
      <c r="R48" s="3828" t="e">
        <f>IF(F1="售价",ROUND(PRODUCT(R47,AA7:AA46),0),ROUND(PRODUCT(R47,AA7:AA46),1))</f>
        <v>#DIV/0!</v>
      </c>
      <c r="S48" s="3828"/>
      <c r="T48" s="3828" t="e">
        <f>IF(F1="售价",ROUND(PRODUCT(T47,AB7:AB46),0),ROUND(PRODUCT(T47,AB7:AB46),1))</f>
        <v>#DIV/0!</v>
      </c>
      <c r="U48" s="3828"/>
      <c r="V48" s="3828" t="e">
        <f>IF(F1="售价",ROUND(PRODUCT(V47,AC7:AC46),0),ROUND(PRODUCT(V47,AC7:AC46),1))</f>
        <v>#DIV/0!</v>
      </c>
      <c r="W48" s="3828"/>
      <c r="X48" s="690"/>
      <c r="Y48" s="690"/>
      <c r="Z48" s="690"/>
      <c r="AA48" s="690"/>
      <c r="AB48" s="690"/>
      <c r="AC48" s="690"/>
    </row>
    <row r="49" spans="1:29" ht="15.75" thickBot="1">
      <c r="A49" s="441" t="s">
        <v>1794</v>
      </c>
      <c r="B49" s="442"/>
      <c r="C49" s="1163" t="e">
        <f>R49</f>
        <v>#DIV/0!</v>
      </c>
      <c r="D49" s="1163"/>
      <c r="E49" s="1163"/>
      <c r="F49" s="1163"/>
      <c r="G49" s="1163"/>
      <c r="H49" s="1163"/>
      <c r="I49" s="1163"/>
      <c r="J49" s="1163"/>
      <c r="K49" s="715"/>
      <c r="L49" s="2723"/>
      <c r="M49" s="2724"/>
      <c r="N49" s="2715"/>
      <c r="O49" s="2724"/>
      <c r="P49" s="3824" t="str">
        <f>A49</f>
        <v>估价对象XX用房的比较价值（楼面单价，元/平方米）</v>
      </c>
      <c r="Q49" s="3825"/>
      <c r="R49" s="3826" t="e">
        <f>IF(F1="售价",ROUND(IF(D48="简单平均",AVERAGE(R48:V48),R48*F48+T48*H48+V48*J48),0),ROUND(IF(D48="简单平均",AVERAGE(R48:V48),R48*F48+T48*H48+V48*J48),1))</f>
        <v>#DIV/0!</v>
      </c>
      <c r="S49" s="3826"/>
      <c r="T49" s="3826"/>
      <c r="U49" s="3826"/>
      <c r="V49" s="3826"/>
      <c r="W49" s="3826"/>
      <c r="X49" s="690"/>
      <c r="Y49" s="690"/>
      <c r="Z49" s="690"/>
      <c r="AA49" s="690"/>
      <c r="AB49" s="690"/>
      <c r="AC49" s="690"/>
    </row>
    <row r="50" spans="1:29">
      <c r="A50" s="2724"/>
      <c r="B50" s="2724"/>
      <c r="C50" s="2724"/>
      <c r="D50" s="2724"/>
      <c r="E50" s="2724"/>
      <c r="F50" s="2724"/>
      <c r="G50" s="2728"/>
      <c r="H50" s="2724"/>
      <c r="I50" s="2724"/>
      <c r="J50" s="2724"/>
      <c r="K50" s="2729"/>
      <c r="L50" s="2725"/>
      <c r="M50" s="2724"/>
      <c r="N50" s="2724"/>
      <c r="O50" s="2724"/>
      <c r="P50" s="2735"/>
      <c r="Q50" s="2724"/>
      <c r="R50" s="2724"/>
      <c r="S50" s="2724"/>
      <c r="T50" s="2724"/>
      <c r="U50" s="2724"/>
      <c r="V50" s="2724"/>
      <c r="W50" s="2724"/>
      <c r="X50" s="2724"/>
      <c r="Y50" s="2724"/>
      <c r="Z50" s="2724"/>
      <c r="AA50" s="2724"/>
      <c r="AB50" s="2724"/>
      <c r="AC50" s="2724"/>
    </row>
    <row r="51" spans="1:29">
      <c r="A51" s="2724"/>
      <c r="B51" s="2724"/>
      <c r="C51" s="2724"/>
      <c r="D51" s="2724"/>
      <c r="E51" s="2724"/>
      <c r="F51" s="2724"/>
      <c r="G51" s="2724"/>
      <c r="H51" s="2724"/>
      <c r="I51" s="2724"/>
      <c r="J51" s="2724"/>
      <c r="K51" s="2729"/>
      <c r="L51" s="2725"/>
      <c r="M51" s="2724"/>
      <c r="N51" s="2724"/>
      <c r="O51" s="2724"/>
      <c r="P51" s="2735"/>
      <c r="Q51" s="2724"/>
      <c r="R51" s="2724"/>
      <c r="S51" s="2724"/>
      <c r="T51" s="2724"/>
      <c r="U51" s="2724"/>
      <c r="V51" s="2724"/>
      <c r="W51" s="2724"/>
      <c r="X51" s="2724"/>
      <c r="Y51" s="2724"/>
      <c r="Z51" s="2724"/>
      <c r="AA51" s="2724"/>
      <c r="AB51" s="2724"/>
      <c r="AC51" s="2724"/>
    </row>
    <row r="52" spans="1:29" ht="13.5" customHeight="1">
      <c r="A52" s="2724"/>
      <c r="B52" s="2724"/>
      <c r="C52" s="446" t="s">
        <v>1795</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9"/>
      <c r="L52" s="2725"/>
      <c r="M52" s="2724"/>
      <c r="N52" s="2724"/>
      <c r="O52" s="2724"/>
      <c r="P52" s="2735"/>
      <c r="Q52" s="2724"/>
      <c r="R52" s="2724"/>
      <c r="S52" s="2724"/>
      <c r="T52" s="2724"/>
      <c r="U52" s="2724"/>
      <c r="V52" s="2724"/>
      <c r="W52" s="2724"/>
      <c r="X52" s="2724"/>
      <c r="Y52" s="2724"/>
      <c r="Z52" s="2724"/>
      <c r="AA52" s="2724"/>
      <c r="AB52" s="2724"/>
      <c r="AC52" s="2724"/>
    </row>
    <row r="53" spans="1:29" ht="13.5" customHeight="1">
      <c r="A53" s="2724"/>
      <c r="B53" s="2724"/>
      <c r="C53" s="446" t="s">
        <v>1796</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9"/>
      <c r="L53" s="2725"/>
      <c r="M53" s="2724"/>
      <c r="N53" s="2724"/>
      <c r="O53" s="2724"/>
      <c r="P53" s="2735"/>
      <c r="Q53" s="2724"/>
      <c r="R53" s="2724"/>
      <c r="S53" s="2724"/>
      <c r="T53" s="2724"/>
      <c r="U53" s="2724"/>
      <c r="V53" s="2724"/>
      <c r="W53" s="2724"/>
      <c r="X53" s="2724"/>
      <c r="Y53" s="2724"/>
      <c r="Z53" s="2724"/>
      <c r="AA53" s="2724"/>
      <c r="AB53" s="2724"/>
      <c r="AC53" s="2724"/>
    </row>
    <row r="54" spans="1:29" s="451" customFormat="1" ht="13.5" customHeight="1">
      <c r="A54" s="2727"/>
      <c r="B54" s="2727"/>
      <c r="C54" s="446" t="s">
        <v>1797</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2"/>
      <c r="L54" s="2726"/>
      <c r="M54" s="2727"/>
      <c r="N54" s="2727"/>
      <c r="O54" s="2727"/>
      <c r="P54" s="2736"/>
      <c r="Q54" s="2727"/>
      <c r="R54" s="2727"/>
      <c r="S54" s="2727"/>
      <c r="T54" s="2727"/>
      <c r="U54" s="2727"/>
      <c r="V54" s="2727"/>
      <c r="W54" s="2727"/>
      <c r="X54" s="2727"/>
      <c r="Y54" s="2727"/>
      <c r="Z54" s="2727"/>
      <c r="AA54" s="2727"/>
      <c r="AB54" s="2727"/>
      <c r="AC54" s="2727"/>
    </row>
    <row r="55" spans="1:29" s="451" customFormat="1">
      <c r="A55" s="2727"/>
      <c r="B55" s="2730"/>
      <c r="C55" s="2731"/>
      <c r="D55" s="2727"/>
      <c r="E55" s="2727"/>
      <c r="F55" s="2727"/>
      <c r="G55" s="2727"/>
      <c r="H55" s="2727"/>
      <c r="I55" s="2727"/>
      <c r="J55" s="2727"/>
      <c r="K55" s="2732"/>
      <c r="L55" s="2726"/>
      <c r="M55" s="2727"/>
      <c r="N55" s="2727"/>
      <c r="O55" s="2727"/>
      <c r="P55" s="2736"/>
      <c r="Q55" s="2727"/>
      <c r="R55" s="2727"/>
      <c r="S55" s="2727"/>
      <c r="T55" s="2727"/>
      <c r="U55" s="2727"/>
      <c r="V55" s="2727"/>
      <c r="W55" s="2727"/>
      <c r="X55" s="2727"/>
      <c r="Y55" s="2727"/>
      <c r="Z55" s="2727"/>
      <c r="AA55" s="2727"/>
      <c r="AB55" s="2727"/>
      <c r="AC55" s="2727"/>
    </row>
    <row r="56" spans="1:29">
      <c r="A56" s="2724"/>
      <c r="B56" s="2730"/>
      <c r="C56" s="2731"/>
      <c r="D56" s="2724"/>
      <c r="E56" s="2724"/>
      <c r="F56" s="2724"/>
      <c r="G56" s="2724"/>
      <c r="H56" s="2724"/>
      <c r="I56" s="2724"/>
      <c r="J56" s="2724"/>
      <c r="K56" s="2729"/>
      <c r="L56" s="2725"/>
      <c r="M56" s="2724"/>
      <c r="N56" s="2724"/>
      <c r="O56" s="2724"/>
      <c r="P56" s="2735"/>
      <c r="Q56" s="2724"/>
      <c r="R56" s="2724"/>
      <c r="S56" s="2724"/>
      <c r="T56" s="2724"/>
      <c r="U56" s="2724"/>
      <c r="V56" s="2724"/>
      <c r="W56" s="2724"/>
      <c r="X56" s="2724"/>
      <c r="Y56" s="2724"/>
      <c r="Z56" s="2724"/>
      <c r="AA56" s="2724"/>
      <c r="AB56" s="2724"/>
      <c r="AC56" s="2724"/>
    </row>
    <row r="57" spans="1:29" ht="21.75" thickBot="1">
      <c r="A57" s="694" t="s">
        <v>1798</v>
      </c>
      <c r="B57" s="690"/>
      <c r="C57" s="695"/>
      <c r="D57" s="695"/>
      <c r="E57" s="695"/>
      <c r="F57" s="696"/>
      <c r="G57" s="696"/>
      <c r="H57" s="695"/>
      <c r="I57" s="695"/>
      <c r="J57" s="695"/>
      <c r="K57" s="697"/>
      <c r="L57" s="942"/>
      <c r="M57" s="940"/>
      <c r="N57" s="940"/>
      <c r="O57" s="940"/>
      <c r="P57" s="2737"/>
      <c r="Q57" s="2738"/>
      <c r="R57" s="2724"/>
      <c r="S57" s="2724"/>
      <c r="T57" s="2724"/>
      <c r="U57" s="2724"/>
      <c r="V57" s="2724"/>
      <c r="W57" s="2724"/>
      <c r="X57" s="2724"/>
      <c r="Y57" s="2724"/>
      <c r="Z57" s="2724"/>
      <c r="AA57" s="2724"/>
      <c r="AB57" s="2724"/>
      <c r="AC57" s="2724"/>
    </row>
    <row r="58" spans="1:29" s="457" customFormat="1" ht="15">
      <c r="A58" s="454" t="s">
        <v>1679</v>
      </c>
      <c r="B58" s="455"/>
      <c r="C58" s="1184" t="str">
        <f>YEAR(C7)&amp;"-"&amp;MONTH(C7)</f>
        <v>2022-12</v>
      </c>
      <c r="D58" s="1185">
        <f>EDATE(C58,-1)</f>
        <v>44866</v>
      </c>
      <c r="E58" s="1185">
        <f t="shared" ref="E58:N58" si="16">EDATE(D58,-1)</f>
        <v>44835</v>
      </c>
      <c r="F58" s="1185">
        <f t="shared" si="16"/>
        <v>44805</v>
      </c>
      <c r="G58" s="1185">
        <f t="shared" si="16"/>
        <v>44774</v>
      </c>
      <c r="H58" s="1185">
        <f t="shared" si="16"/>
        <v>44743</v>
      </c>
      <c r="I58" s="1185">
        <f t="shared" si="16"/>
        <v>44713</v>
      </c>
      <c r="J58" s="1185">
        <f t="shared" si="16"/>
        <v>44682</v>
      </c>
      <c r="K58" s="1185">
        <f t="shared" si="16"/>
        <v>44652</v>
      </c>
      <c r="L58" s="1185">
        <f t="shared" si="16"/>
        <v>44621</v>
      </c>
      <c r="M58" s="1185">
        <f t="shared" si="16"/>
        <v>44593</v>
      </c>
      <c r="N58" s="1185">
        <f t="shared" si="16"/>
        <v>44562</v>
      </c>
      <c r="O58" s="1185">
        <f>EDATE(N58,-1)</f>
        <v>44531</v>
      </c>
      <c r="P58" s="2739"/>
      <c r="Q58" s="2740"/>
      <c r="R58" s="2740"/>
      <c r="S58" s="2740"/>
      <c r="T58" s="2740"/>
      <c r="U58" s="2740"/>
      <c r="V58" s="2740"/>
      <c r="W58" s="2740"/>
      <c r="X58" s="2740"/>
      <c r="Y58" s="2740"/>
      <c r="Z58" s="2740"/>
      <c r="AA58" s="2740"/>
      <c r="AB58" s="2740"/>
      <c r="AC58" s="2740"/>
    </row>
    <row r="59" spans="1:29" s="108" customFormat="1" ht="15">
      <c r="A59" s="458"/>
      <c r="B59" s="459"/>
      <c r="C59" s="1183">
        <v>100</v>
      </c>
      <c r="D59" s="461"/>
      <c r="E59" s="461"/>
      <c r="F59" s="461"/>
      <c r="G59" s="461"/>
      <c r="H59" s="461"/>
      <c r="I59" s="461"/>
      <c r="J59" s="461"/>
      <c r="K59" s="461"/>
      <c r="L59" s="461"/>
      <c r="M59" s="462"/>
      <c r="N59" s="461"/>
      <c r="O59" s="462"/>
      <c r="P59" s="2741"/>
      <c r="Q59" s="2660"/>
      <c r="R59" s="2660"/>
      <c r="S59" s="2660"/>
      <c r="T59" s="2660"/>
      <c r="U59" s="2660"/>
      <c r="V59" s="2660"/>
      <c r="W59" s="2660"/>
      <c r="X59" s="2660"/>
      <c r="Y59" s="2660"/>
      <c r="Z59" s="2660"/>
      <c r="AA59" s="2660"/>
      <c r="AB59" s="2660"/>
      <c r="AC59" s="2660"/>
    </row>
    <row r="60" spans="1:29" s="108" customFormat="1" ht="15.75" thickBot="1">
      <c r="A60" s="464" t="s">
        <v>1716</v>
      </c>
      <c r="B60" s="465"/>
      <c r="C60" s="466"/>
      <c r="D60" s="467"/>
      <c r="E60" s="467"/>
      <c r="F60" s="467"/>
      <c r="G60" s="467"/>
      <c r="H60" s="467"/>
      <c r="I60" s="467"/>
      <c r="J60" s="467"/>
      <c r="K60" s="467"/>
      <c r="L60" s="467"/>
      <c r="M60" s="468"/>
      <c r="N60" s="467"/>
      <c r="O60" s="468"/>
      <c r="P60" s="2741"/>
      <c r="Q60" s="2738"/>
      <c r="R60" s="2660"/>
      <c r="S60" s="2660"/>
      <c r="T60" s="2660"/>
      <c r="U60" s="2660"/>
      <c r="V60" s="2660"/>
      <c r="W60" s="2660"/>
      <c r="X60" s="2660"/>
      <c r="Y60" s="2660"/>
      <c r="Z60" s="2660"/>
      <c r="AA60" s="2660"/>
      <c r="AB60" s="2660"/>
      <c r="AC60" s="2660"/>
    </row>
    <row r="61" spans="1:29" s="108" customFormat="1" ht="15">
      <c r="A61" s="470" t="s">
        <v>1681</v>
      </c>
      <c r="B61" s="459"/>
      <c r="C61" s="471" t="s">
        <v>1776</v>
      </c>
      <c r="D61" s="472"/>
      <c r="E61" s="472"/>
      <c r="F61" s="472"/>
      <c r="G61" s="472"/>
      <c r="H61" s="472"/>
      <c r="I61" s="472"/>
      <c r="J61" s="472"/>
      <c r="K61" s="472"/>
      <c r="L61" s="473"/>
      <c r="M61" s="474"/>
      <c r="N61" s="2751"/>
      <c r="O61" s="2751"/>
      <c r="P61" s="2742"/>
      <c r="Q61" s="2738"/>
      <c r="R61" s="2660"/>
      <c r="S61" s="2660"/>
      <c r="T61" s="2660"/>
      <c r="U61" s="2660"/>
      <c r="V61" s="2660"/>
      <c r="W61" s="2660"/>
      <c r="X61" s="2660"/>
      <c r="Y61" s="2660"/>
      <c r="Z61" s="2660"/>
      <c r="AA61" s="2660"/>
      <c r="AB61" s="2660"/>
      <c r="AC61" s="2660"/>
    </row>
    <row r="62" spans="1:29" s="108" customFormat="1" ht="15.75" thickBot="1">
      <c r="A62" s="470"/>
      <c r="B62" s="459"/>
      <c r="C62" s="460">
        <v>100</v>
      </c>
      <c r="D62" s="461"/>
      <c r="E62" s="461"/>
      <c r="F62" s="461"/>
      <c r="G62" s="461"/>
      <c r="H62" s="461"/>
      <c r="I62" s="461"/>
      <c r="J62" s="461"/>
      <c r="K62" s="461"/>
      <c r="L62" s="461"/>
      <c r="M62" s="463"/>
      <c r="N62" s="2751"/>
      <c r="O62" s="2751"/>
      <c r="P62" s="2741"/>
      <c r="Q62" s="2738"/>
      <c r="R62" s="2660"/>
      <c r="S62" s="2660"/>
      <c r="T62" s="2660"/>
      <c r="U62" s="2660"/>
      <c r="V62" s="2660"/>
      <c r="W62" s="2660"/>
      <c r="X62" s="2660"/>
      <c r="Y62" s="2660"/>
      <c r="Z62" s="2660"/>
      <c r="AA62" s="2660"/>
      <c r="AB62" s="2660"/>
      <c r="AC62" s="2660"/>
    </row>
    <row r="63" spans="1:29">
      <c r="A63" s="476" t="s">
        <v>1719</v>
      </c>
      <c r="B63" s="477" t="s">
        <v>1685</v>
      </c>
      <c r="C63" s="478">
        <f>C9</f>
        <v>0</v>
      </c>
      <c r="D63" s="479"/>
      <c r="E63" s="479"/>
      <c r="F63" s="479"/>
      <c r="G63" s="479"/>
      <c r="H63" s="479"/>
      <c r="I63" s="479"/>
      <c r="J63" s="479"/>
      <c r="K63" s="480"/>
      <c r="L63" s="481"/>
      <c r="M63" s="482"/>
      <c r="N63" s="2752"/>
      <c r="O63" s="2752"/>
      <c r="P63" s="2743"/>
      <c r="Q63" s="2738"/>
      <c r="R63" s="2724"/>
      <c r="S63" s="2724"/>
      <c r="T63" s="2724"/>
      <c r="U63" s="2724"/>
      <c r="V63" s="2724"/>
      <c r="W63" s="2724"/>
      <c r="X63" s="2724"/>
      <c r="Y63" s="2724"/>
      <c r="Z63" s="2724"/>
      <c r="AA63" s="2724"/>
      <c r="AB63" s="2724"/>
      <c r="AC63" s="2724"/>
    </row>
    <row r="64" spans="1:29" ht="15.75" thickBot="1">
      <c r="A64" s="483"/>
      <c r="B64" s="484"/>
      <c r="C64" s="485">
        <v>100</v>
      </c>
      <c r="D64" s="485"/>
      <c r="E64" s="485"/>
      <c r="F64" s="485"/>
      <c r="G64" s="485"/>
      <c r="H64" s="485"/>
      <c r="I64" s="485"/>
      <c r="J64" s="485"/>
      <c r="K64" s="485"/>
      <c r="L64" s="485"/>
      <c r="M64" s="486"/>
      <c r="N64" s="2753"/>
      <c r="O64" s="2753"/>
      <c r="P64" s="2743"/>
      <c r="Q64" s="2738"/>
      <c r="R64" s="2724"/>
      <c r="S64" s="2724"/>
      <c r="T64" s="2724"/>
      <c r="U64" s="2724"/>
      <c r="V64" s="2724"/>
      <c r="W64" s="2724"/>
      <c r="X64" s="2724"/>
      <c r="Y64" s="2724"/>
      <c r="Z64" s="2724"/>
      <c r="AA64" s="2724"/>
      <c r="AB64" s="2724"/>
      <c r="AC64" s="2724"/>
    </row>
    <row r="65" spans="1:29" ht="27.75" thickTop="1">
      <c r="A65" s="483"/>
      <c r="B65" s="487" t="s">
        <v>1688</v>
      </c>
      <c r="C65" s="532"/>
      <c r="D65" s="532"/>
      <c r="E65" s="532"/>
      <c r="F65" s="532"/>
      <c r="G65" s="532"/>
      <c r="H65" s="532"/>
      <c r="I65" s="532"/>
      <c r="J65" s="532"/>
      <c r="K65" s="533"/>
      <c r="L65" s="534"/>
      <c r="M65" s="535"/>
      <c r="N65" s="2752"/>
      <c r="O65" s="2752"/>
      <c r="P65" s="2743"/>
      <c r="Q65" s="2738"/>
      <c r="R65" s="2724"/>
      <c r="S65" s="2724"/>
      <c r="T65" s="2724"/>
      <c r="U65" s="2724"/>
      <c r="V65" s="2724"/>
      <c r="W65" s="2724"/>
      <c r="X65" s="2724"/>
      <c r="Y65" s="2724"/>
      <c r="Z65" s="2724"/>
      <c r="AA65" s="2724"/>
      <c r="AB65" s="2724"/>
      <c r="AC65" s="2724"/>
    </row>
    <row r="66" spans="1:29" ht="15.75" thickBot="1">
      <c r="A66" s="483"/>
      <c r="B66" s="492"/>
      <c r="C66" s="485"/>
      <c r="D66" s="485"/>
      <c r="E66" s="485"/>
      <c r="F66" s="485"/>
      <c r="G66" s="485"/>
      <c r="H66" s="485"/>
      <c r="I66" s="485"/>
      <c r="J66" s="485"/>
      <c r="K66" s="485"/>
      <c r="L66" s="485"/>
      <c r="M66" s="486"/>
      <c r="N66" s="2753"/>
      <c r="O66" s="2753"/>
      <c r="P66" s="2743"/>
      <c r="Q66" s="2738"/>
      <c r="R66" s="2724"/>
      <c r="S66" s="2724"/>
      <c r="T66" s="2724"/>
      <c r="U66" s="2724"/>
      <c r="V66" s="2724"/>
      <c r="W66" s="2724"/>
      <c r="X66" s="2724"/>
      <c r="Y66" s="2724"/>
      <c r="Z66" s="2724"/>
      <c r="AA66" s="2724"/>
      <c r="AB66" s="2724"/>
      <c r="AC66" s="2724"/>
    </row>
    <row r="67" spans="1:29" ht="15.75" thickTop="1">
      <c r="A67" s="483"/>
      <c r="B67" s="495" t="s">
        <v>1689</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3"/>
      <c r="O67" s="2753"/>
      <c r="P67" s="2743"/>
      <c r="Q67" s="2738"/>
      <c r="R67" s="2724"/>
      <c r="S67" s="2724"/>
      <c r="T67" s="2724"/>
      <c r="U67" s="2724"/>
      <c r="V67" s="2724"/>
      <c r="W67" s="2724"/>
      <c r="X67" s="2724"/>
      <c r="Y67" s="2724"/>
      <c r="Z67" s="2724"/>
      <c r="AA67" s="2724"/>
      <c r="AB67" s="2724"/>
      <c r="AC67" s="2724"/>
    </row>
    <row r="68" spans="1:29" ht="15">
      <c r="A68" s="483"/>
      <c r="B68" s="497"/>
      <c r="C68" s="498"/>
      <c r="D68" s="498"/>
      <c r="E68" s="498"/>
      <c r="F68" s="498"/>
      <c r="G68" s="498"/>
      <c r="H68" s="498"/>
      <c r="I68" s="498"/>
      <c r="J68" s="498"/>
      <c r="K68" s="499"/>
      <c r="L68" s="500"/>
      <c r="M68" s="501"/>
      <c r="N68" s="2752"/>
      <c r="O68" s="2752"/>
      <c r="P68" s="2743"/>
      <c r="Q68" s="2738"/>
      <c r="R68" s="2724"/>
      <c r="S68" s="2724"/>
      <c r="T68" s="2724"/>
      <c r="U68" s="2724"/>
      <c r="V68" s="2724"/>
      <c r="W68" s="2724"/>
      <c r="X68" s="2724"/>
      <c r="Y68" s="2724"/>
      <c r="Z68" s="2724"/>
      <c r="AA68" s="2724"/>
      <c r="AB68" s="2724"/>
      <c r="AC68" s="2724"/>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3"/>
      <c r="O69" s="2753"/>
      <c r="P69" s="2743"/>
      <c r="Q69" s="2738"/>
      <c r="R69" s="2724"/>
      <c r="S69" s="2724"/>
      <c r="T69" s="2724"/>
      <c r="U69" s="2724"/>
      <c r="V69" s="2724"/>
      <c r="W69" s="2724"/>
      <c r="X69" s="2724"/>
      <c r="Y69" s="2724"/>
      <c r="Z69" s="2724"/>
      <c r="AA69" s="2724"/>
      <c r="AB69" s="2724"/>
      <c r="AC69" s="2724"/>
    </row>
    <row r="70" spans="1:29" s="422" customFormat="1" ht="15.75" thickTop="1">
      <c r="A70" s="502"/>
      <c r="B70" s="487">
        <f>B12</f>
        <v>111</v>
      </c>
      <c r="C70" s="503"/>
      <c r="D70" s="503"/>
      <c r="E70" s="503"/>
      <c r="F70" s="503"/>
      <c r="G70" s="503"/>
      <c r="H70" s="504"/>
      <c r="I70" s="504"/>
      <c r="J70" s="504"/>
      <c r="K70" s="504"/>
      <c r="L70" s="505"/>
      <c r="M70" s="506"/>
      <c r="N70" s="2754"/>
      <c r="O70" s="2754"/>
      <c r="P70" s="2744"/>
      <c r="Q70" s="2745"/>
      <c r="R70" s="2746"/>
      <c r="S70" s="2746"/>
      <c r="T70" s="2746"/>
      <c r="U70" s="2746"/>
      <c r="V70" s="2746"/>
      <c r="W70" s="2746"/>
      <c r="X70" s="2746"/>
      <c r="Y70" s="2746"/>
      <c r="Z70" s="2746"/>
      <c r="AA70" s="2746"/>
      <c r="AB70" s="2746"/>
      <c r="AC70" s="2746"/>
    </row>
    <row r="71" spans="1:29" s="422" customFormat="1" ht="15.75" thickBot="1">
      <c r="A71" s="502"/>
      <c r="B71" s="492"/>
      <c r="C71" s="509"/>
      <c r="D71" s="485"/>
      <c r="E71" s="485"/>
      <c r="F71" s="485"/>
      <c r="G71" s="485"/>
      <c r="H71" s="485"/>
      <c r="I71" s="485"/>
      <c r="J71" s="485"/>
      <c r="K71" s="485"/>
      <c r="L71" s="485"/>
      <c r="M71" s="486"/>
      <c r="N71" s="2753"/>
      <c r="O71" s="2753"/>
      <c r="P71" s="2744"/>
      <c r="Q71" s="2745"/>
      <c r="R71" s="2746"/>
      <c r="S71" s="2746"/>
      <c r="T71" s="2746"/>
      <c r="U71" s="2746"/>
      <c r="V71" s="2746"/>
      <c r="W71" s="2746"/>
      <c r="X71" s="2746"/>
      <c r="Y71" s="2746"/>
      <c r="Z71" s="2746"/>
      <c r="AA71" s="2746"/>
      <c r="AB71" s="2746"/>
      <c r="AC71" s="2746"/>
    </row>
    <row r="72" spans="1:29" s="422" customFormat="1" ht="15.75" thickTop="1">
      <c r="A72" s="502"/>
      <c r="B72" s="487">
        <f>B13</f>
        <v>111</v>
      </c>
      <c r="C72" s="503"/>
      <c r="D72" s="503"/>
      <c r="E72" s="503"/>
      <c r="F72" s="503"/>
      <c r="G72" s="503"/>
      <c r="H72" s="504"/>
      <c r="I72" s="504"/>
      <c r="J72" s="504"/>
      <c r="K72" s="504"/>
      <c r="L72" s="505"/>
      <c r="M72" s="506"/>
      <c r="N72" s="2754"/>
      <c r="O72" s="2754"/>
      <c r="P72" s="2747"/>
      <c r="Q72" s="2748"/>
      <c r="R72" s="2746"/>
      <c r="S72" s="2746"/>
      <c r="T72" s="2746"/>
      <c r="U72" s="2746"/>
      <c r="V72" s="2746"/>
      <c r="W72" s="2746"/>
      <c r="X72" s="2746"/>
      <c r="Y72" s="2746"/>
      <c r="Z72" s="2746"/>
      <c r="AA72" s="2746"/>
      <c r="AB72" s="2746"/>
      <c r="AC72" s="2746"/>
    </row>
    <row r="73" spans="1:29" s="422" customFormat="1" ht="15.75" thickBot="1">
      <c r="A73" s="502"/>
      <c r="B73" s="492"/>
      <c r="C73" s="509"/>
      <c r="D73" s="485"/>
      <c r="E73" s="485"/>
      <c r="F73" s="485"/>
      <c r="G73" s="509"/>
      <c r="H73" s="511"/>
      <c r="I73" s="511"/>
      <c r="J73" s="511"/>
      <c r="K73" s="511"/>
      <c r="L73" s="511"/>
      <c r="M73" s="512"/>
      <c r="N73" s="2754"/>
      <c r="O73" s="2754"/>
      <c r="P73" s="2744"/>
      <c r="Q73" s="2745"/>
      <c r="R73" s="2746"/>
      <c r="S73" s="2746"/>
      <c r="T73" s="2746"/>
      <c r="U73" s="2746"/>
      <c r="V73" s="2746"/>
      <c r="W73" s="2746"/>
      <c r="X73" s="2746"/>
      <c r="Y73" s="2746"/>
      <c r="Z73" s="2746"/>
      <c r="AA73" s="2746"/>
      <c r="AB73" s="2746"/>
      <c r="AC73" s="2746"/>
    </row>
    <row r="74" spans="1:29" s="422" customFormat="1" ht="15.75" thickTop="1">
      <c r="A74" s="502"/>
      <c r="B74" s="495">
        <f>B14</f>
        <v>111</v>
      </c>
      <c r="C74" s="503"/>
      <c r="D74" s="503"/>
      <c r="E74" s="503"/>
      <c r="F74" s="503"/>
      <c r="G74" s="472"/>
      <c r="H74" s="513"/>
      <c r="I74" s="513"/>
      <c r="J74" s="513"/>
      <c r="K74" s="513"/>
      <c r="L74" s="514"/>
      <c r="M74" s="515"/>
      <c r="N74" s="2754"/>
      <c r="O74" s="2754"/>
      <c r="P74" s="2749"/>
      <c r="Q74" s="2745"/>
      <c r="R74" s="2746"/>
      <c r="S74" s="2746"/>
      <c r="T74" s="2746"/>
      <c r="U74" s="2746"/>
      <c r="V74" s="2746"/>
      <c r="W74" s="2746"/>
      <c r="X74" s="2746"/>
      <c r="Y74" s="2746"/>
      <c r="Z74" s="2746"/>
      <c r="AA74" s="2746"/>
      <c r="AB74" s="2746"/>
      <c r="AC74" s="2746"/>
    </row>
    <row r="75" spans="1:29" s="422" customFormat="1" ht="15.75" thickBot="1">
      <c r="A75" s="517"/>
      <c r="B75" s="518"/>
      <c r="C75" s="519"/>
      <c r="D75" s="519"/>
      <c r="E75" s="519"/>
      <c r="F75" s="519"/>
      <c r="G75" s="519"/>
      <c r="H75" s="520"/>
      <c r="I75" s="520"/>
      <c r="J75" s="520"/>
      <c r="K75" s="520"/>
      <c r="L75" s="520"/>
      <c r="M75" s="521"/>
      <c r="N75" s="2754"/>
      <c r="O75" s="2754"/>
      <c r="P75" s="2744"/>
      <c r="Q75" s="2745"/>
      <c r="R75" s="2746"/>
      <c r="S75" s="2746"/>
      <c r="T75" s="2746"/>
      <c r="U75" s="2746"/>
      <c r="V75" s="2746"/>
      <c r="W75" s="2746"/>
      <c r="X75" s="2746"/>
      <c r="Y75" s="2746"/>
      <c r="Z75" s="2746"/>
      <c r="AA75" s="2746"/>
      <c r="AB75" s="2746"/>
      <c r="AC75" s="2746"/>
    </row>
    <row r="76" spans="1:29">
      <c r="A76" s="476" t="s">
        <v>1690</v>
      </c>
      <c r="B76" s="477" t="s">
        <v>1720</v>
      </c>
      <c r="C76" s="522" t="s">
        <v>1721</v>
      </c>
      <c r="D76" s="522" t="s">
        <v>1722</v>
      </c>
      <c r="E76" s="522" t="s">
        <v>1723</v>
      </c>
      <c r="F76" s="522" t="s">
        <v>1724</v>
      </c>
      <c r="G76" s="522" t="s">
        <v>1725</v>
      </c>
      <c r="H76" s="478"/>
      <c r="I76" s="478"/>
      <c r="J76" s="478"/>
      <c r="K76" s="523"/>
      <c r="L76" s="524"/>
      <c r="M76" s="525"/>
      <c r="N76" s="2752"/>
      <c r="O76" s="2752"/>
      <c r="P76" s="2750"/>
      <c r="Q76" s="2738"/>
      <c r="R76" s="2724"/>
      <c r="S76" s="2724"/>
      <c r="T76" s="2724"/>
      <c r="U76" s="2724"/>
      <c r="V76" s="2724"/>
      <c r="W76" s="2724"/>
      <c r="X76" s="2724"/>
      <c r="Y76" s="2724"/>
      <c r="Z76" s="2724"/>
      <c r="AA76" s="2724"/>
      <c r="AB76" s="2724"/>
      <c r="AC76" s="2724"/>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3"/>
      <c r="O77" s="2753"/>
      <c r="P77" s="2743"/>
      <c r="Q77" s="2738"/>
      <c r="R77" s="2724"/>
      <c r="S77" s="2724"/>
      <c r="T77" s="2724"/>
      <c r="U77" s="2724"/>
      <c r="V77" s="2724"/>
      <c r="W77" s="2724"/>
      <c r="X77" s="2724"/>
      <c r="Y77" s="2724"/>
      <c r="Z77" s="2724"/>
      <c r="AA77" s="2724"/>
      <c r="AB77" s="2724"/>
      <c r="AC77" s="2724"/>
    </row>
    <row r="78" spans="1:29" ht="15.75" thickTop="1">
      <c r="A78" s="483"/>
      <c r="B78" s="487" t="s">
        <v>1726</v>
      </c>
      <c r="C78" s="527" t="s">
        <v>1721</v>
      </c>
      <c r="D78" s="527" t="s">
        <v>1722</v>
      </c>
      <c r="E78" s="527" t="s">
        <v>1723</v>
      </c>
      <c r="F78" s="527" t="s">
        <v>1724</v>
      </c>
      <c r="G78" s="527" t="s">
        <v>1725</v>
      </c>
      <c r="H78" s="488"/>
      <c r="I78" s="488"/>
      <c r="J78" s="488"/>
      <c r="K78" s="489"/>
      <c r="L78" s="490"/>
      <c r="M78" s="491"/>
      <c r="N78" s="2752"/>
      <c r="O78" s="2752"/>
      <c r="P78" s="2743"/>
      <c r="Q78" s="2738"/>
      <c r="R78" s="2724"/>
      <c r="S78" s="2724"/>
      <c r="T78" s="2724"/>
      <c r="U78" s="2724"/>
      <c r="V78" s="2724"/>
      <c r="W78" s="2724"/>
      <c r="X78" s="2724"/>
      <c r="Y78" s="2724"/>
      <c r="Z78" s="2724"/>
      <c r="AA78" s="2724"/>
      <c r="AB78" s="2724"/>
      <c r="AC78" s="2724"/>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3"/>
      <c r="O79" s="2753"/>
      <c r="P79" s="2743"/>
      <c r="Q79" s="2738"/>
      <c r="R79" s="2724"/>
      <c r="S79" s="2724"/>
      <c r="T79" s="2724"/>
      <c r="U79" s="2724"/>
      <c r="V79" s="2724"/>
      <c r="W79" s="2724"/>
      <c r="X79" s="2724"/>
      <c r="Y79" s="2724"/>
      <c r="Z79" s="2724"/>
      <c r="AA79" s="2724"/>
      <c r="AB79" s="2724"/>
      <c r="AC79" s="2724"/>
    </row>
    <row r="80" spans="1:29" ht="15.75" thickTop="1">
      <c r="A80" s="483"/>
      <c r="B80" s="487" t="s">
        <v>1727</v>
      </c>
      <c r="C80" s="527" t="s">
        <v>1721</v>
      </c>
      <c r="D80" s="527" t="s">
        <v>1722</v>
      </c>
      <c r="E80" s="527" t="s">
        <v>1723</v>
      </c>
      <c r="F80" s="527" t="s">
        <v>1724</v>
      </c>
      <c r="G80" s="527" t="s">
        <v>1725</v>
      </c>
      <c r="H80" s="488"/>
      <c r="I80" s="488"/>
      <c r="J80" s="488"/>
      <c r="K80" s="489"/>
      <c r="L80" s="490"/>
      <c r="M80" s="491"/>
      <c r="N80" s="2752"/>
      <c r="O80" s="2752"/>
      <c r="P80" s="2743"/>
      <c r="Q80" s="2738"/>
      <c r="R80" s="2724"/>
      <c r="S80" s="2724"/>
      <c r="T80" s="2724"/>
      <c r="U80" s="2724"/>
      <c r="V80" s="2724"/>
      <c r="W80" s="2724"/>
      <c r="X80" s="2724"/>
      <c r="Y80" s="2724"/>
      <c r="Z80" s="2724"/>
      <c r="AA80" s="2724"/>
      <c r="AB80" s="2724"/>
      <c r="AC80" s="2724"/>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3"/>
      <c r="O81" s="2753"/>
      <c r="P81" s="2743"/>
      <c r="Q81" s="2738"/>
      <c r="R81" s="2724"/>
      <c r="S81" s="2724"/>
      <c r="T81" s="2724"/>
      <c r="U81" s="2724"/>
      <c r="V81" s="2724"/>
      <c r="W81" s="2724"/>
      <c r="X81" s="2724"/>
      <c r="Y81" s="2724"/>
      <c r="Z81" s="2724"/>
      <c r="AA81" s="2724"/>
      <c r="AB81" s="2724"/>
      <c r="AC81" s="2724"/>
    </row>
    <row r="82" spans="1:29" ht="15.75" thickTop="1">
      <c r="A82" s="483"/>
      <c r="B82" s="495" t="s">
        <v>1779</v>
      </c>
      <c r="C82" s="608" t="s">
        <v>1799</v>
      </c>
      <c r="D82" s="608" t="s">
        <v>1800</v>
      </c>
      <c r="E82" s="608" t="s">
        <v>1801</v>
      </c>
      <c r="F82" s="608" t="s">
        <v>1802</v>
      </c>
      <c r="G82" s="608" t="s">
        <v>1803</v>
      </c>
      <c r="H82" s="488"/>
      <c r="I82" s="488"/>
      <c r="J82" s="488"/>
      <c r="K82" s="488"/>
      <c r="L82" s="488"/>
      <c r="M82" s="1129"/>
      <c r="N82" s="2753"/>
      <c r="O82" s="2753"/>
      <c r="P82" s="2743"/>
      <c r="Q82" s="2738"/>
      <c r="R82" s="2724"/>
      <c r="S82" s="2724"/>
      <c r="T82" s="2724"/>
      <c r="U82" s="2724"/>
      <c r="V82" s="2724"/>
      <c r="W82" s="2724"/>
      <c r="X82" s="2724"/>
      <c r="Y82" s="2724"/>
      <c r="Z82" s="2724"/>
      <c r="AA82" s="2724"/>
      <c r="AB82" s="2724"/>
      <c r="AC82" s="2724"/>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3"/>
      <c r="O83" s="2753"/>
      <c r="P83" s="2743"/>
      <c r="Q83" s="2738"/>
      <c r="R83" s="2724"/>
      <c r="S83" s="2724"/>
      <c r="T83" s="2724"/>
      <c r="U83" s="2724"/>
      <c r="V83" s="2724"/>
      <c r="W83" s="2724"/>
      <c r="X83" s="2724"/>
      <c r="Y83" s="2724"/>
      <c r="Z83" s="2724"/>
      <c r="AA83" s="2724"/>
      <c r="AB83" s="2724"/>
      <c r="AC83" s="2724"/>
    </row>
    <row r="84" spans="1:29" ht="15.75" thickTop="1">
      <c r="A84" s="483"/>
      <c r="B84" s="487" t="s">
        <v>1733</v>
      </c>
      <c r="C84" s="527" t="s">
        <v>1721</v>
      </c>
      <c r="D84" s="527" t="s">
        <v>1722</v>
      </c>
      <c r="E84" s="527" t="s">
        <v>1723</v>
      </c>
      <c r="F84" s="527" t="s">
        <v>1724</v>
      </c>
      <c r="G84" s="527" t="s">
        <v>1725</v>
      </c>
      <c r="H84" s="488"/>
      <c r="I84" s="488"/>
      <c r="J84" s="488"/>
      <c r="K84" s="489"/>
      <c r="L84" s="490"/>
      <c r="M84" s="491"/>
      <c r="N84" s="2752"/>
      <c r="O84" s="2752"/>
      <c r="P84" s="2743"/>
      <c r="Q84" s="2738"/>
      <c r="R84" s="2724"/>
      <c r="S84" s="2724"/>
      <c r="T84" s="2724"/>
      <c r="U84" s="2724"/>
      <c r="V84" s="2724"/>
      <c r="W84" s="2724"/>
      <c r="X84" s="2724"/>
      <c r="Y84" s="2724"/>
      <c r="Z84" s="2724"/>
      <c r="AA84" s="2724"/>
      <c r="AB84" s="2724"/>
      <c r="AC84" s="2724"/>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3"/>
      <c r="O85" s="2753"/>
      <c r="P85" s="2743"/>
      <c r="Q85" s="2738"/>
      <c r="R85" s="2724"/>
      <c r="S85" s="2724"/>
      <c r="T85" s="2724"/>
      <c r="U85" s="2724"/>
      <c r="V85" s="2724"/>
      <c r="W85" s="2724"/>
      <c r="X85" s="2724"/>
      <c r="Y85" s="2724"/>
      <c r="Z85" s="2724"/>
      <c r="AA85" s="2724"/>
      <c r="AB85" s="2724"/>
      <c r="AC85" s="2724"/>
    </row>
    <row r="86" spans="1:29" s="108" customFormat="1" ht="15.75" thickTop="1">
      <c r="A86" s="528"/>
      <c r="B86" s="487" t="s">
        <v>1804</v>
      </c>
      <c r="C86" s="503"/>
      <c r="D86" s="503"/>
      <c r="E86" s="503"/>
      <c r="F86" s="503"/>
      <c r="G86" s="503"/>
      <c r="H86" s="503"/>
      <c r="I86" s="503"/>
      <c r="J86" s="503"/>
      <c r="K86" s="503"/>
      <c r="L86" s="529"/>
      <c r="M86" s="530"/>
      <c r="N86" s="2751"/>
      <c r="O86" s="2751"/>
      <c r="P86" s="2743"/>
      <c r="Q86" s="2738"/>
      <c r="R86" s="2660"/>
      <c r="S86" s="2660"/>
      <c r="T86" s="2660"/>
      <c r="U86" s="2660"/>
      <c r="V86" s="2660"/>
      <c r="W86" s="2660"/>
      <c r="X86" s="2660"/>
      <c r="Y86" s="2660"/>
      <c r="Z86" s="2660"/>
      <c r="AA86" s="2660"/>
      <c r="AB86" s="2660"/>
      <c r="AC86" s="2660"/>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3"/>
      <c r="O87" s="2753"/>
      <c r="P87" s="2743"/>
      <c r="Q87" s="2738"/>
      <c r="R87" s="2660"/>
      <c r="S87" s="2660"/>
      <c r="T87" s="2660"/>
      <c r="U87" s="2660"/>
      <c r="V87" s="2660"/>
      <c r="W87" s="2660"/>
      <c r="X87" s="2660"/>
      <c r="Y87" s="2660"/>
      <c r="Z87" s="2660"/>
      <c r="AA87" s="2660"/>
      <c r="AB87" s="2660"/>
      <c r="AC87" s="2660"/>
    </row>
    <row r="88" spans="1:29" s="108" customFormat="1" ht="15.75" thickTop="1">
      <c r="A88" s="528"/>
      <c r="B88" s="487" t="str">
        <f>B26</f>
        <v>平面位置/可视性</v>
      </c>
      <c r="C88" s="503"/>
      <c r="D88" s="503"/>
      <c r="E88" s="503"/>
      <c r="F88" s="1927"/>
      <c r="G88" s="503"/>
      <c r="H88" s="503"/>
      <c r="I88" s="503"/>
      <c r="J88" s="503"/>
      <c r="K88" s="503"/>
      <c r="L88" s="503"/>
      <c r="M88" s="530"/>
      <c r="N88" s="2751"/>
      <c r="O88" s="2751"/>
      <c r="P88" s="2743"/>
      <c r="Q88" s="2738"/>
      <c r="R88" s="2660"/>
      <c r="S88" s="2660"/>
      <c r="T88" s="2660"/>
      <c r="U88" s="2660"/>
      <c r="V88" s="2660"/>
      <c r="W88" s="2660"/>
      <c r="X88" s="2660"/>
      <c r="Y88" s="2660"/>
      <c r="Z88" s="2660"/>
      <c r="AA88" s="2660"/>
      <c r="AB88" s="2660"/>
      <c r="AC88" s="2660"/>
    </row>
    <row r="89" spans="1:29" s="108" customFormat="1" ht="15.75" thickBot="1">
      <c r="A89" s="528"/>
      <c r="B89" s="492"/>
      <c r="C89" s="509"/>
      <c r="D89" s="485"/>
      <c r="E89" s="485"/>
      <c r="F89" s="485"/>
      <c r="G89" s="485"/>
      <c r="H89" s="485"/>
      <c r="I89" s="485"/>
      <c r="J89" s="485"/>
      <c r="K89" s="485"/>
      <c r="L89" s="485"/>
      <c r="M89" s="485"/>
      <c r="N89" s="2753"/>
      <c r="O89" s="2753"/>
      <c r="P89" s="2743"/>
      <c r="Q89" s="2738"/>
      <c r="R89" s="2660"/>
      <c r="S89" s="2660"/>
      <c r="T89" s="2660"/>
      <c r="U89" s="2660"/>
      <c r="V89" s="2660"/>
      <c r="W89" s="2660"/>
      <c r="X89" s="2660"/>
      <c r="Y89" s="2660"/>
      <c r="Z89" s="2660"/>
      <c r="AA89" s="2660"/>
      <c r="AB89" s="2660"/>
      <c r="AC89" s="2660"/>
    </row>
    <row r="90" spans="1:29" s="422" customFormat="1" ht="15.75" thickTop="1">
      <c r="A90" s="502"/>
      <c r="B90" s="487" t="str">
        <f>B27</f>
        <v>人流量</v>
      </c>
      <c r="C90" s="503"/>
      <c r="D90" s="503"/>
      <c r="E90" s="503"/>
      <c r="F90" s="503"/>
      <c r="G90" s="503"/>
      <c r="H90" s="504"/>
      <c r="I90" s="504"/>
      <c r="J90" s="504"/>
      <c r="K90" s="504"/>
      <c r="L90" s="505"/>
      <c r="M90" s="506"/>
      <c r="N90" s="2754"/>
      <c r="O90" s="2754"/>
      <c r="P90" s="2744"/>
      <c r="Q90" s="2745"/>
      <c r="R90" s="2746"/>
      <c r="S90" s="2746"/>
      <c r="T90" s="2746"/>
      <c r="U90" s="2746"/>
      <c r="V90" s="2746"/>
      <c r="W90" s="2746"/>
      <c r="X90" s="2746"/>
      <c r="Y90" s="2746"/>
      <c r="Z90" s="2746"/>
      <c r="AA90" s="2746"/>
      <c r="AB90" s="2746"/>
      <c r="AC90" s="2746"/>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4"/>
      <c r="O91" s="2754"/>
      <c r="P91" s="2744"/>
      <c r="Q91" s="2745"/>
      <c r="R91" s="2746"/>
      <c r="S91" s="2746"/>
      <c r="T91" s="2746"/>
      <c r="U91" s="2746"/>
      <c r="V91" s="2746"/>
      <c r="W91" s="2746"/>
      <c r="X91" s="2746"/>
      <c r="Y91" s="2746"/>
      <c r="Z91" s="2746"/>
      <c r="AA91" s="2746"/>
      <c r="AB91" s="2746"/>
      <c r="AC91" s="2746"/>
    </row>
    <row r="92" spans="1:29" ht="15.75" thickTop="1">
      <c r="A92" s="483"/>
      <c r="B92" s="487" t="str">
        <f>B28</f>
        <v>楼层</v>
      </c>
      <c r="C92" s="503"/>
      <c r="D92" s="503"/>
      <c r="E92" s="503"/>
      <c r="F92" s="503"/>
      <c r="G92" s="503"/>
      <c r="H92" s="503"/>
      <c r="I92" s="503"/>
      <c r="J92" s="503"/>
      <c r="K92" s="503"/>
      <c r="L92" s="529"/>
      <c r="M92" s="530"/>
      <c r="N92" s="2752"/>
      <c r="O92" s="2752"/>
      <c r="P92" s="2743"/>
      <c r="Q92" s="2738"/>
      <c r="R92" s="2724"/>
      <c r="S92" s="2724"/>
      <c r="T92" s="2724"/>
      <c r="U92" s="2724"/>
      <c r="V92" s="2724"/>
      <c r="W92" s="2724"/>
      <c r="X92" s="2724"/>
      <c r="Y92" s="2724"/>
      <c r="Z92" s="2724"/>
      <c r="AA92" s="2724"/>
      <c r="AB92" s="2724"/>
      <c r="AC92" s="2724"/>
    </row>
    <row r="93" spans="1:29" ht="15.75" thickBot="1">
      <c r="A93" s="483"/>
      <c r="B93" s="492"/>
      <c r="C93" s="485"/>
      <c r="D93" s="485"/>
      <c r="E93" s="485"/>
      <c r="F93" s="485"/>
      <c r="G93" s="485"/>
      <c r="H93" s="485"/>
      <c r="I93" s="485"/>
      <c r="J93" s="485"/>
      <c r="K93" s="485"/>
      <c r="L93" s="485"/>
      <c r="M93" s="486"/>
      <c r="N93" s="2753"/>
      <c r="O93" s="2753"/>
      <c r="P93" s="2743"/>
      <c r="Q93" s="2738"/>
      <c r="R93" s="2724"/>
      <c r="S93" s="2724"/>
      <c r="T93" s="2724"/>
      <c r="U93" s="2724"/>
      <c r="V93" s="2724"/>
      <c r="W93" s="2724"/>
      <c r="X93" s="2724"/>
      <c r="Y93" s="2724"/>
      <c r="Z93" s="2724"/>
      <c r="AA93" s="2724"/>
      <c r="AB93" s="2724"/>
      <c r="AC93" s="2724"/>
    </row>
    <row r="94" spans="1:29" ht="15.75" thickTop="1">
      <c r="A94" s="483"/>
      <c r="B94" s="487">
        <f>B29</f>
        <v>111</v>
      </c>
      <c r="C94" s="503"/>
      <c r="D94" s="503"/>
      <c r="E94" s="503"/>
      <c r="F94" s="503"/>
      <c r="G94" s="532"/>
      <c r="H94" s="532"/>
      <c r="I94" s="532"/>
      <c r="J94" s="532"/>
      <c r="K94" s="533"/>
      <c r="L94" s="534"/>
      <c r="M94" s="535"/>
      <c r="N94" s="2752"/>
      <c r="O94" s="2752"/>
      <c r="P94" s="2743"/>
      <c r="Q94" s="2738"/>
      <c r="R94" s="2724"/>
      <c r="S94" s="2724"/>
      <c r="T94" s="2724"/>
      <c r="U94" s="2724"/>
      <c r="V94" s="2724"/>
      <c r="W94" s="2724"/>
      <c r="X94" s="2724"/>
      <c r="Y94" s="2724"/>
      <c r="Z94" s="2724"/>
      <c r="AA94" s="2724"/>
      <c r="AB94" s="2724"/>
      <c r="AC94" s="2724"/>
    </row>
    <row r="95" spans="1:29" ht="15.75" thickBot="1">
      <c r="A95" s="483"/>
      <c r="B95" s="492"/>
      <c r="C95" s="509"/>
      <c r="D95" s="485"/>
      <c r="E95" s="485"/>
      <c r="F95" s="485"/>
      <c r="G95" s="485"/>
      <c r="H95" s="485"/>
      <c r="I95" s="485"/>
      <c r="J95" s="485"/>
      <c r="K95" s="485"/>
      <c r="L95" s="485"/>
      <c r="M95" s="486"/>
      <c r="N95" s="2753"/>
      <c r="O95" s="2753"/>
      <c r="P95" s="2743"/>
      <c r="Q95" s="2738"/>
      <c r="R95" s="2724"/>
      <c r="S95" s="2724"/>
      <c r="T95" s="2724"/>
      <c r="U95" s="2724"/>
      <c r="V95" s="2724"/>
      <c r="W95" s="2724"/>
      <c r="X95" s="2724"/>
      <c r="Y95" s="2724"/>
      <c r="Z95" s="2724"/>
      <c r="AA95" s="2724"/>
      <c r="AB95" s="2724"/>
      <c r="AC95" s="2724"/>
    </row>
    <row r="96" spans="1:29" ht="15.75" thickTop="1">
      <c r="A96" s="483"/>
      <c r="B96" s="487">
        <f>B30</f>
        <v>111</v>
      </c>
      <c r="C96" s="503"/>
      <c r="D96" s="503"/>
      <c r="E96" s="503"/>
      <c r="F96" s="503"/>
      <c r="G96" s="532"/>
      <c r="H96" s="532"/>
      <c r="I96" s="532"/>
      <c r="J96" s="532"/>
      <c r="K96" s="533"/>
      <c r="L96" s="534"/>
      <c r="M96" s="535"/>
      <c r="N96" s="2752"/>
      <c r="O96" s="2752"/>
      <c r="P96" s="2743"/>
      <c r="Q96" s="2738"/>
      <c r="R96" s="2724"/>
      <c r="S96" s="2724"/>
      <c r="T96" s="2724"/>
      <c r="U96" s="2724"/>
      <c r="V96" s="2724"/>
      <c r="W96" s="2724"/>
      <c r="X96" s="2724"/>
      <c r="Y96" s="2724"/>
      <c r="Z96" s="2724"/>
      <c r="AA96" s="2724"/>
      <c r="AB96" s="2724"/>
      <c r="AC96" s="2724"/>
    </row>
    <row r="97" spans="1:29" ht="15.75" thickBot="1">
      <c r="A97" s="483"/>
      <c r="B97" s="492"/>
      <c r="C97" s="509"/>
      <c r="D97" s="485"/>
      <c r="E97" s="485"/>
      <c r="F97" s="485"/>
      <c r="G97" s="485"/>
      <c r="H97" s="485"/>
      <c r="I97" s="485"/>
      <c r="J97" s="485"/>
      <c r="K97" s="485"/>
      <c r="L97" s="485"/>
      <c r="M97" s="486"/>
      <c r="N97" s="2753"/>
      <c r="O97" s="2753"/>
      <c r="P97" s="2743"/>
      <c r="Q97" s="2738"/>
      <c r="R97" s="2724"/>
      <c r="S97" s="2724"/>
      <c r="T97" s="2724"/>
      <c r="U97" s="2724"/>
      <c r="V97" s="2724"/>
      <c r="W97" s="2724"/>
      <c r="X97" s="2724"/>
      <c r="Y97" s="2724"/>
      <c r="Z97" s="2724"/>
      <c r="AA97" s="2724"/>
      <c r="AB97" s="2724"/>
      <c r="AC97" s="2724"/>
    </row>
    <row r="98" spans="1:29" ht="15.75" thickTop="1">
      <c r="A98" s="483"/>
      <c r="B98" s="495">
        <f>B31</f>
        <v>111</v>
      </c>
      <c r="C98" s="503"/>
      <c r="D98" s="503"/>
      <c r="E98" s="503"/>
      <c r="F98" s="503"/>
      <c r="G98" s="536"/>
      <c r="H98" s="536"/>
      <c r="I98" s="536"/>
      <c r="J98" s="536"/>
      <c r="K98" s="537"/>
      <c r="L98" s="538"/>
      <c r="M98" s="539"/>
      <c r="N98" s="2752"/>
      <c r="O98" s="2752"/>
      <c r="P98" s="2743"/>
      <c r="Q98" s="2738"/>
      <c r="R98" s="2724"/>
      <c r="S98" s="2724"/>
      <c r="T98" s="2724"/>
      <c r="U98" s="2724"/>
      <c r="V98" s="2724"/>
      <c r="W98" s="2724"/>
      <c r="X98" s="2724"/>
      <c r="Y98" s="2724"/>
      <c r="Z98" s="2724"/>
      <c r="AA98" s="2724"/>
      <c r="AB98" s="2724"/>
      <c r="AC98" s="2724"/>
    </row>
    <row r="99" spans="1:29" ht="15.75" thickBot="1">
      <c r="A99" s="1928"/>
      <c r="B99" s="518"/>
      <c r="C99" s="519"/>
      <c r="D99" s="519"/>
      <c r="E99" s="519"/>
      <c r="F99" s="519"/>
      <c r="G99" s="540"/>
      <c r="H99" s="540"/>
      <c r="I99" s="540"/>
      <c r="J99" s="540"/>
      <c r="K99" s="540"/>
      <c r="L99" s="540"/>
      <c r="M99" s="541"/>
      <c r="N99" s="2753"/>
      <c r="O99" s="2753"/>
      <c r="P99" s="2743"/>
      <c r="Q99" s="2738"/>
      <c r="R99" s="2724"/>
      <c r="S99" s="2724"/>
      <c r="T99" s="2724"/>
      <c r="U99" s="2724"/>
      <c r="V99" s="2724"/>
      <c r="W99" s="2724"/>
      <c r="X99" s="2724"/>
      <c r="Y99" s="2724"/>
      <c r="Z99" s="2724"/>
      <c r="AA99" s="2724"/>
      <c r="AB99" s="2724"/>
      <c r="AC99" s="2724"/>
    </row>
    <row r="100" spans="1:29">
      <c r="A100" s="476" t="s">
        <v>1694</v>
      </c>
      <c r="B100" s="477" t="s">
        <v>1805</v>
      </c>
      <c r="C100" s="479"/>
      <c r="D100" s="479"/>
      <c r="E100" s="479"/>
      <c r="F100" s="479"/>
      <c r="G100" s="479"/>
      <c r="H100" s="479"/>
      <c r="I100" s="479"/>
      <c r="J100" s="479"/>
      <c r="K100" s="480"/>
      <c r="L100" s="481"/>
      <c r="M100" s="482"/>
      <c r="N100" s="2752"/>
      <c r="O100" s="2752"/>
      <c r="P100" s="2743"/>
      <c r="Q100" s="2738"/>
      <c r="R100" s="2724"/>
      <c r="S100" s="2724"/>
      <c r="T100" s="2724"/>
      <c r="U100" s="2724"/>
      <c r="V100" s="2724"/>
      <c r="W100" s="2724"/>
      <c r="X100" s="2724"/>
      <c r="Y100" s="2724"/>
      <c r="Z100" s="2724"/>
      <c r="AA100" s="2724"/>
      <c r="AB100" s="2724"/>
      <c r="AC100" s="2724"/>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3"/>
      <c r="O101" s="2753"/>
      <c r="P101" s="2743"/>
      <c r="Q101" s="2738"/>
      <c r="R101" s="2724"/>
      <c r="S101" s="2724"/>
      <c r="T101" s="2724"/>
      <c r="U101" s="2724"/>
      <c r="V101" s="2724"/>
      <c r="W101" s="2724"/>
      <c r="X101" s="2724"/>
      <c r="Y101" s="2724"/>
      <c r="Z101" s="2724"/>
      <c r="AA101" s="2724"/>
      <c r="AB101" s="2724"/>
      <c r="AC101" s="2724"/>
    </row>
    <row r="102" spans="1:29" ht="15.75" thickTop="1">
      <c r="A102" s="483"/>
      <c r="B102" s="487" t="s">
        <v>1737</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51"/>
      <c r="O102" s="2751"/>
      <c r="P102" s="2743"/>
      <c r="Q102" s="2738"/>
      <c r="R102" s="2724"/>
      <c r="S102" s="2724"/>
      <c r="T102" s="2724"/>
      <c r="U102" s="2724"/>
      <c r="V102" s="2724"/>
      <c r="W102" s="2724"/>
      <c r="X102" s="2724"/>
      <c r="Y102" s="2724"/>
      <c r="Z102" s="2724"/>
      <c r="AA102" s="2724"/>
      <c r="AB102" s="2724"/>
      <c r="AC102" s="2724"/>
    </row>
    <row r="103" spans="1:29" s="422" customFormat="1">
      <c r="A103" s="542"/>
      <c r="B103" s="543"/>
      <c r="C103" s="544"/>
      <c r="D103" s="544"/>
      <c r="E103" s="544"/>
      <c r="F103" s="544"/>
      <c r="G103" s="544"/>
      <c r="H103" s="544"/>
      <c r="I103" s="544"/>
      <c r="J103" s="545"/>
      <c r="K103" s="545"/>
      <c r="L103" s="546"/>
      <c r="M103" s="547"/>
      <c r="N103" s="2754"/>
      <c r="O103" s="2754"/>
      <c r="P103" s="2744"/>
      <c r="Q103" s="2745"/>
      <c r="R103" s="2746"/>
      <c r="S103" s="2746"/>
      <c r="T103" s="2746"/>
      <c r="U103" s="2746"/>
      <c r="V103" s="2746"/>
      <c r="W103" s="2746"/>
      <c r="X103" s="2746"/>
      <c r="Y103" s="2746"/>
      <c r="Z103" s="2746"/>
      <c r="AA103" s="2746"/>
      <c r="AB103" s="2746"/>
      <c r="AC103" s="2746"/>
    </row>
    <row r="104" spans="1:29" s="422" customFormat="1" ht="15.75" thickBot="1">
      <c r="A104" s="502"/>
      <c r="B104" s="492"/>
      <c r="C104" s="509"/>
      <c r="D104" s="485"/>
      <c r="E104" s="485"/>
      <c r="F104" s="485"/>
      <c r="G104" s="485"/>
      <c r="H104" s="485"/>
      <c r="I104" s="485"/>
      <c r="J104" s="485"/>
      <c r="K104" s="485"/>
      <c r="L104" s="485"/>
      <c r="M104" s="486"/>
      <c r="N104" s="2753"/>
      <c r="O104" s="2753"/>
      <c r="P104" s="2744"/>
      <c r="Q104" s="2745"/>
      <c r="R104" s="2746"/>
      <c r="S104" s="2746"/>
      <c r="T104" s="2746"/>
      <c r="U104" s="2746"/>
      <c r="V104" s="2746"/>
      <c r="W104" s="2746"/>
      <c r="X104" s="2746"/>
      <c r="Y104" s="2746"/>
      <c r="Z104" s="2746"/>
      <c r="AA104" s="2746"/>
      <c r="AB104" s="2746"/>
      <c r="AC104" s="2746"/>
    </row>
    <row r="105" spans="1:29" ht="15" thickTop="1">
      <c r="A105" s="548"/>
      <c r="B105" s="487" t="s">
        <v>1738</v>
      </c>
      <c r="C105" s="503"/>
      <c r="D105" s="503"/>
      <c r="E105" s="532"/>
      <c r="F105" s="532"/>
      <c r="G105" s="532"/>
      <c r="H105" s="532"/>
      <c r="I105" s="532"/>
      <c r="J105" s="532"/>
      <c r="K105" s="533"/>
      <c r="L105" s="534"/>
      <c r="M105" s="535"/>
      <c r="N105" s="2752"/>
      <c r="O105" s="2752"/>
      <c r="P105" s="2743"/>
      <c r="Q105" s="2738"/>
      <c r="R105" s="2724"/>
      <c r="S105" s="2724"/>
      <c r="T105" s="2724"/>
      <c r="U105" s="2724"/>
      <c r="V105" s="2724"/>
      <c r="W105" s="2724"/>
      <c r="X105" s="2724"/>
      <c r="Y105" s="2724"/>
      <c r="Z105" s="2724"/>
      <c r="AA105" s="2724"/>
      <c r="AB105" s="2724"/>
      <c r="AC105" s="2724"/>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3"/>
      <c r="O106" s="2753"/>
      <c r="P106" s="2743"/>
      <c r="Q106" s="2738"/>
      <c r="R106" s="2724"/>
      <c r="S106" s="2724"/>
      <c r="T106" s="2724"/>
      <c r="U106" s="2724"/>
      <c r="V106" s="2724"/>
      <c r="W106" s="2724"/>
      <c r="X106" s="2724"/>
      <c r="Y106" s="2724"/>
      <c r="Z106" s="2724"/>
      <c r="AA106" s="2724"/>
      <c r="AB106" s="2724"/>
      <c r="AC106" s="2724"/>
    </row>
    <row r="107" spans="1:29" ht="15" thickTop="1">
      <c r="A107" s="548"/>
      <c r="B107" s="487" t="s">
        <v>1740</v>
      </c>
      <c r="C107" s="503"/>
      <c r="D107" s="503"/>
      <c r="E107" s="503"/>
      <c r="F107" s="532"/>
      <c r="G107" s="532"/>
      <c r="H107" s="532"/>
      <c r="I107" s="532"/>
      <c r="J107" s="532"/>
      <c r="K107" s="533"/>
      <c r="L107" s="534"/>
      <c r="M107" s="535"/>
      <c r="N107" s="2752"/>
      <c r="O107" s="2752"/>
      <c r="P107" s="2743"/>
      <c r="Q107" s="2738"/>
      <c r="R107" s="2724"/>
      <c r="S107" s="2724"/>
      <c r="T107" s="2724"/>
      <c r="U107" s="2724"/>
      <c r="V107" s="2724"/>
      <c r="W107" s="2724"/>
      <c r="X107" s="2724"/>
      <c r="Y107" s="2724"/>
      <c r="Z107" s="2724"/>
      <c r="AA107" s="2724"/>
      <c r="AB107" s="2724"/>
      <c r="AC107" s="2724"/>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3"/>
      <c r="O108" s="2753"/>
      <c r="P108" s="2743"/>
      <c r="Q108" s="2738"/>
      <c r="R108" s="2724"/>
      <c r="S108" s="2724"/>
      <c r="T108" s="2724"/>
      <c r="U108" s="2724"/>
      <c r="V108" s="2724"/>
      <c r="W108" s="2724"/>
      <c r="X108" s="2724"/>
      <c r="Y108" s="2724"/>
      <c r="Z108" s="2724"/>
      <c r="AA108" s="2724"/>
      <c r="AB108" s="2724"/>
      <c r="AC108" s="2724"/>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2"/>
      <c r="O109" s="2752"/>
      <c r="P109" s="2743"/>
      <c r="Q109" s="2738"/>
      <c r="R109" s="2724"/>
      <c r="S109" s="2724"/>
      <c r="T109" s="2724"/>
      <c r="U109" s="2724"/>
      <c r="V109" s="2724"/>
      <c r="W109" s="2724"/>
      <c r="X109" s="2724"/>
      <c r="Y109" s="2724"/>
      <c r="Z109" s="2724"/>
      <c r="AA109" s="2724"/>
      <c r="AB109" s="2724"/>
      <c r="AC109" s="2724"/>
    </row>
    <row r="110" spans="1:29">
      <c r="A110" s="548"/>
      <c r="B110" s="495"/>
      <c r="C110" s="552">
        <v>0.5</v>
      </c>
      <c r="D110" s="552">
        <v>0.6</v>
      </c>
      <c r="E110" s="552">
        <v>0.7</v>
      </c>
      <c r="F110" s="552">
        <v>0.8</v>
      </c>
      <c r="G110" s="552">
        <v>0.9</v>
      </c>
      <c r="H110" s="552">
        <v>1.0001</v>
      </c>
      <c r="I110" s="571"/>
      <c r="J110" s="571"/>
      <c r="K110" s="572"/>
      <c r="L110" s="573"/>
      <c r="M110" s="574"/>
      <c r="N110" s="2752"/>
      <c r="O110" s="2752"/>
      <c r="P110" s="2743"/>
      <c r="Q110" s="2738"/>
      <c r="R110" s="2724"/>
      <c r="S110" s="2724"/>
      <c r="T110" s="2724"/>
      <c r="U110" s="2724"/>
      <c r="V110" s="2724"/>
      <c r="W110" s="2724"/>
      <c r="X110" s="2724"/>
      <c r="Y110" s="2724"/>
      <c r="Z110" s="2724"/>
      <c r="AA110" s="2724"/>
      <c r="AB110" s="2724"/>
      <c r="AC110" s="2724"/>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3"/>
      <c r="O111" s="2753"/>
      <c r="P111" s="2743"/>
      <c r="Q111" s="2738"/>
      <c r="R111" s="2724"/>
      <c r="S111" s="2724"/>
      <c r="T111" s="2724"/>
      <c r="U111" s="2724"/>
      <c r="V111" s="2724"/>
      <c r="W111" s="2724"/>
      <c r="X111" s="2724"/>
      <c r="Y111" s="2724"/>
      <c r="Z111" s="2724"/>
      <c r="AA111" s="2724"/>
      <c r="AB111" s="2724"/>
      <c r="AC111" s="2724"/>
    </row>
    <row r="112" spans="1:29" s="422" customFormat="1" ht="15" thickTop="1">
      <c r="A112" s="542"/>
      <c r="B112" s="487" t="s">
        <v>1742</v>
      </c>
      <c r="C112" s="503"/>
      <c r="D112" s="503"/>
      <c r="E112" s="503"/>
      <c r="F112" s="503"/>
      <c r="G112" s="503"/>
      <c r="H112" s="532"/>
      <c r="I112" s="532"/>
      <c r="J112" s="532"/>
      <c r="K112" s="533"/>
      <c r="L112" s="534"/>
      <c r="M112" s="535"/>
      <c r="N112" s="2754"/>
      <c r="O112" s="2754"/>
      <c r="P112" s="2744"/>
      <c r="Q112" s="2745"/>
      <c r="R112" s="2746"/>
      <c r="S112" s="2746"/>
      <c r="T112" s="2746"/>
      <c r="U112" s="2746"/>
      <c r="V112" s="2746"/>
      <c r="W112" s="2746"/>
      <c r="X112" s="2746"/>
      <c r="Y112" s="2746"/>
      <c r="Z112" s="2746"/>
      <c r="AA112" s="2746"/>
      <c r="AB112" s="2746"/>
      <c r="AC112" s="2746"/>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4"/>
      <c r="O113" s="2754"/>
      <c r="P113" s="2744"/>
      <c r="Q113" s="2745"/>
      <c r="R113" s="2746"/>
      <c r="S113" s="2746"/>
      <c r="T113" s="2746"/>
      <c r="U113" s="2746"/>
      <c r="V113" s="2746"/>
      <c r="W113" s="2746"/>
      <c r="X113" s="2746"/>
      <c r="Y113" s="2746"/>
      <c r="Z113" s="2746"/>
      <c r="AA113" s="2746"/>
      <c r="AB113" s="2746"/>
      <c r="AC113" s="2746"/>
    </row>
    <row r="114" spans="1:29" ht="15" thickTop="1">
      <c r="A114" s="548"/>
      <c r="B114" s="487" t="s">
        <v>1806</v>
      </c>
      <c r="C114" s="503"/>
      <c r="D114" s="503"/>
      <c r="E114" s="532"/>
      <c r="F114" s="532"/>
      <c r="G114" s="532"/>
      <c r="H114" s="532"/>
      <c r="I114" s="532"/>
      <c r="J114" s="532"/>
      <c r="K114" s="533"/>
      <c r="L114" s="534"/>
      <c r="M114" s="535"/>
      <c r="N114" s="2752"/>
      <c r="O114" s="2752"/>
      <c r="P114" s="2743"/>
      <c r="Q114" s="2738"/>
      <c r="R114" s="2724"/>
      <c r="S114" s="2724"/>
      <c r="T114" s="2724"/>
      <c r="U114" s="2724"/>
      <c r="V114" s="2724"/>
      <c r="W114" s="2724"/>
      <c r="X114" s="2724"/>
      <c r="Y114" s="2724"/>
      <c r="Z114" s="2724"/>
      <c r="AA114" s="2724"/>
      <c r="AB114" s="2724"/>
      <c r="AC114" s="2724"/>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3"/>
      <c r="O115" s="2753"/>
      <c r="P115" s="2743"/>
      <c r="Q115" s="2738"/>
      <c r="R115" s="2724"/>
      <c r="S115" s="2724"/>
      <c r="T115" s="2724"/>
      <c r="U115" s="2724"/>
      <c r="V115" s="2724"/>
      <c r="W115" s="2724"/>
      <c r="X115" s="2724"/>
      <c r="Y115" s="2724"/>
      <c r="Z115" s="2724"/>
      <c r="AA115" s="2724"/>
      <c r="AB115" s="2724"/>
      <c r="AC115" s="2724"/>
    </row>
    <row r="116" spans="1:29" ht="15" thickTop="1">
      <c r="A116" s="548"/>
      <c r="B116" s="487" t="s">
        <v>1807</v>
      </c>
      <c r="C116" s="503"/>
      <c r="D116" s="503"/>
      <c r="E116" s="503"/>
      <c r="F116" s="503"/>
      <c r="G116" s="503"/>
      <c r="H116" s="532"/>
      <c r="I116" s="532"/>
      <c r="J116" s="532"/>
      <c r="K116" s="533"/>
      <c r="L116" s="534"/>
      <c r="M116" s="535"/>
      <c r="N116" s="2752"/>
      <c r="O116" s="2752"/>
      <c r="P116" s="2743"/>
      <c r="Q116" s="2738"/>
      <c r="R116" s="2724"/>
      <c r="S116" s="2724"/>
      <c r="T116" s="2724"/>
      <c r="U116" s="2724"/>
      <c r="V116" s="2724"/>
      <c r="W116" s="2724"/>
      <c r="X116" s="2724"/>
      <c r="Y116" s="2724"/>
      <c r="Z116" s="2724"/>
      <c r="AA116" s="2724"/>
      <c r="AB116" s="2724"/>
      <c r="AC116" s="2724"/>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3"/>
      <c r="O117" s="2753"/>
      <c r="P117" s="2743"/>
      <c r="Q117" s="2738"/>
      <c r="R117" s="2724"/>
      <c r="S117" s="2724"/>
      <c r="T117" s="2724"/>
      <c r="U117" s="2724"/>
      <c r="V117" s="2724"/>
      <c r="W117" s="2724"/>
      <c r="X117" s="2724"/>
      <c r="Y117" s="2724"/>
      <c r="Z117" s="2724"/>
      <c r="AA117" s="2724"/>
      <c r="AB117" s="2724"/>
      <c r="AC117" s="2724"/>
    </row>
    <row r="118" spans="1:29" ht="15" thickTop="1">
      <c r="A118" s="548"/>
      <c r="B118" s="487" t="s">
        <v>1808</v>
      </c>
      <c r="C118" s="575"/>
      <c r="D118" s="575"/>
      <c r="E118" s="575"/>
      <c r="F118" s="575"/>
      <c r="G118" s="575"/>
      <c r="H118" s="504"/>
      <c r="I118" s="504"/>
      <c r="J118" s="504"/>
      <c r="K118" s="504"/>
      <c r="L118" s="505"/>
      <c r="M118" s="506"/>
      <c r="N118" s="2752"/>
      <c r="O118" s="2752"/>
      <c r="P118" s="2743"/>
      <c r="Q118" s="2738"/>
      <c r="R118" s="2724"/>
      <c r="S118" s="2724"/>
      <c r="T118" s="2724"/>
      <c r="U118" s="2724"/>
      <c r="V118" s="2724"/>
      <c r="W118" s="2724"/>
      <c r="X118" s="2724"/>
      <c r="Y118" s="2724"/>
      <c r="Z118" s="2724"/>
      <c r="AA118" s="2724"/>
      <c r="AB118" s="2724"/>
      <c r="AC118" s="2724"/>
    </row>
    <row r="119" spans="1:29" ht="15.75" thickBot="1">
      <c r="A119" s="483"/>
      <c r="B119" s="492"/>
      <c r="C119" s="509"/>
      <c r="D119" s="485"/>
      <c r="E119" s="485"/>
      <c r="F119" s="485"/>
      <c r="G119" s="485"/>
      <c r="H119" s="485"/>
      <c r="I119" s="485"/>
      <c r="J119" s="485"/>
      <c r="K119" s="485"/>
      <c r="L119" s="485"/>
      <c r="M119" s="486"/>
      <c r="N119" s="2753"/>
      <c r="O119" s="2753"/>
      <c r="P119" s="2743"/>
      <c r="Q119" s="2738"/>
      <c r="R119" s="2724"/>
      <c r="S119" s="2724"/>
      <c r="T119" s="2724"/>
      <c r="U119" s="2724"/>
      <c r="V119" s="2724"/>
      <c r="W119" s="2724"/>
      <c r="X119" s="2724"/>
      <c r="Y119" s="2724"/>
      <c r="Z119" s="2724"/>
      <c r="AA119" s="2724"/>
      <c r="AB119" s="2724"/>
      <c r="AC119" s="2724"/>
    </row>
    <row r="120" spans="1:29" s="422" customFormat="1" ht="15" thickTop="1">
      <c r="A120" s="542"/>
      <c r="B120" s="487" t="s">
        <v>1809</v>
      </c>
      <c r="C120" s="532"/>
      <c r="D120" s="532"/>
      <c r="E120" s="532"/>
      <c r="F120" s="532"/>
      <c r="G120" s="504"/>
      <c r="H120" s="504"/>
      <c r="I120" s="504"/>
      <c r="J120" s="504"/>
      <c r="K120" s="504"/>
      <c r="L120" s="505"/>
      <c r="M120" s="506"/>
      <c r="N120" s="2754"/>
      <c r="O120" s="2754"/>
      <c r="P120" s="2744"/>
      <c r="Q120" s="2745"/>
      <c r="R120" s="2746"/>
      <c r="S120" s="2746"/>
      <c r="T120" s="2746"/>
      <c r="U120" s="2746"/>
      <c r="V120" s="2746"/>
      <c r="W120" s="2746"/>
      <c r="X120" s="2746"/>
      <c r="Y120" s="2746"/>
      <c r="Z120" s="2746"/>
      <c r="AA120" s="2746"/>
      <c r="AB120" s="2746"/>
      <c r="AC120" s="2746"/>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4"/>
      <c r="O121" s="2754"/>
      <c r="P121" s="2744"/>
      <c r="Q121" s="2745"/>
      <c r="R121" s="2746"/>
      <c r="S121" s="2746"/>
      <c r="T121" s="2746"/>
      <c r="U121" s="2746"/>
      <c r="V121" s="2746"/>
      <c r="W121" s="2746"/>
      <c r="X121" s="2746"/>
      <c r="Y121" s="2746"/>
      <c r="Z121" s="2746"/>
      <c r="AA121" s="2746"/>
      <c r="AB121" s="2746"/>
      <c r="AC121" s="2746"/>
    </row>
    <row r="122" spans="1:29" ht="15" thickTop="1">
      <c r="A122" s="548"/>
      <c r="B122" s="487" t="s">
        <v>1744</v>
      </c>
      <c r="C122" s="503"/>
      <c r="D122" s="503"/>
      <c r="E122" s="503"/>
      <c r="F122" s="532"/>
      <c r="G122" s="532"/>
      <c r="H122" s="532"/>
      <c r="I122" s="532"/>
      <c r="J122" s="532"/>
      <c r="K122" s="533"/>
      <c r="L122" s="534"/>
      <c r="M122" s="535"/>
      <c r="N122" s="2752"/>
      <c r="O122" s="2752"/>
      <c r="P122" s="2743"/>
      <c r="Q122" s="2738"/>
      <c r="R122" s="2724"/>
      <c r="S122" s="2724"/>
      <c r="T122" s="2724"/>
      <c r="U122" s="2724"/>
      <c r="V122" s="2724"/>
      <c r="W122" s="2724"/>
      <c r="X122" s="2724"/>
      <c r="Y122" s="2724"/>
      <c r="Z122" s="2724"/>
      <c r="AA122" s="2724"/>
      <c r="AB122" s="2724"/>
      <c r="AC122" s="2724"/>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3"/>
      <c r="O123" s="2753"/>
      <c r="P123" s="2743"/>
      <c r="Q123" s="2738"/>
      <c r="R123" s="2724"/>
      <c r="S123" s="2724"/>
      <c r="T123" s="2724"/>
      <c r="U123" s="2724"/>
      <c r="V123" s="2724"/>
      <c r="W123" s="2724"/>
      <c r="X123" s="2724"/>
      <c r="Y123" s="2724"/>
      <c r="Z123" s="2724"/>
      <c r="AA123" s="2724"/>
      <c r="AB123" s="2724"/>
      <c r="AC123" s="2724"/>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2"/>
      <c r="O124" s="2752"/>
      <c r="P124" s="2744"/>
      <c r="Q124" s="2738"/>
      <c r="R124" s="2724"/>
      <c r="S124" s="2724"/>
      <c r="T124" s="2724"/>
      <c r="U124" s="2724"/>
      <c r="V124" s="2724"/>
      <c r="W124" s="2724"/>
      <c r="X124" s="2724"/>
      <c r="Y124" s="2724"/>
      <c r="Z124" s="2724"/>
      <c r="AA124" s="2724"/>
      <c r="AB124" s="2724"/>
      <c r="AC124" s="2724"/>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3"/>
      <c r="O125" s="2753"/>
      <c r="P125" s="2743"/>
      <c r="Q125" s="2738"/>
      <c r="R125" s="2724"/>
      <c r="S125" s="2724"/>
      <c r="T125" s="2724"/>
      <c r="U125" s="2724"/>
      <c r="V125" s="2724"/>
      <c r="W125" s="2724"/>
      <c r="X125" s="2724"/>
      <c r="Y125" s="2724"/>
      <c r="Z125" s="2724"/>
      <c r="AA125" s="2724"/>
      <c r="AB125" s="2724"/>
      <c r="AC125" s="2724"/>
    </row>
    <row r="126" spans="1:29" s="422" customFormat="1" ht="15" thickTop="1">
      <c r="A126" s="542"/>
      <c r="B126" s="487">
        <f>B44</f>
        <v>111</v>
      </c>
      <c r="C126" s="503"/>
      <c r="D126" s="503"/>
      <c r="E126" s="503"/>
      <c r="F126" s="503"/>
      <c r="G126" s="503"/>
      <c r="H126" s="504"/>
      <c r="I126" s="504"/>
      <c r="J126" s="504"/>
      <c r="K126" s="504"/>
      <c r="L126" s="505"/>
      <c r="M126" s="506"/>
      <c r="N126" s="2754"/>
      <c r="O126" s="2754"/>
      <c r="P126" s="2744"/>
      <c r="Q126" s="2745"/>
      <c r="R126" s="2746"/>
      <c r="S126" s="2746"/>
      <c r="T126" s="2746"/>
      <c r="U126" s="2746"/>
      <c r="V126" s="2746"/>
      <c r="W126" s="2746"/>
      <c r="X126" s="2746"/>
      <c r="Y126" s="2746"/>
      <c r="Z126" s="2746"/>
      <c r="AA126" s="2746"/>
      <c r="AB126" s="2746"/>
      <c r="AC126" s="2746"/>
    </row>
    <row r="127" spans="1:29" s="422" customFormat="1" ht="15.75" thickBot="1">
      <c r="A127" s="502"/>
      <c r="B127" s="492"/>
      <c r="C127" s="509"/>
      <c r="D127" s="485"/>
      <c r="E127" s="485"/>
      <c r="F127" s="485"/>
      <c r="G127" s="509"/>
      <c r="H127" s="511"/>
      <c r="I127" s="511"/>
      <c r="J127" s="511"/>
      <c r="K127" s="511"/>
      <c r="L127" s="511"/>
      <c r="M127" s="512"/>
      <c r="N127" s="2754"/>
      <c r="O127" s="2754"/>
      <c r="P127" s="2744"/>
      <c r="Q127" s="2745"/>
      <c r="R127" s="2746"/>
      <c r="S127" s="2746"/>
      <c r="T127" s="2746"/>
      <c r="U127" s="2746"/>
      <c r="V127" s="2746"/>
      <c r="W127" s="2746"/>
      <c r="X127" s="2746"/>
      <c r="Y127" s="2746"/>
      <c r="Z127" s="2746"/>
      <c r="AA127" s="2746"/>
      <c r="AB127" s="2746"/>
      <c r="AC127" s="2746"/>
    </row>
    <row r="128" spans="1:29" ht="15" thickTop="1">
      <c r="A128" s="548"/>
      <c r="B128" s="487">
        <f>B45</f>
        <v>111</v>
      </c>
      <c r="C128" s="503"/>
      <c r="D128" s="503"/>
      <c r="E128" s="503"/>
      <c r="F128" s="503"/>
      <c r="G128" s="532"/>
      <c r="H128" s="532"/>
      <c r="I128" s="532"/>
      <c r="J128" s="532"/>
      <c r="K128" s="533"/>
      <c r="L128" s="534"/>
      <c r="M128" s="535"/>
      <c r="N128" s="2752"/>
      <c r="O128" s="2752"/>
      <c r="P128" s="2743"/>
      <c r="Q128" s="2738"/>
      <c r="R128" s="2724"/>
      <c r="S128" s="2724"/>
      <c r="T128" s="2724"/>
      <c r="U128" s="2724"/>
      <c r="V128" s="2724"/>
      <c r="W128" s="2724"/>
      <c r="X128" s="2724"/>
      <c r="Y128" s="2724"/>
      <c r="Z128" s="2724"/>
      <c r="AA128" s="2724"/>
      <c r="AB128" s="2724"/>
      <c r="AC128" s="2724"/>
    </row>
    <row r="129" spans="1:29" ht="15.75" thickBot="1">
      <c r="A129" s="483"/>
      <c r="B129" s="492"/>
      <c r="C129" s="509"/>
      <c r="D129" s="485"/>
      <c r="E129" s="485"/>
      <c r="F129" s="485"/>
      <c r="G129" s="485"/>
      <c r="H129" s="485"/>
      <c r="I129" s="485"/>
      <c r="J129" s="485"/>
      <c r="K129" s="485"/>
      <c r="L129" s="485"/>
      <c r="M129" s="486"/>
      <c r="N129" s="2753"/>
      <c r="O129" s="2753"/>
      <c r="P129" s="2743"/>
      <c r="Q129" s="2738"/>
      <c r="R129" s="2724"/>
      <c r="S129" s="2724"/>
      <c r="T129" s="2724"/>
      <c r="U129" s="2724"/>
      <c r="V129" s="2724"/>
      <c r="W129" s="2724"/>
      <c r="X129" s="2724"/>
      <c r="Y129" s="2724"/>
      <c r="Z129" s="2724"/>
      <c r="AA129" s="2724"/>
      <c r="AB129" s="2724"/>
      <c r="AC129" s="2724"/>
    </row>
    <row r="130" spans="1:29" ht="15" thickTop="1">
      <c r="A130" s="548"/>
      <c r="B130" s="495">
        <f>B46</f>
        <v>111</v>
      </c>
      <c r="C130" s="503"/>
      <c r="D130" s="503"/>
      <c r="E130" s="503"/>
      <c r="F130" s="503"/>
      <c r="G130" s="536"/>
      <c r="H130" s="536"/>
      <c r="I130" s="536"/>
      <c r="J130" s="536"/>
      <c r="K130" s="472"/>
      <c r="L130" s="473"/>
      <c r="M130" s="539"/>
      <c r="N130" s="2752"/>
      <c r="O130" s="2752"/>
      <c r="P130" s="2743"/>
      <c r="Q130" s="2738"/>
      <c r="R130" s="2724"/>
      <c r="S130" s="2724"/>
      <c r="T130" s="2724"/>
      <c r="U130" s="2724"/>
      <c r="V130" s="2724"/>
      <c r="W130" s="2724"/>
      <c r="X130" s="2724"/>
      <c r="Y130" s="2724"/>
      <c r="Z130" s="2724"/>
      <c r="AA130" s="2724"/>
      <c r="AB130" s="2724"/>
      <c r="AC130" s="2724"/>
    </row>
    <row r="131" spans="1:29" ht="15.75" thickBot="1">
      <c r="A131" s="1928"/>
      <c r="B131" s="518"/>
      <c r="C131" s="519"/>
      <c r="D131" s="519"/>
      <c r="E131" s="519"/>
      <c r="F131" s="519"/>
      <c r="G131" s="540"/>
      <c r="H131" s="540"/>
      <c r="I131" s="540"/>
      <c r="J131" s="540"/>
      <c r="K131" s="540"/>
      <c r="L131" s="540"/>
      <c r="M131" s="541"/>
      <c r="N131" s="2753"/>
      <c r="O131" s="2753"/>
      <c r="P131" s="2743"/>
      <c r="Q131" s="2738"/>
      <c r="R131" s="2724"/>
      <c r="S131" s="2724"/>
      <c r="T131" s="2724"/>
      <c r="U131" s="2724"/>
      <c r="V131" s="2724"/>
      <c r="W131" s="2724"/>
      <c r="X131" s="2724"/>
      <c r="Y131" s="2724"/>
      <c r="Z131" s="2724"/>
      <c r="AA131" s="2724"/>
      <c r="AB131" s="2724"/>
      <c r="AC131" s="2724"/>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32" priority="21" stopIfTrue="1" operator="containsText" text="超过">
      <formula>NOT(ISERROR(SEARCH("超过",F52)))</formula>
    </cfRule>
  </conditionalFormatting>
  <conditionalFormatting sqref="H54">
    <cfRule type="containsText" dxfId="131" priority="19" stopIfTrue="1" operator="containsText" text="超过">
      <formula>NOT(ISERROR(SEARCH("超过",H54)))</formula>
    </cfRule>
  </conditionalFormatting>
  <conditionalFormatting sqref="F54">
    <cfRule type="containsText" dxfId="130" priority="18" stopIfTrue="1" operator="containsText" text="超过">
      <formula>NOT(ISERROR(SEARCH("超过",F54)))</formula>
    </cfRule>
  </conditionalFormatting>
  <conditionalFormatting sqref="F53 H53">
    <cfRule type="containsText" dxfId="129" priority="17" stopIfTrue="1" operator="containsText" text="超过">
      <formula>NOT(ISERROR(SEARCH("超过",F53)))</formula>
    </cfRule>
  </conditionalFormatting>
  <conditionalFormatting sqref="E52">
    <cfRule type="expression" dxfId="128" priority="16" stopIfTrue="1">
      <formula>$F$52="超过30%"</formula>
    </cfRule>
  </conditionalFormatting>
  <conditionalFormatting sqref="E53">
    <cfRule type="expression" dxfId="127" priority="15" stopIfTrue="1">
      <formula>$F$53="超过20%"</formula>
    </cfRule>
  </conditionalFormatting>
  <conditionalFormatting sqref="E54">
    <cfRule type="expression" dxfId="126" priority="14" stopIfTrue="1">
      <formula>$F$54="超过30%"</formula>
    </cfRule>
  </conditionalFormatting>
  <conditionalFormatting sqref="G54">
    <cfRule type="expression" dxfId="125" priority="13" stopIfTrue="1">
      <formula>$H$54="超过30%"</formula>
    </cfRule>
  </conditionalFormatting>
  <conditionalFormatting sqref="G52">
    <cfRule type="expression" dxfId="124" priority="12" stopIfTrue="1">
      <formula>$H$52="超过30%"</formula>
    </cfRule>
  </conditionalFormatting>
  <conditionalFormatting sqref="G53">
    <cfRule type="expression" dxfId="123" priority="11" stopIfTrue="1">
      <formula>$H$53="超过20%"</formula>
    </cfRule>
  </conditionalFormatting>
  <conditionalFormatting sqref="J52">
    <cfRule type="containsText" dxfId="122" priority="10" stopIfTrue="1" operator="containsText" text="超过">
      <formula>NOT(ISERROR(SEARCH("超过",J52)))</formula>
    </cfRule>
  </conditionalFormatting>
  <conditionalFormatting sqref="J54">
    <cfRule type="containsText" dxfId="121" priority="9" stopIfTrue="1" operator="containsText" text="超过">
      <formula>NOT(ISERROR(SEARCH("超过",J54)))</formula>
    </cfRule>
  </conditionalFormatting>
  <conditionalFormatting sqref="J53">
    <cfRule type="containsText" dxfId="120" priority="8" stopIfTrue="1" operator="containsText" text="超过">
      <formula>NOT(ISERROR(SEARCH("超过",J53)))</formula>
    </cfRule>
  </conditionalFormatting>
  <conditionalFormatting sqref="I52">
    <cfRule type="expression" dxfId="119" priority="7" stopIfTrue="1">
      <formula>$J$52="超过30%"</formula>
    </cfRule>
  </conditionalFormatting>
  <conditionalFormatting sqref="I53">
    <cfRule type="expression" dxfId="118" priority="6" stopIfTrue="1">
      <formula>$J$53="超过20%"</formula>
    </cfRule>
  </conditionalFormatting>
  <conditionalFormatting sqref="I54">
    <cfRule type="expression" dxfId="117" priority="5" stopIfTrue="1">
      <formula>$J$54="超过30%"</formula>
    </cfRule>
  </conditionalFormatting>
  <conditionalFormatting sqref="F48">
    <cfRule type="expression" dxfId="116" priority="4">
      <formula>$D$48="简单平均"</formula>
    </cfRule>
  </conditionalFormatting>
  <conditionalFormatting sqref="H48">
    <cfRule type="expression" dxfId="115" priority="3">
      <formula>$D$48="简单平均"</formula>
    </cfRule>
  </conditionalFormatting>
  <conditionalFormatting sqref="J48">
    <cfRule type="expression" dxfId="114" priority="2">
      <formula>$D$48="简单平均"</formula>
    </cfRule>
  </conditionalFormatting>
  <conditionalFormatting sqref="F7:F46 H7:H46 J7:J46">
    <cfRule type="cellIs" dxfId="113"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0070C0"/>
    <pageSetUpPr fitToPage="1"/>
  </sheetPr>
  <dimension ref="A1:AC132"/>
  <sheetViews>
    <sheetView view="pageBreakPreview" topLeftCell="A38" zoomScale="85" zoomScaleNormal="70" zoomScaleSheetLayoutView="85" workbookViewId="0">
      <selection activeCell="F68" sqref="F68"/>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1810</v>
      </c>
      <c r="C1" s="1224" t="s">
        <v>1662</v>
      </c>
      <c r="D1" s="1225"/>
      <c r="E1" s="3432" t="s">
        <v>3988</v>
      </c>
      <c r="F1" s="1879" t="s">
        <v>3987</v>
      </c>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f>IF(E1="项目模式",IF(C2="——",ROUND(C50*D3/10000,0),ROUND(C50*D3/10000,0)-D2),IF(E1="单套模式",IF(C2="——",ROUND(C50*D3/10000,4),ROUND(C50*D3/10000,4)-D2)))</f>
        <v>191298</v>
      </c>
      <c r="C2" s="1881" t="s">
        <v>43</v>
      </c>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3"/>
      <c r="M2" s="2734"/>
      <c r="N2" s="2734"/>
      <c r="O2" s="2734"/>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37484</v>
      </c>
      <c r="C3" s="354" t="s">
        <v>1768</v>
      </c>
      <c r="D3" s="353">
        <f>IF(D1="",'数据-汇总表'!E3,SUMIF('数据-汇总表'!$C19:$C33,D1,'数据-汇总表'!$E19:$E33))</f>
        <v>51034.460000000006</v>
      </c>
      <c r="E3" s="1954"/>
      <c r="F3" s="909"/>
      <c r="G3" s="908"/>
      <c r="H3" s="908"/>
      <c r="I3" s="908"/>
      <c r="J3" s="908"/>
      <c r="K3" s="910"/>
      <c r="L3" s="2733"/>
      <c r="M3" s="2734"/>
      <c r="N3" s="2734"/>
      <c r="O3" s="2734"/>
      <c r="P3" s="699"/>
      <c r="Q3" s="699"/>
      <c r="R3" s="699"/>
      <c r="S3" s="699"/>
      <c r="T3" s="699"/>
      <c r="U3" s="699"/>
      <c r="V3" s="699"/>
      <c r="W3" s="699"/>
      <c r="X3" s="699"/>
      <c r="Y3" s="699"/>
      <c r="Z3" s="699"/>
      <c r="AA3" s="699"/>
      <c r="AB3" s="699"/>
      <c r="AC3" s="700"/>
    </row>
    <row r="4" spans="1:29" ht="15">
      <c r="A4" s="355" t="s">
        <v>1769</v>
      </c>
      <c r="B4" s="356"/>
      <c r="C4" s="3810" t="s">
        <v>1770</v>
      </c>
      <c r="D4" s="3811"/>
      <c r="E4" s="3812" t="s">
        <v>1771</v>
      </c>
      <c r="F4" s="3813"/>
      <c r="G4" s="3810" t="s">
        <v>1772</v>
      </c>
      <c r="H4" s="3811"/>
      <c r="I4" s="3810" t="s">
        <v>1773</v>
      </c>
      <c r="J4" s="3811"/>
      <c r="K4" s="559" t="s">
        <v>1774</v>
      </c>
      <c r="L4" s="2714"/>
      <c r="M4" s="2715"/>
      <c r="N4" s="2715"/>
      <c r="O4" s="2715"/>
      <c r="P4" s="3847" t="s">
        <v>1775</v>
      </c>
      <c r="Q4" s="3848"/>
      <c r="R4" s="3839" t="s">
        <v>1771</v>
      </c>
      <c r="S4" s="3840"/>
      <c r="T4" s="3839" t="s">
        <v>1772</v>
      </c>
      <c r="U4" s="3840"/>
      <c r="V4" s="3851" t="s">
        <v>1773</v>
      </c>
      <c r="W4" s="3851"/>
      <c r="X4" s="1958"/>
      <c r="Y4" s="3839" t="s">
        <v>1775</v>
      </c>
      <c r="Z4" s="3840"/>
      <c r="AA4" s="3838" t="s">
        <v>1771</v>
      </c>
      <c r="AB4" s="3838" t="s">
        <v>1772</v>
      </c>
      <c r="AC4" s="3844" t="s">
        <v>1773</v>
      </c>
    </row>
    <row r="5" spans="1:29" ht="15">
      <c r="A5" s="358"/>
      <c r="B5" s="359"/>
      <c r="C5" s="3842" t="s">
        <v>4094</v>
      </c>
      <c r="D5" s="3804"/>
      <c r="E5" s="3841" t="s">
        <v>3992</v>
      </c>
      <c r="F5" s="3802"/>
      <c r="G5" s="3842" t="s">
        <v>4005</v>
      </c>
      <c r="H5" s="3804"/>
      <c r="I5" s="3842" t="s">
        <v>4024</v>
      </c>
      <c r="J5" s="3804"/>
      <c r="K5" s="559"/>
      <c r="L5" s="2714"/>
      <c r="M5" s="2715"/>
      <c r="N5" s="2715"/>
      <c r="O5" s="2715"/>
      <c r="P5" s="3849"/>
      <c r="Q5" s="3817"/>
      <c r="R5" s="3799"/>
      <c r="S5" s="3800"/>
      <c r="T5" s="3799"/>
      <c r="U5" s="3800"/>
      <c r="V5" s="3822"/>
      <c r="W5" s="3822"/>
      <c r="X5" s="1355"/>
      <c r="Y5" s="3799"/>
      <c r="Z5" s="3800"/>
      <c r="AA5" s="3793"/>
      <c r="AB5" s="3793"/>
      <c r="AC5" s="3845"/>
    </row>
    <row r="6" spans="1:29" ht="15.75" thickBot="1">
      <c r="A6" s="360"/>
      <c r="B6" s="361"/>
      <c r="C6" s="3805" t="s">
        <v>1677</v>
      </c>
      <c r="D6" s="3806"/>
      <c r="E6" s="3843" t="s">
        <v>3949</v>
      </c>
      <c r="F6" s="3808"/>
      <c r="G6" s="3805" t="s">
        <v>1677</v>
      </c>
      <c r="H6" s="3806"/>
      <c r="I6" s="3805" t="s">
        <v>1677</v>
      </c>
      <c r="J6" s="3806"/>
      <c r="K6" s="559" t="s">
        <v>1678</v>
      </c>
      <c r="L6" s="2714"/>
      <c r="M6" s="2715"/>
      <c r="N6" s="2715"/>
      <c r="O6" s="2715"/>
      <c r="P6" s="3850"/>
      <c r="Q6" s="3819"/>
      <c r="R6" s="3799"/>
      <c r="S6" s="3800"/>
      <c r="T6" s="3820"/>
      <c r="U6" s="3821"/>
      <c r="V6" s="3822"/>
      <c r="W6" s="3822"/>
      <c r="X6" s="1355"/>
      <c r="Y6" s="3820"/>
      <c r="Z6" s="3821"/>
      <c r="AA6" s="3794"/>
      <c r="AB6" s="3794"/>
      <c r="AC6" s="3846"/>
    </row>
    <row r="7" spans="1:29" s="108" customFormat="1" ht="15.75" thickBot="1">
      <c r="A7" s="362" t="s">
        <v>1679</v>
      </c>
      <c r="B7" s="363"/>
      <c r="C7" s="364">
        <f>'数据-取费表'!B2</f>
        <v>44926</v>
      </c>
      <c r="D7" s="365">
        <v>100</v>
      </c>
      <c r="E7" s="366">
        <v>44851</v>
      </c>
      <c r="F7" s="367">
        <f>SUMIF(59:59,YEAR(E7)&amp;"-"&amp;MONTH(E7),60:60)</f>
        <v>100</v>
      </c>
      <c r="G7" s="366">
        <v>44713</v>
      </c>
      <c r="H7" s="365">
        <f>SUMIF(59:59,YEAR(G7)&amp;"-"&amp;MONTH(G7),60:60)</f>
        <v>100</v>
      </c>
      <c r="I7" s="3529">
        <v>44531</v>
      </c>
      <c r="J7" s="365">
        <f>SUMIF(59:59,YEAR(I7)&amp;"-"&amp;MONTH(I7),60:60)</f>
        <v>99</v>
      </c>
      <c r="K7" s="560"/>
      <c r="L7" s="3531">
        <v>44440</v>
      </c>
      <c r="M7" s="2717"/>
      <c r="N7" s="2717"/>
      <c r="O7" s="2717"/>
      <c r="P7" s="3852" t="s">
        <v>1680</v>
      </c>
      <c r="Q7" s="3823"/>
      <c r="R7" s="701" t="s">
        <v>14</v>
      </c>
      <c r="S7" s="702">
        <f t="shared" ref="S7:S15" si="0">F7</f>
        <v>100</v>
      </c>
      <c r="T7" s="701" t="s">
        <v>14</v>
      </c>
      <c r="U7" s="702">
        <f t="shared" ref="U7:U15" si="1">H7</f>
        <v>100</v>
      </c>
      <c r="V7" s="701" t="s">
        <v>14</v>
      </c>
      <c r="W7" s="702">
        <f t="shared" ref="W7:W15" si="2">J7</f>
        <v>99</v>
      </c>
      <c r="X7" s="703"/>
      <c r="Y7" s="3795" t="s">
        <v>1680</v>
      </c>
      <c r="Z7" s="3796"/>
      <c r="AA7" s="704">
        <f>D7/F7</f>
        <v>1</v>
      </c>
      <c r="AB7" s="704">
        <f>D7/H7</f>
        <v>1</v>
      </c>
      <c r="AC7" s="1959">
        <f>D7/J7</f>
        <v>1.0101010101010102</v>
      </c>
    </row>
    <row r="8" spans="1:29" s="108" customFormat="1" ht="15.75" thickBot="1">
      <c r="A8" s="362" t="s">
        <v>1681</v>
      </c>
      <c r="B8" s="363"/>
      <c r="C8" s="368" t="s">
        <v>3951</v>
      </c>
      <c r="D8" s="365">
        <v>100</v>
      </c>
      <c r="E8" s="368" t="s">
        <v>4001</v>
      </c>
      <c r="F8" s="367">
        <f>SUMIF(62:62,E8,63:63)-SUMIF(62:62,C8,63:63)+100</f>
        <v>80</v>
      </c>
      <c r="G8" s="368" t="s">
        <v>3951</v>
      </c>
      <c r="H8" s="365">
        <f>SUMIF(62:62,G8,63:63)-SUMIF(62:62,C8,63:63)+100</f>
        <v>100</v>
      </c>
      <c r="I8" s="368" t="s">
        <v>3951</v>
      </c>
      <c r="J8" s="365">
        <f>SUMIF(62:62,I8,63:63)-SUMIF(62:62,C8,63:63)+100</f>
        <v>100</v>
      </c>
      <c r="K8" s="560"/>
      <c r="L8" s="2716"/>
      <c r="M8" s="2717"/>
      <c r="N8" s="2717"/>
      <c r="O8" s="2717"/>
      <c r="P8" s="3852" t="s">
        <v>1683</v>
      </c>
      <c r="Q8" s="3796"/>
      <c r="R8" s="701" t="s">
        <v>14</v>
      </c>
      <c r="S8" s="702">
        <f t="shared" si="0"/>
        <v>80</v>
      </c>
      <c r="T8" s="701" t="s">
        <v>14</v>
      </c>
      <c r="U8" s="702">
        <f t="shared" si="1"/>
        <v>100</v>
      </c>
      <c r="V8" s="701" t="s">
        <v>14</v>
      </c>
      <c r="W8" s="702">
        <f t="shared" si="2"/>
        <v>100</v>
      </c>
      <c r="X8" s="703"/>
      <c r="Y8" s="3795" t="s">
        <v>1683</v>
      </c>
      <c r="Z8" s="3796"/>
      <c r="AA8" s="704">
        <f t="shared" ref="AA8:AA47" si="3">D8/F8</f>
        <v>1.25</v>
      </c>
      <c r="AB8" s="704">
        <f t="shared" ref="AB8:AB47" si="4">D8/H8</f>
        <v>1</v>
      </c>
      <c r="AC8" s="1959">
        <f t="shared" ref="AC8:AC47" si="5">D8/J8</f>
        <v>1</v>
      </c>
    </row>
    <row r="9" spans="1:29" s="108" customFormat="1" ht="15">
      <c r="A9" s="369" t="s">
        <v>1684</v>
      </c>
      <c r="B9" s="63" t="s">
        <v>1685</v>
      </c>
      <c r="C9" s="3504" t="s">
        <v>4096</v>
      </c>
      <c r="D9" s="126">
        <v>100</v>
      </c>
      <c r="E9" s="373" t="s">
        <v>21</v>
      </c>
      <c r="F9" s="126">
        <f>SUMIF(64:64,E9,65:65)-SUMIF(64:64,C9,65:65)+100</f>
        <v>98</v>
      </c>
      <c r="G9" s="371" t="s">
        <v>21</v>
      </c>
      <c r="H9" s="126">
        <f>SUMIF(64:64,G9,65:65)-SUMIF(64:64,C9,65:65)+100</f>
        <v>98</v>
      </c>
      <c r="I9" s="371" t="s">
        <v>21</v>
      </c>
      <c r="J9" s="126">
        <f>SUMIF(64:64,I9,65:65)-SUMIF(64:64,C9,65:65)+100</f>
        <v>98</v>
      </c>
      <c r="K9" s="560"/>
      <c r="L9" s="2716"/>
      <c r="M9" s="2717"/>
      <c r="N9" s="2717"/>
      <c r="O9" s="2717"/>
      <c r="P9" s="3809" t="s">
        <v>1686</v>
      </c>
      <c r="Q9" s="1343" t="str">
        <f t="shared" ref="Q9:Q15" si="6">B9</f>
        <v>用途</v>
      </c>
      <c r="R9" s="701" t="s">
        <v>14</v>
      </c>
      <c r="S9" s="702">
        <f t="shared" si="0"/>
        <v>98</v>
      </c>
      <c r="T9" s="701" t="s">
        <v>14</v>
      </c>
      <c r="U9" s="702">
        <f t="shared" si="1"/>
        <v>98</v>
      </c>
      <c r="V9" s="701" t="s">
        <v>14</v>
      </c>
      <c r="W9" s="702">
        <f t="shared" si="2"/>
        <v>98</v>
      </c>
      <c r="X9" s="703"/>
      <c r="Y9" s="3720" t="s">
        <v>1687</v>
      </c>
      <c r="Z9" s="52" t="str">
        <f t="shared" ref="Z9:Z15" si="7">Q9</f>
        <v>用途</v>
      </c>
      <c r="AA9" s="704">
        <f t="shared" si="3"/>
        <v>1.0204081632653061</v>
      </c>
      <c r="AB9" s="704">
        <f t="shared" si="4"/>
        <v>1.0204081632653061</v>
      </c>
      <c r="AC9" s="1959">
        <f t="shared" si="5"/>
        <v>1.0204081632653061</v>
      </c>
    </row>
    <row r="10" spans="1:29" s="378" customFormat="1" ht="27">
      <c r="A10" s="374"/>
      <c r="B10" s="375" t="s">
        <v>1688</v>
      </c>
      <c r="C10" s="3433">
        <f>'数据-取费表'!F6</f>
        <v>21.67</v>
      </c>
      <c r="D10" s="127">
        <v>100</v>
      </c>
      <c r="E10" s="3433">
        <v>31.05</v>
      </c>
      <c r="F10" s="127">
        <f>SUMIF(66:66,E10,67:67)-SUMIF(66:66,C10,67:67)+100</f>
        <v>106</v>
      </c>
      <c r="G10" s="3434">
        <v>42.24</v>
      </c>
      <c r="H10" s="127">
        <f>SUMIF(66:66,G10,67:67)-SUMIF(66:66,C10,67:67)+100</f>
        <v>112</v>
      </c>
      <c r="I10" s="3433">
        <v>33</v>
      </c>
      <c r="J10" s="127">
        <f>SUMIF(66:66,I10,67:67)-SUMIF(66:66,C10,67:67)+100</f>
        <v>106</v>
      </c>
      <c r="K10" s="560"/>
      <c r="L10" s="2718"/>
      <c r="M10" s="2719"/>
      <c r="N10" s="2719"/>
      <c r="O10" s="2719"/>
      <c r="P10" s="3809"/>
      <c r="Q10" s="1343" t="str">
        <f t="shared" si="6"/>
        <v>土地使用年限（年）</v>
      </c>
      <c r="R10" s="701" t="s">
        <v>14</v>
      </c>
      <c r="S10" s="702">
        <f t="shared" si="0"/>
        <v>106</v>
      </c>
      <c r="T10" s="701" t="s">
        <v>14</v>
      </c>
      <c r="U10" s="702">
        <f t="shared" si="1"/>
        <v>112</v>
      </c>
      <c r="V10" s="701" t="s">
        <v>14</v>
      </c>
      <c r="W10" s="702">
        <f t="shared" si="2"/>
        <v>106</v>
      </c>
      <c r="X10" s="703"/>
      <c r="Y10" s="3720"/>
      <c r="Z10" s="52" t="str">
        <f t="shared" si="7"/>
        <v>土地使用年限（年）</v>
      </c>
      <c r="AA10" s="704">
        <f t="shared" si="3"/>
        <v>0.94339622641509435</v>
      </c>
      <c r="AB10" s="704">
        <f t="shared" si="4"/>
        <v>0.8928571428571429</v>
      </c>
      <c r="AC10" s="1959">
        <f t="shared" si="5"/>
        <v>0.94339622641509435</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20"/>
      <c r="M11" s="2715"/>
      <c r="N11" s="2715"/>
      <c r="O11" s="2715"/>
      <c r="P11" s="3809"/>
      <c r="Q11" s="1343" t="str">
        <f t="shared" si="6"/>
        <v>容积率</v>
      </c>
      <c r="R11" s="701" t="s">
        <v>14</v>
      </c>
      <c r="S11" s="702">
        <f t="shared" si="0"/>
        <v>100</v>
      </c>
      <c r="T11" s="701" t="s">
        <v>14</v>
      </c>
      <c r="U11" s="702">
        <f t="shared" si="1"/>
        <v>100</v>
      </c>
      <c r="V11" s="701" t="s">
        <v>14</v>
      </c>
      <c r="W11" s="702">
        <f t="shared" si="2"/>
        <v>100</v>
      </c>
      <c r="X11" s="703"/>
      <c r="Y11" s="3720"/>
      <c r="Z11" s="52" t="str">
        <f t="shared" si="7"/>
        <v>容积率</v>
      </c>
      <c r="AA11" s="704">
        <f t="shared" si="3"/>
        <v>1</v>
      </c>
      <c r="AB11" s="704">
        <f t="shared" si="4"/>
        <v>1</v>
      </c>
      <c r="AC11" s="1959">
        <f t="shared" si="5"/>
        <v>1</v>
      </c>
    </row>
    <row r="12" spans="1:29" s="108" customFormat="1" ht="15">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6"/>
      <c r="M12" s="2717"/>
      <c r="N12" s="2717"/>
      <c r="O12" s="2717"/>
      <c r="P12" s="3809"/>
      <c r="Q12" s="1343">
        <f t="shared" si="6"/>
        <v>111</v>
      </c>
      <c r="R12" s="701" t="s">
        <v>14</v>
      </c>
      <c r="S12" s="702">
        <f t="shared" si="0"/>
        <v>100</v>
      </c>
      <c r="T12" s="701" t="s">
        <v>14</v>
      </c>
      <c r="U12" s="702">
        <f t="shared" si="1"/>
        <v>100</v>
      </c>
      <c r="V12" s="701" t="s">
        <v>14</v>
      </c>
      <c r="W12" s="702">
        <f t="shared" si="2"/>
        <v>100</v>
      </c>
      <c r="X12" s="703"/>
      <c r="Y12" s="3720"/>
      <c r="Z12" s="52">
        <f t="shared" si="7"/>
        <v>111</v>
      </c>
      <c r="AA12" s="704">
        <f>D12/F12</f>
        <v>1</v>
      </c>
      <c r="AB12" s="704">
        <f>D12/H12</f>
        <v>1</v>
      </c>
      <c r="AC12" s="1959">
        <f>D12/J12</f>
        <v>1</v>
      </c>
    </row>
    <row r="13" spans="1:29" ht="15">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1"/>
      <c r="M13" s="2715"/>
      <c r="N13" s="2715"/>
      <c r="O13" s="2715"/>
      <c r="P13" s="3809"/>
      <c r="Q13" s="1343">
        <f t="shared" si="6"/>
        <v>111</v>
      </c>
      <c r="R13" s="701" t="s">
        <v>14</v>
      </c>
      <c r="S13" s="702">
        <f t="shared" si="0"/>
        <v>100</v>
      </c>
      <c r="T13" s="701" t="s">
        <v>14</v>
      </c>
      <c r="U13" s="702">
        <f t="shared" si="1"/>
        <v>100</v>
      </c>
      <c r="V13" s="701" t="s">
        <v>14</v>
      </c>
      <c r="W13" s="702">
        <f t="shared" si="2"/>
        <v>100</v>
      </c>
      <c r="X13" s="703"/>
      <c r="Y13" s="3720"/>
      <c r="Z13" s="52">
        <f t="shared" si="7"/>
        <v>111</v>
      </c>
      <c r="AA13" s="704">
        <f t="shared" si="3"/>
        <v>1</v>
      </c>
      <c r="AB13" s="704">
        <f t="shared" si="4"/>
        <v>1</v>
      </c>
      <c r="AC13" s="1959">
        <f t="shared" si="5"/>
        <v>1</v>
      </c>
    </row>
    <row r="14" spans="1:29" ht="15.75"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1"/>
      <c r="M14" s="2715"/>
      <c r="N14" s="2715"/>
      <c r="O14" s="2715"/>
      <c r="P14" s="3809"/>
      <c r="Q14" s="1343">
        <f t="shared" si="6"/>
        <v>111</v>
      </c>
      <c r="R14" s="701" t="s">
        <v>14</v>
      </c>
      <c r="S14" s="702">
        <f t="shared" si="0"/>
        <v>100</v>
      </c>
      <c r="T14" s="701" t="s">
        <v>14</v>
      </c>
      <c r="U14" s="702">
        <f t="shared" si="1"/>
        <v>100</v>
      </c>
      <c r="V14" s="701" t="s">
        <v>14</v>
      </c>
      <c r="W14" s="702">
        <f t="shared" si="2"/>
        <v>100</v>
      </c>
      <c r="X14" s="703"/>
      <c r="Y14" s="3720"/>
      <c r="Z14" s="52">
        <f t="shared" si="7"/>
        <v>111</v>
      </c>
      <c r="AA14" s="704">
        <f t="shared" si="3"/>
        <v>1</v>
      </c>
      <c r="AB14" s="704">
        <f t="shared" si="4"/>
        <v>1</v>
      </c>
      <c r="AC14" s="1959">
        <f t="shared" si="5"/>
        <v>1</v>
      </c>
    </row>
    <row r="15" spans="1:29" ht="71.25">
      <c r="A15" s="391" t="s">
        <v>1690</v>
      </c>
      <c r="B15" s="577" t="s">
        <v>1811</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2</v>
      </c>
      <c r="L15" s="2721"/>
      <c r="M15" s="2715"/>
      <c r="N15" s="2715"/>
      <c r="O15" s="2715"/>
      <c r="P15" s="3836" t="s">
        <v>1691</v>
      </c>
      <c r="Q15" s="1352" t="str">
        <f t="shared" si="6"/>
        <v>办公集聚程度</v>
      </c>
      <c r="R15" s="705" t="s">
        <v>14</v>
      </c>
      <c r="S15" s="706">
        <f t="shared" si="0"/>
        <v>100</v>
      </c>
      <c r="T15" s="705" t="s">
        <v>14</v>
      </c>
      <c r="U15" s="706">
        <f t="shared" si="1"/>
        <v>100</v>
      </c>
      <c r="V15" s="705" t="s">
        <v>14</v>
      </c>
      <c r="W15" s="706">
        <f t="shared" si="2"/>
        <v>100</v>
      </c>
      <c r="X15" s="1355"/>
      <c r="Y15" s="3829" t="s">
        <v>1691</v>
      </c>
      <c r="Z15" s="1356" t="str">
        <f t="shared" si="7"/>
        <v>办公集聚程度</v>
      </c>
      <c r="AA15" s="1353">
        <f t="shared" si="3"/>
        <v>1</v>
      </c>
      <c r="AB15" s="1353">
        <f t="shared" si="4"/>
        <v>1</v>
      </c>
      <c r="AC15" s="1962">
        <f t="shared" si="5"/>
        <v>1</v>
      </c>
    </row>
    <row r="16" spans="1:29" ht="15">
      <c r="A16" s="379"/>
      <c r="B16" s="578"/>
      <c r="C16" s="1904" t="s">
        <v>3427</v>
      </c>
      <c r="D16" s="399"/>
      <c r="E16" s="398" t="s">
        <v>3427</v>
      </c>
      <c r="F16" s="399"/>
      <c r="G16" s="1904" t="s">
        <v>3427</v>
      </c>
      <c r="H16" s="401"/>
      <c r="I16" s="398" t="s">
        <v>3427</v>
      </c>
      <c r="J16" s="399"/>
      <c r="K16" s="564"/>
      <c r="L16" s="2721"/>
      <c r="M16" s="2715"/>
      <c r="N16" s="2715"/>
      <c r="O16" s="2715"/>
      <c r="P16" s="3837"/>
      <c r="Q16" s="1352"/>
      <c r="R16" s="705"/>
      <c r="S16" s="706"/>
      <c r="T16" s="705"/>
      <c r="U16" s="706"/>
      <c r="V16" s="705"/>
      <c r="W16" s="706"/>
      <c r="X16" s="1355"/>
      <c r="Y16" s="3830"/>
      <c r="Z16" s="1356"/>
      <c r="AA16" s="1353">
        <v>1</v>
      </c>
      <c r="AB16" s="1353">
        <v>1</v>
      </c>
      <c r="AC16" s="1962">
        <v>1</v>
      </c>
    </row>
    <row r="17" spans="1:29" ht="27.75">
      <c r="A17" s="379"/>
      <c r="B17" s="579" t="s">
        <v>1259</v>
      </c>
      <c r="C17" s="1963" t="str">
        <f>估价对象房地状况!C6</f>
        <v>光熙门536米</v>
      </c>
      <c r="D17" s="401">
        <v>100</v>
      </c>
      <c r="E17" s="405" t="s">
        <v>4031</v>
      </c>
      <c r="F17" s="401">
        <f>SUMIF(79:79,E18,80:80)-SUMIF(79:79,C18,80:80)+100</f>
        <v>100</v>
      </c>
      <c r="G17" s="403" t="s">
        <v>4028</v>
      </c>
      <c r="H17" s="406">
        <f>SUMIF(79:79,G18,80:80)-SUMIF(79:79,C18,80:80)+100</f>
        <v>100</v>
      </c>
      <c r="I17" s="3517" t="s">
        <v>4025</v>
      </c>
      <c r="J17" s="406">
        <f>SUMIF(79:79,I18,80:80)-SUMIF(79:79,C18,80:80)+100</f>
        <v>100</v>
      </c>
      <c r="K17" s="563">
        <v>2</v>
      </c>
      <c r="L17" s="2721"/>
      <c r="M17" s="2715"/>
      <c r="N17" s="2715"/>
      <c r="O17" s="2715"/>
      <c r="P17" s="3837"/>
      <c r="Q17" s="1352" t="str">
        <f>B17</f>
        <v>交通便捷度</v>
      </c>
      <c r="R17" s="705" t="s">
        <v>14</v>
      </c>
      <c r="S17" s="706">
        <f>F17</f>
        <v>100</v>
      </c>
      <c r="T17" s="705" t="s">
        <v>14</v>
      </c>
      <c r="U17" s="706">
        <f>H17</f>
        <v>100</v>
      </c>
      <c r="V17" s="705" t="s">
        <v>14</v>
      </c>
      <c r="W17" s="706">
        <f>J17</f>
        <v>100</v>
      </c>
      <c r="X17" s="1355"/>
      <c r="Y17" s="3830"/>
      <c r="Z17" s="1356" t="str">
        <f>Q17</f>
        <v>交通便捷度</v>
      </c>
      <c r="AA17" s="1353">
        <f t="shared" si="3"/>
        <v>1</v>
      </c>
      <c r="AB17" s="1353">
        <f t="shared" si="4"/>
        <v>1</v>
      </c>
      <c r="AC17" s="1962">
        <f t="shared" si="5"/>
        <v>1</v>
      </c>
    </row>
    <row r="18" spans="1:29" ht="15">
      <c r="A18" s="379"/>
      <c r="B18" s="580"/>
      <c r="C18" s="1904" t="s">
        <v>3427</v>
      </c>
      <c r="D18" s="401"/>
      <c r="E18" s="1902" t="s">
        <v>3427</v>
      </c>
      <c r="F18" s="401"/>
      <c r="G18" s="1903" t="s">
        <v>3427</v>
      </c>
      <c r="H18" s="399"/>
      <c r="I18" s="1903" t="s">
        <v>3427</v>
      </c>
      <c r="J18" s="399"/>
      <c r="K18" s="564"/>
      <c r="L18" s="2721"/>
      <c r="M18" s="2715"/>
      <c r="N18" s="2715"/>
      <c r="O18" s="2715"/>
      <c r="P18" s="3837"/>
      <c r="Q18" s="1352"/>
      <c r="R18" s="705"/>
      <c r="S18" s="706"/>
      <c r="T18" s="705"/>
      <c r="U18" s="706"/>
      <c r="V18" s="705"/>
      <c r="W18" s="706"/>
      <c r="X18" s="1355"/>
      <c r="Y18" s="3830"/>
      <c r="Z18" s="1356"/>
      <c r="AA18" s="1353">
        <v>1</v>
      </c>
      <c r="AB18" s="1353">
        <v>1</v>
      </c>
      <c r="AC18" s="1962">
        <v>1</v>
      </c>
    </row>
    <row r="19" spans="1:29" ht="42.75">
      <c r="A19" s="379"/>
      <c r="B19" s="579" t="s">
        <v>1812</v>
      </c>
      <c r="C19" s="1963" t="str">
        <f>估价对象房地状况!C7</f>
        <v>估价对象所在区域公共配套设施齐备情况</v>
      </c>
      <c r="D19" s="406">
        <v>100</v>
      </c>
      <c r="E19" s="410"/>
      <c r="F19" s="406">
        <f>SUMIF(81:81,E20,82:82)-SUMIF(81:81,C20,82:82)+100</f>
        <v>100</v>
      </c>
      <c r="G19" s="408"/>
      <c r="H19" s="401">
        <f>SUMIF(81:81,G20,82:82)-SUMIF(81:81,C20,82:82)+100</f>
        <v>95</v>
      </c>
      <c r="I19" s="408"/>
      <c r="J19" s="401">
        <f>SUMIF(81:81,I20,82:82)-SUMIF(81:81,C20,82:82)+100</f>
        <v>100</v>
      </c>
      <c r="K19" s="563">
        <v>5</v>
      </c>
      <c r="L19" s="2721"/>
      <c r="M19" s="2715"/>
      <c r="N19" s="2715"/>
      <c r="O19" s="2715"/>
      <c r="P19" s="3837"/>
      <c r="Q19" s="1352" t="str">
        <f>B19</f>
        <v>公共配套设施</v>
      </c>
      <c r="R19" s="705" t="s">
        <v>14</v>
      </c>
      <c r="S19" s="706">
        <f>F19</f>
        <v>100</v>
      </c>
      <c r="T19" s="705" t="s">
        <v>14</v>
      </c>
      <c r="U19" s="706">
        <f>H19</f>
        <v>95</v>
      </c>
      <c r="V19" s="705" t="s">
        <v>14</v>
      </c>
      <c r="W19" s="706">
        <f>J19</f>
        <v>100</v>
      </c>
      <c r="X19" s="1355"/>
      <c r="Y19" s="3830"/>
      <c r="Z19" s="1356" t="str">
        <f>Q19</f>
        <v>公共配套设施</v>
      </c>
      <c r="AA19" s="1353">
        <f t="shared" si="3"/>
        <v>1</v>
      </c>
      <c r="AB19" s="1353">
        <f t="shared" si="4"/>
        <v>1.0526315789473684</v>
      </c>
      <c r="AC19" s="1962">
        <f t="shared" si="5"/>
        <v>1</v>
      </c>
    </row>
    <row r="20" spans="1:29" ht="15">
      <c r="A20" s="379"/>
      <c r="B20" s="580"/>
      <c r="C20" s="1904" t="s">
        <v>3427</v>
      </c>
      <c r="D20" s="399"/>
      <c r="E20" s="1897" t="s">
        <v>3427</v>
      </c>
      <c r="F20" s="399"/>
      <c r="G20" s="1898" t="s">
        <v>4008</v>
      </c>
      <c r="H20" s="399"/>
      <c r="I20" s="1898" t="s">
        <v>3427</v>
      </c>
      <c r="J20" s="399"/>
      <c r="K20" s="564"/>
      <c r="L20" s="2721"/>
      <c r="M20" s="2715"/>
      <c r="N20" s="2715"/>
      <c r="O20" s="2715"/>
      <c r="P20" s="3837"/>
      <c r="Q20" s="1352"/>
      <c r="R20" s="705"/>
      <c r="S20" s="706"/>
      <c r="T20" s="705"/>
      <c r="U20" s="706"/>
      <c r="V20" s="705"/>
      <c r="W20" s="706"/>
      <c r="X20" s="1355"/>
      <c r="Y20" s="3830"/>
      <c r="Z20" s="1356"/>
      <c r="AA20" s="1353">
        <v>1</v>
      </c>
      <c r="AB20" s="1353">
        <v>1</v>
      </c>
      <c r="AC20" s="1962">
        <v>1</v>
      </c>
    </row>
    <row r="21" spans="1:29" ht="28.5">
      <c r="A21" s="379"/>
      <c r="B21" s="581" t="s">
        <v>1813</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2</v>
      </c>
      <c r="L21" s="2721"/>
      <c r="M21" s="2715"/>
      <c r="N21" s="2715"/>
      <c r="O21" s="2715"/>
      <c r="P21" s="3837"/>
      <c r="Q21" s="1352" t="str">
        <f>B21</f>
        <v>基础设施水平</v>
      </c>
      <c r="R21" s="705" t="s">
        <v>14</v>
      </c>
      <c r="S21" s="706">
        <f>F21</f>
        <v>100</v>
      </c>
      <c r="T21" s="705" t="s">
        <v>14</v>
      </c>
      <c r="U21" s="706">
        <f>H21</f>
        <v>100</v>
      </c>
      <c r="V21" s="705" t="s">
        <v>14</v>
      </c>
      <c r="W21" s="706">
        <f>J21</f>
        <v>100</v>
      </c>
      <c r="X21" s="1355"/>
      <c r="Y21" s="3830"/>
      <c r="Z21" s="1356" t="str">
        <f>Q21</f>
        <v>基础设施水平</v>
      </c>
      <c r="AA21" s="1353">
        <f t="shared" ref="AA21" si="8">D21/F21</f>
        <v>1</v>
      </c>
      <c r="AB21" s="1353">
        <f t="shared" ref="AB21" si="9">D21/H21</f>
        <v>1</v>
      </c>
      <c r="AC21" s="1962">
        <f t="shared" ref="AC21" si="10">D21/J21</f>
        <v>1</v>
      </c>
    </row>
    <row r="22" spans="1:29" ht="15">
      <c r="A22" s="379"/>
      <c r="B22" s="581"/>
      <c r="C22" s="1964" t="s">
        <v>3962</v>
      </c>
      <c r="D22" s="399"/>
      <c r="E22" s="398" t="s">
        <v>3962</v>
      </c>
      <c r="F22" s="399"/>
      <c r="G22" s="1904" t="s">
        <v>3962</v>
      </c>
      <c r="H22" s="399"/>
      <c r="I22" s="398" t="s">
        <v>3962</v>
      </c>
      <c r="J22" s="399"/>
      <c r="K22" s="1130"/>
      <c r="L22" s="2721"/>
      <c r="M22" s="2715"/>
      <c r="N22" s="2715"/>
      <c r="O22" s="2715"/>
      <c r="P22" s="3837"/>
      <c r="Q22" s="1352"/>
      <c r="R22" s="705"/>
      <c r="S22" s="706"/>
      <c r="T22" s="705"/>
      <c r="U22" s="706"/>
      <c r="V22" s="705"/>
      <c r="W22" s="706"/>
      <c r="X22" s="1355"/>
      <c r="Y22" s="3830"/>
      <c r="Z22" s="1356"/>
      <c r="AA22" s="1353">
        <v>1</v>
      </c>
      <c r="AB22" s="1353">
        <v>1</v>
      </c>
      <c r="AC22" s="1962">
        <v>1</v>
      </c>
    </row>
    <row r="23" spans="1:29" ht="42.75">
      <c r="A23" s="379"/>
      <c r="B23" s="579" t="s">
        <v>1814</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2</v>
      </c>
      <c r="L23" s="2721"/>
      <c r="M23" s="2715"/>
      <c r="N23" s="2715"/>
      <c r="O23" s="2715"/>
      <c r="P23" s="3837"/>
      <c r="Q23" s="1352" t="str">
        <f>B23</f>
        <v>环境质量</v>
      </c>
      <c r="R23" s="705" t="s">
        <v>14</v>
      </c>
      <c r="S23" s="706">
        <f>F23</f>
        <v>100</v>
      </c>
      <c r="T23" s="705" t="s">
        <v>14</v>
      </c>
      <c r="U23" s="706">
        <f>H23</f>
        <v>100</v>
      </c>
      <c r="V23" s="705" t="s">
        <v>14</v>
      </c>
      <c r="W23" s="706">
        <f>J23</f>
        <v>100</v>
      </c>
      <c r="X23" s="1355"/>
      <c r="Y23" s="3830"/>
      <c r="Z23" s="1356" t="str">
        <f>Q23</f>
        <v>环境质量</v>
      </c>
      <c r="AA23" s="1353">
        <f t="shared" si="3"/>
        <v>1</v>
      </c>
      <c r="AB23" s="1353">
        <f t="shared" si="4"/>
        <v>1</v>
      </c>
      <c r="AC23" s="1962">
        <f t="shared" si="5"/>
        <v>1</v>
      </c>
    </row>
    <row r="24" spans="1:29" ht="15">
      <c r="A24" s="379"/>
      <c r="B24" s="581"/>
      <c r="C24" s="1904" t="s">
        <v>3427</v>
      </c>
      <c r="D24" s="399"/>
      <c r="E24" s="1897" t="s">
        <v>3427</v>
      </c>
      <c r="F24" s="399"/>
      <c r="G24" s="1898" t="s">
        <v>3427</v>
      </c>
      <c r="H24" s="399"/>
      <c r="I24" s="1898" t="s">
        <v>3427</v>
      </c>
      <c r="J24" s="399"/>
      <c r="K24" s="564"/>
      <c r="L24" s="2721"/>
      <c r="M24" s="2715"/>
      <c r="N24" s="2715"/>
      <c r="O24" s="2715"/>
      <c r="P24" s="3837"/>
      <c r="Q24" s="1352"/>
      <c r="R24" s="705"/>
      <c r="S24" s="706"/>
      <c r="T24" s="705"/>
      <c r="U24" s="706"/>
      <c r="V24" s="705"/>
      <c r="W24" s="706"/>
      <c r="X24" s="1355"/>
      <c r="Y24" s="3830"/>
      <c r="Z24" s="1356"/>
      <c r="AA24" s="1353">
        <v>1</v>
      </c>
      <c r="AB24" s="1353">
        <v>1</v>
      </c>
      <c r="AC24" s="1962">
        <v>1</v>
      </c>
    </row>
    <row r="25" spans="1:29" ht="27.75">
      <c r="A25" s="358"/>
      <c r="B25" s="579" t="s">
        <v>1815</v>
      </c>
      <c r="C25" s="1908" t="s">
        <v>3984</v>
      </c>
      <c r="D25" s="386">
        <v>100</v>
      </c>
      <c r="E25" s="1908" t="s">
        <v>3986</v>
      </c>
      <c r="F25" s="386">
        <f>SUMIF(87:87,E26,88:88)-SUMIF(87:87,C26,88:88)+100</f>
        <v>102</v>
      </c>
      <c r="G25" s="1908" t="s">
        <v>4006</v>
      </c>
      <c r="H25" s="386">
        <f>SUMIF(87:87,G26,88:88)-SUMIF(87:87,C26,88:88)+100</f>
        <v>100</v>
      </c>
      <c r="I25" s="1908" t="s">
        <v>4026</v>
      </c>
      <c r="J25" s="386">
        <f>SUMIF(87:87,I26,88:88)-SUMIF(87:87,C26,88:88)+100</f>
        <v>102</v>
      </c>
      <c r="K25" s="563">
        <v>1</v>
      </c>
      <c r="L25" s="2721"/>
      <c r="M25" s="2715"/>
      <c r="N25" s="2715"/>
      <c r="O25" s="2715"/>
      <c r="P25" s="3837"/>
      <c r="Q25" s="1352" t="str">
        <f>B25</f>
        <v>毗邻道路的类型与等级</v>
      </c>
      <c r="R25" s="705" t="s">
        <v>14</v>
      </c>
      <c r="S25" s="706">
        <f>F25</f>
        <v>102</v>
      </c>
      <c r="T25" s="705" t="s">
        <v>14</v>
      </c>
      <c r="U25" s="706">
        <f>H25</f>
        <v>100</v>
      </c>
      <c r="V25" s="705" t="s">
        <v>14</v>
      </c>
      <c r="W25" s="706">
        <f>J25</f>
        <v>102</v>
      </c>
      <c r="X25" s="1355"/>
      <c r="Y25" s="3830"/>
      <c r="Z25" s="1356" t="str">
        <f>Q25</f>
        <v>毗邻道路的类型与等级</v>
      </c>
      <c r="AA25" s="1353">
        <f t="shared" si="3"/>
        <v>0.98039215686274506</v>
      </c>
      <c r="AB25" s="1353">
        <f t="shared" si="4"/>
        <v>1</v>
      </c>
      <c r="AC25" s="1962">
        <f t="shared" si="5"/>
        <v>0.98039215686274506</v>
      </c>
    </row>
    <row r="26" spans="1:29" ht="15">
      <c r="A26" s="358"/>
      <c r="B26" s="580"/>
      <c r="C26" s="582" t="s">
        <v>3993</v>
      </c>
      <c r="D26" s="386"/>
      <c r="E26" s="565" t="s">
        <v>3985</v>
      </c>
      <c r="F26" s="386"/>
      <c r="G26" s="582" t="s">
        <v>3993</v>
      </c>
      <c r="H26" s="386"/>
      <c r="I26" s="565" t="s">
        <v>3985</v>
      </c>
      <c r="J26" s="386"/>
      <c r="K26" s="564"/>
      <c r="L26" s="2721"/>
      <c r="M26" s="2715"/>
      <c r="N26" s="2715"/>
      <c r="O26" s="2715"/>
      <c r="P26" s="3837"/>
      <c r="Q26" s="1352"/>
      <c r="R26" s="705"/>
      <c r="S26" s="706"/>
      <c r="T26" s="705"/>
      <c r="U26" s="706"/>
      <c r="V26" s="705"/>
      <c r="W26" s="706"/>
      <c r="X26" s="1355"/>
      <c r="Y26" s="3830"/>
      <c r="Z26" s="1356"/>
      <c r="AA26" s="1353">
        <v>1</v>
      </c>
      <c r="AB26" s="1353">
        <v>1</v>
      </c>
      <c r="AC26" s="1962">
        <v>1</v>
      </c>
    </row>
    <row r="27" spans="1:29" ht="15">
      <c r="A27" s="379"/>
      <c r="B27" s="580" t="s">
        <v>1783</v>
      </c>
      <c r="C27" s="582"/>
      <c r="D27" s="386">
        <v>100</v>
      </c>
      <c r="E27" s="565"/>
      <c r="F27" s="386">
        <f>SUMIF(89:89,E27,90:90)-SUMIF(89:89,C27,90:90)+100</f>
        <v>100</v>
      </c>
      <c r="G27" s="582"/>
      <c r="H27" s="386">
        <f>SUMIF(89:89,G27,90:90)-SUMIF(89:89,C27,90:90)+100</f>
        <v>100</v>
      </c>
      <c r="I27" s="565"/>
      <c r="J27" s="386">
        <f>SUMIF(89:89,I27,90:90)-SUMIF(89:89,C27,90:90)+100</f>
        <v>100</v>
      </c>
      <c r="K27" s="561"/>
      <c r="L27" s="2721"/>
      <c r="M27" s="2715"/>
      <c r="N27" s="2715"/>
      <c r="O27" s="2715"/>
      <c r="P27" s="3837"/>
      <c r="Q27" s="1352" t="str">
        <f t="shared" ref="Q27:Q47" si="11">B27</f>
        <v>楼层</v>
      </c>
      <c r="R27" s="705" t="s">
        <v>14</v>
      </c>
      <c r="S27" s="706">
        <f>F27</f>
        <v>100</v>
      </c>
      <c r="T27" s="705" t="s">
        <v>14</v>
      </c>
      <c r="U27" s="706">
        <f>H27</f>
        <v>100</v>
      </c>
      <c r="V27" s="705" t="s">
        <v>14</v>
      </c>
      <c r="W27" s="706">
        <f>J27</f>
        <v>100</v>
      </c>
      <c r="X27" s="1355"/>
      <c r="Y27" s="3830"/>
      <c r="Z27" s="1356" t="str">
        <f>Q27</f>
        <v>楼层</v>
      </c>
      <c r="AA27" s="1353">
        <f t="shared" si="3"/>
        <v>1</v>
      </c>
      <c r="AB27" s="1353">
        <f t="shared" si="4"/>
        <v>1</v>
      </c>
      <c r="AC27" s="1962">
        <f t="shared" si="5"/>
        <v>1</v>
      </c>
    </row>
    <row r="28" spans="1:29" s="108" customFormat="1" ht="15">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6"/>
      <c r="M28" s="2717"/>
      <c r="N28" s="2717"/>
      <c r="O28" s="2717"/>
      <c r="P28" s="3837"/>
      <c r="Q28" s="1343" t="str">
        <f t="shared" si="11"/>
        <v>朝向</v>
      </c>
      <c r="R28" s="701" t="s">
        <v>14</v>
      </c>
      <c r="S28" s="702">
        <f>F28</f>
        <v>100</v>
      </c>
      <c r="T28" s="701" t="s">
        <v>14</v>
      </c>
      <c r="U28" s="702">
        <f>H28</f>
        <v>100</v>
      </c>
      <c r="V28" s="701" t="s">
        <v>14</v>
      </c>
      <c r="W28" s="702">
        <f>J28</f>
        <v>100</v>
      </c>
      <c r="X28" s="703"/>
      <c r="Y28" s="3830"/>
      <c r="Z28" s="52" t="str">
        <f>Q28</f>
        <v>朝向</v>
      </c>
      <c r="AA28" s="1353">
        <f>D28/F28</f>
        <v>1</v>
      </c>
      <c r="AB28" s="1353">
        <f>D28/H28</f>
        <v>1</v>
      </c>
      <c r="AC28" s="1962">
        <f>D28/J28</f>
        <v>1</v>
      </c>
    </row>
    <row r="29" spans="1:29" ht="15">
      <c r="A29" s="379"/>
      <c r="B29" s="3528" t="s">
        <v>4009</v>
      </c>
      <c r="C29" s="1908"/>
      <c r="D29" s="386">
        <v>100</v>
      </c>
      <c r="E29" s="383"/>
      <c r="F29" s="386">
        <f>SUMIF(93:93,E29,94:94)-SUMIF(93:93,C29,94:94)+100</f>
        <v>100</v>
      </c>
      <c r="G29" s="1960"/>
      <c r="H29" s="386">
        <f>SUMIF(93:93,G29,94:94)-SUMIF(93:93,C29,94:94)+100</f>
        <v>100</v>
      </c>
      <c r="I29" s="383"/>
      <c r="J29" s="386">
        <f>SUMIF(93:93,I29,94:94)-SUMIF(93:93,C29,94:94)+100</f>
        <v>100</v>
      </c>
      <c r="K29" s="562"/>
      <c r="L29" s="2721"/>
      <c r="M29" s="2715"/>
      <c r="N29" s="2715"/>
      <c r="O29" s="2715"/>
      <c r="P29" s="3837"/>
      <c r="Q29" s="1352" t="str">
        <f t="shared" si="11"/>
        <v>土地级别</v>
      </c>
      <c r="R29" s="705" t="s">
        <v>14</v>
      </c>
      <c r="S29" s="706">
        <f t="shared" ref="S29:S47" si="12">F29</f>
        <v>100</v>
      </c>
      <c r="T29" s="705" t="s">
        <v>14</v>
      </c>
      <c r="U29" s="706">
        <f t="shared" ref="U29:U47" si="13">H29</f>
        <v>100</v>
      </c>
      <c r="V29" s="705" t="s">
        <v>14</v>
      </c>
      <c r="W29" s="706">
        <f t="shared" ref="W29:W47" si="14">J29</f>
        <v>100</v>
      </c>
      <c r="X29" s="1355"/>
      <c r="Y29" s="3830"/>
      <c r="Z29" s="1356" t="str">
        <f t="shared" ref="Z29:Z47" si="15">Q29</f>
        <v>土地级别</v>
      </c>
      <c r="AA29" s="1353">
        <f t="shared" si="3"/>
        <v>1</v>
      </c>
      <c r="AB29" s="1353">
        <f t="shared" si="4"/>
        <v>1</v>
      </c>
      <c r="AC29" s="1962">
        <f t="shared" si="5"/>
        <v>1</v>
      </c>
    </row>
    <row r="30" spans="1:29" ht="15">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1"/>
      <c r="M30" s="2715"/>
      <c r="N30" s="2715"/>
      <c r="O30" s="2715"/>
      <c r="P30" s="3837"/>
      <c r="Q30" s="1352">
        <f t="shared" si="11"/>
        <v>111</v>
      </c>
      <c r="R30" s="705" t="s">
        <v>14</v>
      </c>
      <c r="S30" s="706">
        <f t="shared" si="12"/>
        <v>100</v>
      </c>
      <c r="T30" s="705" t="s">
        <v>14</v>
      </c>
      <c r="U30" s="706">
        <f t="shared" si="13"/>
        <v>100</v>
      </c>
      <c r="V30" s="705" t="s">
        <v>14</v>
      </c>
      <c r="W30" s="706">
        <f t="shared" si="14"/>
        <v>100</v>
      </c>
      <c r="X30" s="1355"/>
      <c r="Y30" s="3830"/>
      <c r="Z30" s="1356">
        <f t="shared" si="15"/>
        <v>111</v>
      </c>
      <c r="AA30" s="1353">
        <f t="shared" si="3"/>
        <v>1</v>
      </c>
      <c r="AB30" s="1353">
        <f t="shared" si="4"/>
        <v>1</v>
      </c>
      <c r="AC30" s="1962">
        <f t="shared" si="5"/>
        <v>1</v>
      </c>
    </row>
    <row r="31" spans="1:29" ht="15">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1"/>
      <c r="M31" s="2715"/>
      <c r="N31" s="2715"/>
      <c r="O31" s="2715"/>
      <c r="P31" s="3837"/>
      <c r="Q31" s="1352">
        <f t="shared" si="11"/>
        <v>111</v>
      </c>
      <c r="R31" s="705" t="s">
        <v>14</v>
      </c>
      <c r="S31" s="706">
        <f t="shared" si="12"/>
        <v>100</v>
      </c>
      <c r="T31" s="705" t="s">
        <v>14</v>
      </c>
      <c r="U31" s="706">
        <f t="shared" si="13"/>
        <v>100</v>
      </c>
      <c r="V31" s="705" t="s">
        <v>14</v>
      </c>
      <c r="W31" s="706">
        <f t="shared" si="14"/>
        <v>100</v>
      </c>
      <c r="X31" s="1355"/>
      <c r="Y31" s="3830"/>
      <c r="Z31" s="1356">
        <f t="shared" si="15"/>
        <v>111</v>
      </c>
      <c r="AA31" s="1353">
        <f t="shared" si="3"/>
        <v>1</v>
      </c>
      <c r="AB31" s="1353">
        <f t="shared" si="4"/>
        <v>1</v>
      </c>
      <c r="AC31" s="1962">
        <f t="shared" si="5"/>
        <v>1</v>
      </c>
    </row>
    <row r="32" spans="1:29" ht="15.75"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1"/>
      <c r="M32" s="2715"/>
      <c r="N32" s="2715"/>
      <c r="O32" s="2715"/>
      <c r="P32" s="3837"/>
      <c r="Q32" s="1352">
        <f t="shared" si="11"/>
        <v>111</v>
      </c>
      <c r="R32" s="705" t="s">
        <v>14</v>
      </c>
      <c r="S32" s="706">
        <f t="shared" si="12"/>
        <v>100</v>
      </c>
      <c r="T32" s="705" t="s">
        <v>14</v>
      </c>
      <c r="U32" s="706">
        <f t="shared" si="13"/>
        <v>100</v>
      </c>
      <c r="V32" s="705" t="s">
        <v>14</v>
      </c>
      <c r="W32" s="706">
        <f t="shared" si="14"/>
        <v>100</v>
      </c>
      <c r="X32" s="1355"/>
      <c r="Y32" s="3830"/>
      <c r="Z32" s="1356">
        <f t="shared" si="15"/>
        <v>111</v>
      </c>
      <c r="AA32" s="1353">
        <f t="shared" si="3"/>
        <v>1</v>
      </c>
      <c r="AB32" s="1353">
        <f t="shared" si="4"/>
        <v>1</v>
      </c>
      <c r="AC32" s="1962">
        <f t="shared" si="5"/>
        <v>1</v>
      </c>
    </row>
    <row r="33" spans="1:29" ht="15">
      <c r="A33" s="391" t="s">
        <v>1694</v>
      </c>
      <c r="B33" s="63" t="s">
        <v>1817</v>
      </c>
      <c r="C33" s="1967" t="s">
        <v>3989</v>
      </c>
      <c r="D33" s="418">
        <v>100</v>
      </c>
      <c r="E33" s="1967" t="s">
        <v>3989</v>
      </c>
      <c r="F33" s="412">
        <f>SUMIF(101:101,E33,102:102)-SUMIF(101:101,C33,102:102)+100</f>
        <v>100</v>
      </c>
      <c r="G33" s="1967" t="s">
        <v>3989</v>
      </c>
      <c r="H33" s="386">
        <f>SUMIF(101:101,G33,102:102)-SUMIF(101:101,C33,102:102)+100</f>
        <v>100</v>
      </c>
      <c r="I33" s="1967" t="s">
        <v>3989</v>
      </c>
      <c r="J33" s="418">
        <f>SUMIF(101:101,I33,102:102)-SUMIF(101:101,C33,102:102)+100</f>
        <v>100</v>
      </c>
      <c r="K33" s="561"/>
      <c r="L33" s="2721"/>
      <c r="M33" s="2715"/>
      <c r="N33" s="2715"/>
      <c r="O33" s="2715"/>
      <c r="P33" s="3831" t="s">
        <v>1696</v>
      </c>
      <c r="Q33" s="1352" t="str">
        <f t="shared" si="11"/>
        <v>建筑类型</v>
      </c>
      <c r="R33" s="705" t="s">
        <v>14</v>
      </c>
      <c r="S33" s="706">
        <f t="shared" si="12"/>
        <v>100</v>
      </c>
      <c r="T33" s="705" t="s">
        <v>14</v>
      </c>
      <c r="U33" s="706">
        <f t="shared" si="13"/>
        <v>100</v>
      </c>
      <c r="V33" s="705" t="s">
        <v>14</v>
      </c>
      <c r="W33" s="706">
        <f t="shared" si="14"/>
        <v>100</v>
      </c>
      <c r="X33" s="1355"/>
      <c r="Y33" s="3834" t="s">
        <v>1696</v>
      </c>
      <c r="Z33" s="1356" t="str">
        <f t="shared" si="15"/>
        <v>建筑类型</v>
      </c>
      <c r="AA33" s="1353">
        <f t="shared" si="3"/>
        <v>1</v>
      </c>
      <c r="AB33" s="1353">
        <f t="shared" si="4"/>
        <v>1</v>
      </c>
      <c r="AC33" s="1962">
        <f t="shared" si="5"/>
        <v>1</v>
      </c>
    </row>
    <row r="34" spans="1:29" s="422" customFormat="1" ht="15">
      <c r="A34" s="419"/>
      <c r="B34" s="375" t="s">
        <v>1697</v>
      </c>
      <c r="C34" s="420">
        <f>'数据-基础表'!B3</f>
        <v>51034.460000000006</v>
      </c>
      <c r="D34" s="127">
        <v>100</v>
      </c>
      <c r="E34" s="381">
        <v>58239.38</v>
      </c>
      <c r="F34" s="376">
        <f>LOOKUP(E34,104:104,105:105)-LOOKUP(C34,104:104,105:105)+100</f>
        <v>100</v>
      </c>
      <c r="G34" s="380">
        <f>案例!M4</f>
        <v>147400</v>
      </c>
      <c r="H34" s="127">
        <f>LOOKUP(G34,104:104,105:105)-LOOKUP(C34,104:104,105:105)+100</f>
        <v>102</v>
      </c>
      <c r="I34" s="380">
        <f>案例!K233</f>
        <v>38767.46</v>
      </c>
      <c r="J34" s="127">
        <f>LOOKUP(I34,104:104,105:105)-LOOKUP(C34,104:104,105:105)+100</f>
        <v>99</v>
      </c>
      <c r="K34" s="562"/>
      <c r="L34" s="2754">
        <f>7.5*100000000/I34</f>
        <v>19346.121721670701</v>
      </c>
      <c r="M34" s="2722"/>
      <c r="N34" s="2722"/>
      <c r="O34" s="2722"/>
      <c r="P34" s="3832"/>
      <c r="Q34" s="707" t="str">
        <f t="shared" si="11"/>
        <v>项目建筑规模</v>
      </c>
      <c r="R34" s="708" t="s">
        <v>14</v>
      </c>
      <c r="S34" s="709">
        <f t="shared" si="12"/>
        <v>100</v>
      </c>
      <c r="T34" s="708" t="s">
        <v>14</v>
      </c>
      <c r="U34" s="709">
        <f t="shared" si="13"/>
        <v>102</v>
      </c>
      <c r="V34" s="708" t="s">
        <v>14</v>
      </c>
      <c r="W34" s="709">
        <f t="shared" si="14"/>
        <v>99</v>
      </c>
      <c r="X34" s="710"/>
      <c r="Y34" s="3834"/>
      <c r="Z34" s="711" t="str">
        <f t="shared" si="15"/>
        <v>项目建筑规模</v>
      </c>
      <c r="AA34" s="1353">
        <f t="shared" si="3"/>
        <v>1</v>
      </c>
      <c r="AB34" s="1353">
        <f t="shared" si="4"/>
        <v>0.98039215686274506</v>
      </c>
      <c r="AC34" s="1962">
        <f t="shared" si="5"/>
        <v>1.0101010101010102</v>
      </c>
    </row>
    <row r="35" spans="1:29" ht="15">
      <c r="A35" s="423"/>
      <c r="B35" s="375" t="s">
        <v>1698</v>
      </c>
      <c r="C35" s="411" t="s">
        <v>3413</v>
      </c>
      <c r="D35" s="386">
        <v>100</v>
      </c>
      <c r="E35" s="411" t="s">
        <v>3413</v>
      </c>
      <c r="F35" s="412">
        <f>SUMIF(106:106,E35,107:107)-SUMIF(106:106,C35,107:107)+100</f>
        <v>100</v>
      </c>
      <c r="G35" s="411" t="s">
        <v>3413</v>
      </c>
      <c r="H35" s="386">
        <f>SUMIF(106:106,G35,107:107)-SUMIF(106:106,C35,107:107)+100</f>
        <v>100</v>
      </c>
      <c r="I35" s="411" t="s">
        <v>3413</v>
      </c>
      <c r="J35" s="386">
        <f>SUMIF(106:106,I35,107:107)-SUMIF(106:106,C35,107:107)+100</f>
        <v>100</v>
      </c>
      <c r="K35" s="561"/>
      <c r="L35" s="2721"/>
      <c r="M35" s="2715"/>
      <c r="N35" s="2715"/>
      <c r="O35" s="2715"/>
      <c r="P35" s="3832"/>
      <c r="Q35" s="1352" t="str">
        <f t="shared" si="11"/>
        <v>建筑结构</v>
      </c>
      <c r="R35" s="705" t="s">
        <v>14</v>
      </c>
      <c r="S35" s="706">
        <f t="shared" si="12"/>
        <v>100</v>
      </c>
      <c r="T35" s="705" t="s">
        <v>14</v>
      </c>
      <c r="U35" s="706">
        <f t="shared" si="13"/>
        <v>100</v>
      </c>
      <c r="V35" s="705" t="s">
        <v>14</v>
      </c>
      <c r="W35" s="706">
        <f t="shared" si="14"/>
        <v>100</v>
      </c>
      <c r="X35" s="1355"/>
      <c r="Y35" s="3834"/>
      <c r="Z35" s="1356" t="str">
        <f t="shared" si="15"/>
        <v>建筑结构</v>
      </c>
      <c r="AA35" s="1353">
        <f t="shared" si="3"/>
        <v>1</v>
      </c>
      <c r="AB35" s="1353">
        <f t="shared" si="4"/>
        <v>1</v>
      </c>
      <c r="AC35" s="1962">
        <f t="shared" si="5"/>
        <v>1</v>
      </c>
    </row>
    <row r="36" spans="1:29" ht="15">
      <c r="A36" s="423"/>
      <c r="B36" s="375" t="s">
        <v>1785</v>
      </c>
      <c r="C36" s="411" t="s">
        <v>3967</v>
      </c>
      <c r="D36" s="386">
        <v>100</v>
      </c>
      <c r="E36" s="411" t="s">
        <v>3967</v>
      </c>
      <c r="F36" s="412">
        <f>SUMIF(108:108,E36,109:109)-SUMIF(108:108,C36,109:109)+100</f>
        <v>100</v>
      </c>
      <c r="G36" s="411" t="s">
        <v>3967</v>
      </c>
      <c r="H36" s="386">
        <f>SUMIF(108:108,G36,109:109)-SUMIF(108:108,C36,109:109)+100</f>
        <v>100</v>
      </c>
      <c r="I36" s="411" t="s">
        <v>3967</v>
      </c>
      <c r="J36" s="386">
        <f>SUMIF(108:108,I36,109:109)-SUMIF(108:108,C36,109:109)+100</f>
        <v>100</v>
      </c>
      <c r="K36" s="561"/>
      <c r="L36" s="2721"/>
      <c r="M36" s="2715"/>
      <c r="N36" s="2715"/>
      <c r="O36" s="2715"/>
      <c r="P36" s="3832"/>
      <c r="Q36" s="1352" t="str">
        <f t="shared" si="11"/>
        <v>公共部分装修</v>
      </c>
      <c r="R36" s="705" t="s">
        <v>14</v>
      </c>
      <c r="S36" s="706">
        <f t="shared" si="12"/>
        <v>100</v>
      </c>
      <c r="T36" s="705" t="s">
        <v>14</v>
      </c>
      <c r="U36" s="706">
        <f t="shared" si="13"/>
        <v>100</v>
      </c>
      <c r="V36" s="705" t="s">
        <v>14</v>
      </c>
      <c r="W36" s="706">
        <f t="shared" si="14"/>
        <v>100</v>
      </c>
      <c r="X36" s="1355"/>
      <c r="Y36" s="3834"/>
      <c r="Z36" s="1356" t="str">
        <f t="shared" si="15"/>
        <v>公共部分装修</v>
      </c>
      <c r="AA36" s="1353">
        <f t="shared" si="3"/>
        <v>1</v>
      </c>
      <c r="AB36" s="1353">
        <f t="shared" si="4"/>
        <v>1</v>
      </c>
      <c r="AC36" s="1962">
        <f t="shared" si="5"/>
        <v>1</v>
      </c>
    </row>
    <row r="37" spans="1:29" ht="15">
      <c r="A37" s="423"/>
      <c r="B37" s="375" t="s">
        <v>1786</v>
      </c>
      <c r="C37" s="425">
        <f>'数据-取费表'!N6</f>
        <v>0.88</v>
      </c>
      <c r="D37" s="386">
        <v>100</v>
      </c>
      <c r="E37" s="425">
        <v>0.83</v>
      </c>
      <c r="F37" s="412">
        <f>LOOKUP(E37,111:111,112:112)-LOOKUP(C37,111:111,112:112)+100</f>
        <v>100</v>
      </c>
      <c r="G37" s="425">
        <v>0.9</v>
      </c>
      <c r="H37" s="412">
        <f>LOOKUP(G37,111:111,112:112)-LOOKUP(C37,111:111,112:112)+100</f>
        <v>101</v>
      </c>
      <c r="I37" s="425">
        <v>0.77</v>
      </c>
      <c r="J37" s="386">
        <f>LOOKUP(I37,111:111,112:112)-LOOKUP(C37,111:111,112:112)+100</f>
        <v>99</v>
      </c>
      <c r="K37" s="561">
        <v>1</v>
      </c>
      <c r="L37" s="3532">
        <f>(60-(2022-2008))/60</f>
        <v>0.76666666666666672</v>
      </c>
      <c r="M37" s="2715"/>
      <c r="N37" s="2715"/>
      <c r="O37" s="2715"/>
      <c r="P37" s="3832"/>
      <c r="Q37" s="1352" t="str">
        <f t="shared" si="11"/>
        <v>成新度</v>
      </c>
      <c r="R37" s="705" t="s">
        <v>14</v>
      </c>
      <c r="S37" s="706">
        <f t="shared" si="12"/>
        <v>100</v>
      </c>
      <c r="T37" s="705" t="s">
        <v>14</v>
      </c>
      <c r="U37" s="706">
        <f t="shared" si="13"/>
        <v>101</v>
      </c>
      <c r="V37" s="705" t="s">
        <v>14</v>
      </c>
      <c r="W37" s="706">
        <f t="shared" si="14"/>
        <v>99</v>
      </c>
      <c r="X37" s="1355"/>
      <c r="Y37" s="3834"/>
      <c r="Z37" s="1356" t="str">
        <f t="shared" si="15"/>
        <v>成新度</v>
      </c>
      <c r="AA37" s="1353">
        <f t="shared" si="3"/>
        <v>1</v>
      </c>
      <c r="AB37" s="1353">
        <f t="shared" si="4"/>
        <v>0.99009900990099009</v>
      </c>
      <c r="AC37" s="1962">
        <f t="shared" si="5"/>
        <v>1.0101010101010102</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6"/>
      <c r="M38" s="2717"/>
      <c r="N38" s="2717"/>
      <c r="O38" s="2717"/>
      <c r="P38" s="3832"/>
      <c r="Q38" s="1343" t="str">
        <f t="shared" si="11"/>
        <v>写字楼等级</v>
      </c>
      <c r="R38" s="701" t="s">
        <v>14</v>
      </c>
      <c r="S38" s="702">
        <f t="shared" si="12"/>
        <v>100</v>
      </c>
      <c r="T38" s="701" t="s">
        <v>14</v>
      </c>
      <c r="U38" s="702">
        <f t="shared" si="13"/>
        <v>100</v>
      </c>
      <c r="V38" s="701" t="s">
        <v>14</v>
      </c>
      <c r="W38" s="702">
        <f t="shared" si="14"/>
        <v>100</v>
      </c>
      <c r="X38" s="703"/>
      <c r="Y38" s="3834"/>
      <c r="Z38" s="52" t="str">
        <f t="shared" si="15"/>
        <v>写字楼等级</v>
      </c>
      <c r="AA38" s="704">
        <f t="shared" si="3"/>
        <v>1</v>
      </c>
      <c r="AB38" s="704">
        <f t="shared" si="4"/>
        <v>1</v>
      </c>
      <c r="AC38" s="1959">
        <f t="shared" si="5"/>
        <v>1</v>
      </c>
    </row>
    <row r="39" spans="1:29" ht="15">
      <c r="A39" s="423"/>
      <c r="B39" s="375" t="s">
        <v>1819</v>
      </c>
      <c r="C39" s="411" t="s">
        <v>3969</v>
      </c>
      <c r="D39" s="386">
        <v>100</v>
      </c>
      <c r="E39" s="411" t="s">
        <v>3969</v>
      </c>
      <c r="F39" s="412">
        <f>SUMIF(115:115,E39,116:116)-SUMIF(115:115,C39,116:116)+100</f>
        <v>100</v>
      </c>
      <c r="G39" s="411" t="s">
        <v>3969</v>
      </c>
      <c r="H39" s="386">
        <f>SUMIF(115:115,G39,116:116)-SUMIF(115:115,C39,116:116)+100</f>
        <v>100</v>
      </c>
      <c r="I39" s="411" t="s">
        <v>3969</v>
      </c>
      <c r="J39" s="386">
        <f>SUMIF(115:115,I39,116:116)-SUMIF(115:115,C39,116:116)+100</f>
        <v>100</v>
      </c>
      <c r="K39" s="561"/>
      <c r="L39" s="2721"/>
      <c r="M39" s="2715"/>
      <c r="N39" s="2715"/>
      <c r="O39" s="2715"/>
      <c r="P39" s="3832" t="s">
        <v>1696</v>
      </c>
      <c r="Q39" s="1352" t="str">
        <f t="shared" si="11"/>
        <v>物业管理</v>
      </c>
      <c r="R39" s="705" t="s">
        <v>14</v>
      </c>
      <c r="S39" s="706">
        <f t="shared" si="12"/>
        <v>100</v>
      </c>
      <c r="T39" s="705" t="s">
        <v>14</v>
      </c>
      <c r="U39" s="706">
        <f t="shared" si="13"/>
        <v>100</v>
      </c>
      <c r="V39" s="705" t="s">
        <v>14</v>
      </c>
      <c r="W39" s="706">
        <f t="shared" si="14"/>
        <v>100</v>
      </c>
      <c r="X39" s="1355"/>
      <c r="Y39" s="3834" t="s">
        <v>1696</v>
      </c>
      <c r="Z39" s="1356" t="str">
        <f t="shared" si="15"/>
        <v>物业管理</v>
      </c>
      <c r="AA39" s="1353">
        <f t="shared" si="3"/>
        <v>1</v>
      </c>
      <c r="AB39" s="1353">
        <f t="shared" si="4"/>
        <v>1</v>
      </c>
      <c r="AC39" s="1962">
        <f t="shared" si="5"/>
        <v>1</v>
      </c>
    </row>
    <row r="40" spans="1:29" ht="15">
      <c r="A40" s="423"/>
      <c r="B40" s="375" t="s">
        <v>1787</v>
      </c>
      <c r="C40" s="411" t="s">
        <v>3980</v>
      </c>
      <c r="D40" s="386">
        <v>100</v>
      </c>
      <c r="E40" s="411" t="s">
        <v>3980</v>
      </c>
      <c r="F40" s="412">
        <f>SUMIF(117:117,E40,118:118)-SUMIF(117:117,C40,118:118)+100</f>
        <v>100</v>
      </c>
      <c r="G40" s="411" t="s">
        <v>3980</v>
      </c>
      <c r="H40" s="386">
        <f>SUMIF(117:117,G40,118:118)-SUMIF(117:117,C40,118:118)+100</f>
        <v>100</v>
      </c>
      <c r="I40" s="411" t="s">
        <v>3980</v>
      </c>
      <c r="J40" s="386">
        <f>SUMIF(117:117,I40,118:118)-SUMIF(117:117,C40,118:118)+100</f>
        <v>100</v>
      </c>
      <c r="K40" s="561">
        <v>1</v>
      </c>
      <c r="L40" s="2721"/>
      <c r="M40" s="2715"/>
      <c r="N40" s="2715"/>
      <c r="O40" s="2715"/>
      <c r="P40" s="3832"/>
      <c r="Q40" s="1352" t="str">
        <f t="shared" si="11"/>
        <v>市政基础设施</v>
      </c>
      <c r="R40" s="705" t="s">
        <v>14</v>
      </c>
      <c r="S40" s="706">
        <f t="shared" si="12"/>
        <v>100</v>
      </c>
      <c r="T40" s="705" t="s">
        <v>14</v>
      </c>
      <c r="U40" s="706">
        <f t="shared" si="13"/>
        <v>100</v>
      </c>
      <c r="V40" s="705" t="s">
        <v>14</v>
      </c>
      <c r="W40" s="706">
        <f t="shared" si="14"/>
        <v>100</v>
      </c>
      <c r="X40" s="1355"/>
      <c r="Y40" s="3834"/>
      <c r="Z40" s="1356" t="str">
        <f t="shared" si="15"/>
        <v>市政基础设施</v>
      </c>
      <c r="AA40" s="1353">
        <f t="shared" si="3"/>
        <v>1</v>
      </c>
      <c r="AB40" s="1353">
        <f t="shared" si="4"/>
        <v>1</v>
      </c>
      <c r="AC40" s="1962">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1"/>
      <c r="M41" s="2715"/>
      <c r="N41" s="2715"/>
      <c r="O41" s="2715"/>
      <c r="P41" s="3832"/>
      <c r="Q41" s="1352" t="str">
        <f t="shared" si="11"/>
        <v>层高</v>
      </c>
      <c r="R41" s="705" t="s">
        <v>14</v>
      </c>
      <c r="S41" s="706">
        <f t="shared" si="12"/>
        <v>100</v>
      </c>
      <c r="T41" s="705" t="s">
        <v>14</v>
      </c>
      <c r="U41" s="706">
        <f t="shared" si="13"/>
        <v>100</v>
      </c>
      <c r="V41" s="705" t="s">
        <v>14</v>
      </c>
      <c r="W41" s="706">
        <f t="shared" si="14"/>
        <v>100</v>
      </c>
      <c r="X41" s="1355"/>
      <c r="Y41" s="3834"/>
      <c r="Z41" s="1356" t="str">
        <f t="shared" si="15"/>
        <v>层高</v>
      </c>
      <c r="AA41" s="1353">
        <f t="shared" si="3"/>
        <v>1</v>
      </c>
      <c r="AB41" s="1353">
        <f t="shared" si="4"/>
        <v>1</v>
      </c>
      <c r="AC41" s="1962">
        <f t="shared" si="5"/>
        <v>1</v>
      </c>
    </row>
    <row r="42" spans="1:29" s="422" customFormat="1" ht="15">
      <c r="A42" s="419"/>
      <c r="B42" s="1354"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0"/>
      <c r="M42" s="2722"/>
      <c r="N42" s="2722"/>
      <c r="O42" s="2722"/>
      <c r="P42" s="3832"/>
      <c r="Q42" s="707" t="str">
        <f t="shared" si="11"/>
        <v>单套建筑面积</v>
      </c>
      <c r="R42" s="708" t="s">
        <v>14</v>
      </c>
      <c r="S42" s="709">
        <f t="shared" si="12"/>
        <v>100</v>
      </c>
      <c r="T42" s="708" t="s">
        <v>14</v>
      </c>
      <c r="U42" s="709">
        <f t="shared" si="13"/>
        <v>100</v>
      </c>
      <c r="V42" s="708" t="s">
        <v>14</v>
      </c>
      <c r="W42" s="709">
        <f t="shared" si="14"/>
        <v>100</v>
      </c>
      <c r="X42" s="710"/>
      <c r="Y42" s="3834"/>
      <c r="Z42" s="711" t="str">
        <f t="shared" si="15"/>
        <v>单套建筑面积</v>
      </c>
      <c r="AA42" s="1353">
        <f t="shared" si="3"/>
        <v>1</v>
      </c>
      <c r="AB42" s="1353">
        <f t="shared" si="4"/>
        <v>1</v>
      </c>
      <c r="AC42" s="1962">
        <f t="shared" si="5"/>
        <v>1</v>
      </c>
    </row>
    <row r="43" spans="1:29" ht="15">
      <c r="A43" s="423"/>
      <c r="B43" s="375" t="s">
        <v>1792</v>
      </c>
      <c r="C43" s="411" t="s">
        <v>3967</v>
      </c>
      <c r="D43" s="386">
        <v>100</v>
      </c>
      <c r="E43" s="411" t="s">
        <v>3967</v>
      </c>
      <c r="F43" s="412">
        <f>SUMIF(123:123,E43,124:124)-SUMIF(123:123,C43,124:124)+100</f>
        <v>100</v>
      </c>
      <c r="G43" s="411" t="s">
        <v>3967</v>
      </c>
      <c r="H43" s="386">
        <f>SUMIF(123:123,G43,124:124)-SUMIF(123:123,C43,124:124)+100</f>
        <v>100</v>
      </c>
      <c r="I43" s="411" t="s">
        <v>3967</v>
      </c>
      <c r="J43" s="386">
        <f>SUMIF(123:123,I43,124:124)-SUMIF(123:123,C43,124:124)+100</f>
        <v>100</v>
      </c>
      <c r="K43" s="561">
        <v>5</v>
      </c>
      <c r="L43" s="2721"/>
      <c r="M43" s="2715"/>
      <c r="N43" s="2715"/>
      <c r="O43" s="2715"/>
      <c r="P43" s="3832"/>
      <c r="Q43" s="1352" t="str">
        <f t="shared" si="11"/>
        <v>内部装修</v>
      </c>
      <c r="R43" s="705" t="s">
        <v>14</v>
      </c>
      <c r="S43" s="706">
        <f t="shared" si="12"/>
        <v>100</v>
      </c>
      <c r="T43" s="705" t="s">
        <v>14</v>
      </c>
      <c r="U43" s="706">
        <f t="shared" si="13"/>
        <v>100</v>
      </c>
      <c r="V43" s="705" t="s">
        <v>14</v>
      </c>
      <c r="W43" s="706">
        <f t="shared" si="14"/>
        <v>100</v>
      </c>
      <c r="X43" s="1355"/>
      <c r="Y43" s="3834"/>
      <c r="Z43" s="1356" t="str">
        <f t="shared" si="15"/>
        <v>内部装修</v>
      </c>
      <c r="AA43" s="1353">
        <f t="shared" si="3"/>
        <v>1</v>
      </c>
      <c r="AB43" s="1353">
        <f t="shared" si="4"/>
        <v>1</v>
      </c>
      <c r="AC43" s="1962">
        <f t="shared" si="5"/>
        <v>1</v>
      </c>
    </row>
    <row r="44" spans="1:29" ht="15">
      <c r="A44" s="423"/>
      <c r="B44" s="375" t="s">
        <v>1707</v>
      </c>
      <c r="C44" s="411" t="s">
        <v>3427</v>
      </c>
      <c r="D44" s="386">
        <v>100</v>
      </c>
      <c r="E44" s="411" t="s">
        <v>3427</v>
      </c>
      <c r="F44" s="412">
        <f>SUMIF(125:125,E44,126:126)-SUMIF(125:125,C44,126:126)+100</f>
        <v>100</v>
      </c>
      <c r="G44" s="411" t="s">
        <v>3427</v>
      </c>
      <c r="H44" s="386">
        <f>SUMIF(125:125,G44,126:126)-SUMIF(125:125,C44,126:126)+100</f>
        <v>100</v>
      </c>
      <c r="I44" s="411" t="s">
        <v>3427</v>
      </c>
      <c r="J44" s="386">
        <f>SUMIF(125:125,I44,126:126)-SUMIF(125:125,C44,126:126)+100</f>
        <v>100</v>
      </c>
      <c r="K44" s="561"/>
      <c r="L44" s="2721"/>
      <c r="M44" s="2715"/>
      <c r="N44" s="2715"/>
      <c r="O44" s="2715"/>
      <c r="P44" s="3832"/>
      <c r="Q44" s="1352" t="str">
        <f t="shared" si="11"/>
        <v>内部装修维护情况</v>
      </c>
      <c r="R44" s="705" t="s">
        <v>14</v>
      </c>
      <c r="S44" s="706">
        <f t="shared" si="12"/>
        <v>100</v>
      </c>
      <c r="T44" s="705" t="s">
        <v>14</v>
      </c>
      <c r="U44" s="706">
        <f t="shared" si="13"/>
        <v>100</v>
      </c>
      <c r="V44" s="705" t="s">
        <v>14</v>
      </c>
      <c r="W44" s="706">
        <f t="shared" si="14"/>
        <v>100</v>
      </c>
      <c r="X44" s="1355"/>
      <c r="Y44" s="3834"/>
      <c r="Z44" s="1356" t="str">
        <f t="shared" si="15"/>
        <v>内部装修维护情况</v>
      </c>
      <c r="AA44" s="1353">
        <f t="shared" si="3"/>
        <v>1</v>
      </c>
      <c r="AB44" s="1353">
        <f t="shared" si="4"/>
        <v>1</v>
      </c>
      <c r="AC44" s="1962">
        <f t="shared" si="5"/>
        <v>1</v>
      </c>
    </row>
    <row r="45" spans="1:29" s="108" customFormat="1" ht="15">
      <c r="A45" s="424"/>
      <c r="B45" s="3508" t="s">
        <v>3952</v>
      </c>
      <c r="C45" s="3509" t="s">
        <v>3953</v>
      </c>
      <c r="D45" s="127">
        <v>100</v>
      </c>
      <c r="E45" s="3510" t="s">
        <v>3953</v>
      </c>
      <c r="F45" s="376">
        <f>SUMIF(127:127,E45,128:128)-SUMIF(127:127,C45,128:128)+100</f>
        <v>100</v>
      </c>
      <c r="G45" s="3510" t="s">
        <v>3960</v>
      </c>
      <c r="H45" s="127">
        <f>SUMIF(127:127,G45,128:128)-SUMIF(127:127,C45,128:128)+100</f>
        <v>100</v>
      </c>
      <c r="I45" s="3510" t="s">
        <v>3959</v>
      </c>
      <c r="J45" s="127">
        <f>SUMIF(127:127,I45,128:128)-SUMIF(127:127,C45,128:128)+100</f>
        <v>100</v>
      </c>
      <c r="K45" s="562"/>
      <c r="L45" s="2716"/>
      <c r="M45" s="2717"/>
      <c r="N45" s="2717"/>
      <c r="O45" s="2717"/>
      <c r="P45" s="3832"/>
      <c r="Q45" s="1343" t="str">
        <f t="shared" si="11"/>
        <v>是否含地下车库</v>
      </c>
      <c r="R45" s="701" t="s">
        <v>14</v>
      </c>
      <c r="S45" s="702">
        <f t="shared" si="12"/>
        <v>100</v>
      </c>
      <c r="T45" s="701" t="s">
        <v>14</v>
      </c>
      <c r="U45" s="702">
        <f t="shared" si="13"/>
        <v>100</v>
      </c>
      <c r="V45" s="701" t="s">
        <v>14</v>
      </c>
      <c r="W45" s="702">
        <f t="shared" si="14"/>
        <v>100</v>
      </c>
      <c r="X45" s="703"/>
      <c r="Y45" s="3834"/>
      <c r="Z45" s="52" t="str">
        <f t="shared" si="15"/>
        <v>是否含地下车库</v>
      </c>
      <c r="AA45" s="704">
        <f t="shared" si="3"/>
        <v>1</v>
      </c>
      <c r="AB45" s="704">
        <f t="shared" si="4"/>
        <v>1</v>
      </c>
      <c r="AC45" s="1959">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1"/>
      <c r="M46" s="2715"/>
      <c r="N46" s="2715"/>
      <c r="O46" s="2715"/>
      <c r="P46" s="3832"/>
      <c r="Q46" s="1352">
        <f t="shared" si="11"/>
        <v>111</v>
      </c>
      <c r="R46" s="705" t="s">
        <v>14</v>
      </c>
      <c r="S46" s="706">
        <f t="shared" si="12"/>
        <v>100</v>
      </c>
      <c r="T46" s="705" t="s">
        <v>14</v>
      </c>
      <c r="U46" s="706">
        <f t="shared" si="13"/>
        <v>100</v>
      </c>
      <c r="V46" s="705" t="s">
        <v>14</v>
      </c>
      <c r="W46" s="706">
        <f t="shared" si="14"/>
        <v>100</v>
      </c>
      <c r="X46" s="1355"/>
      <c r="Y46" s="3834"/>
      <c r="Z46" s="1356">
        <f t="shared" si="15"/>
        <v>111</v>
      </c>
      <c r="AA46" s="1353">
        <f t="shared" si="3"/>
        <v>1</v>
      </c>
      <c r="AB46" s="1353">
        <f t="shared" si="4"/>
        <v>1</v>
      </c>
      <c r="AC46" s="1962">
        <f t="shared" si="5"/>
        <v>1</v>
      </c>
    </row>
    <row r="47" spans="1:29" ht="15.75"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1"/>
      <c r="M47" s="2715"/>
      <c r="N47" s="2715"/>
      <c r="O47" s="2715"/>
      <c r="P47" s="3833"/>
      <c r="Q47" s="1352">
        <f t="shared" si="11"/>
        <v>111</v>
      </c>
      <c r="R47" s="705" t="s">
        <v>14</v>
      </c>
      <c r="S47" s="706">
        <f t="shared" si="12"/>
        <v>100</v>
      </c>
      <c r="T47" s="705" t="s">
        <v>14</v>
      </c>
      <c r="U47" s="706">
        <f t="shared" si="13"/>
        <v>100</v>
      </c>
      <c r="V47" s="705" t="s">
        <v>14</v>
      </c>
      <c r="W47" s="706">
        <f t="shared" si="14"/>
        <v>100</v>
      </c>
      <c r="X47" s="1355"/>
      <c r="Y47" s="3835"/>
      <c r="Z47" s="1356">
        <f t="shared" si="15"/>
        <v>111</v>
      </c>
      <c r="AA47" s="1353">
        <f t="shared" si="3"/>
        <v>1</v>
      </c>
      <c r="AB47" s="1353">
        <f t="shared" si="4"/>
        <v>1</v>
      </c>
      <c r="AC47" s="1962">
        <f t="shared" si="5"/>
        <v>1</v>
      </c>
    </row>
    <row r="48" spans="1:29" ht="15">
      <c r="A48" s="430" t="s">
        <v>1708</v>
      </c>
      <c r="B48" s="431"/>
      <c r="C48" s="1154" t="s">
        <v>0</v>
      </c>
      <c r="D48" s="1155"/>
      <c r="E48" s="1156">
        <f>ROUND(2037042000/E34,0)</f>
        <v>34977</v>
      </c>
      <c r="F48" s="1157"/>
      <c r="G48" s="1158">
        <f>案例!O4</f>
        <v>34023</v>
      </c>
      <c r="H48" s="1159"/>
      <c r="I48" s="1156">
        <f>案例!K236</f>
        <v>40627</v>
      </c>
      <c r="J48" s="436"/>
      <c r="K48" s="714"/>
      <c r="L48" s="2723"/>
      <c r="M48" s="2715"/>
      <c r="N48" s="2715"/>
      <c r="O48" s="2715"/>
      <c r="P48" s="3809" t="str">
        <f>A48</f>
        <v>成交单价（元/平方米）</v>
      </c>
      <c r="Q48" s="3827"/>
      <c r="R48" s="3828">
        <f>E48</f>
        <v>34977</v>
      </c>
      <c r="S48" s="3828"/>
      <c r="T48" s="3828">
        <f>G48</f>
        <v>34023</v>
      </c>
      <c r="U48" s="3828"/>
      <c r="V48" s="3828">
        <f>I48</f>
        <v>40627</v>
      </c>
      <c r="W48" s="3828"/>
      <c r="X48" s="397"/>
      <c r="Y48" s="712"/>
      <c r="Z48" s="397"/>
      <c r="AA48" s="397"/>
      <c r="AB48" s="397"/>
      <c r="AC48" s="578"/>
    </row>
    <row r="49" spans="1:29" ht="15.75" thickBot="1">
      <c r="A49" s="437" t="s">
        <v>1793</v>
      </c>
      <c r="B49" s="438"/>
      <c r="C49" s="1160">
        <f>R50</f>
        <v>37484</v>
      </c>
      <c r="D49" s="2317" t="s">
        <v>2138</v>
      </c>
      <c r="E49" s="1161">
        <f>R49</f>
        <v>41263</v>
      </c>
      <c r="F49" s="2318"/>
      <c r="G49" s="1160">
        <f>T49</f>
        <v>31673</v>
      </c>
      <c r="H49" s="2318"/>
      <c r="I49" s="1161">
        <f>V49</f>
        <v>39516</v>
      </c>
      <c r="J49" s="2318"/>
      <c r="K49" s="2320">
        <f>F49+H49+J49</f>
        <v>0</v>
      </c>
      <c r="L49" s="2723"/>
      <c r="M49" s="2715"/>
      <c r="N49" s="2715"/>
      <c r="O49" s="2715"/>
      <c r="P49" s="3809" t="str">
        <f>A49</f>
        <v>比较价值（元/平方米）</v>
      </c>
      <c r="Q49" s="3827"/>
      <c r="R49" s="3828">
        <f>IF(F1="售价",ROUND(PRODUCT(R48,AA7:AA47),0),ROUND(PRODUCT(R48,AA7:AA47),1))</f>
        <v>41263</v>
      </c>
      <c r="S49" s="3828"/>
      <c r="T49" s="3828">
        <f>IF(F1="售价",ROUND(PRODUCT(T48,AB7:AB47),0),ROUND(PRODUCT(T48,AB7:AB47),1))</f>
        <v>31673</v>
      </c>
      <c r="U49" s="3828"/>
      <c r="V49" s="3828">
        <f>IF(F1="售价",ROUND(PRODUCT(V48,AC7:AC47),0),ROUND(PRODUCT(V48,AC7:AC47),1))</f>
        <v>39516</v>
      </c>
      <c r="W49" s="3828"/>
      <c r="X49" s="397"/>
      <c r="Y49" s="397"/>
      <c r="Z49" s="397"/>
      <c r="AA49" s="397"/>
      <c r="AB49" s="397"/>
      <c r="AC49" s="578"/>
    </row>
    <row r="50" spans="1:29" ht="15.75" thickBot="1">
      <c r="A50" s="441" t="s">
        <v>1794</v>
      </c>
      <c r="B50" s="442"/>
      <c r="C50" s="1163">
        <f>R50</f>
        <v>37484</v>
      </c>
      <c r="D50" s="1163"/>
      <c r="E50" s="1163"/>
      <c r="F50" s="1163"/>
      <c r="G50" s="1163"/>
      <c r="H50" s="1163"/>
      <c r="I50" s="1163"/>
      <c r="J50" s="443"/>
      <c r="K50" s="715"/>
      <c r="L50" s="2723"/>
      <c r="M50" s="2715"/>
      <c r="N50" s="2715"/>
      <c r="O50" s="2715"/>
      <c r="P50" s="3853" t="str">
        <f>A50</f>
        <v>估价对象XX用房的比较价值（楼面单价，元/平方米）</v>
      </c>
      <c r="Q50" s="3854"/>
      <c r="R50" s="3855">
        <f>IF(F1="售价",ROUND(IF(D49="简单平均",AVERAGE(R49:V49),R49*F49+T49*H49+V49*J49),0),ROUND(IF(D49="简单平均",AVERAGE(R49:V49),R49*F49+T49*H49+V49*J49),1))</f>
        <v>37484</v>
      </c>
      <c r="S50" s="3855"/>
      <c r="T50" s="3855"/>
      <c r="U50" s="3855"/>
      <c r="V50" s="3855"/>
      <c r="W50" s="3855"/>
      <c r="X50" s="1946"/>
      <c r="Y50" s="1946"/>
      <c r="Z50" s="1946"/>
      <c r="AA50" s="1946"/>
      <c r="AB50" s="1946"/>
      <c r="AC50" s="1947"/>
    </row>
    <row r="51" spans="1:29">
      <c r="A51" s="2724"/>
      <c r="B51" s="2724"/>
      <c r="C51" s="2724"/>
      <c r="D51" s="2724"/>
      <c r="E51" s="2724"/>
      <c r="F51" s="2724"/>
      <c r="G51" s="3511"/>
      <c r="H51" s="2724"/>
      <c r="I51" s="2724"/>
      <c r="J51" s="2724"/>
      <c r="K51" s="2729"/>
      <c r="L51" s="2725"/>
      <c r="M51" s="2724"/>
      <c r="N51" s="2724"/>
      <c r="O51" s="2724"/>
      <c r="P51" s="2755"/>
      <c r="Q51" s="2724"/>
      <c r="R51" s="2724"/>
      <c r="S51" s="2724"/>
      <c r="T51" s="2724"/>
      <c r="U51" s="2724"/>
      <c r="V51" s="2724"/>
      <c r="W51" s="2724"/>
      <c r="X51" s="2724"/>
      <c r="Y51" s="2724"/>
      <c r="Z51" s="2724"/>
      <c r="AA51" s="2724"/>
      <c r="AB51" s="2724"/>
      <c r="AC51" s="2724"/>
    </row>
    <row r="52" spans="1:29">
      <c r="A52" s="2724"/>
      <c r="B52" s="2724"/>
      <c r="C52" s="2724"/>
      <c r="D52" s="2724"/>
      <c r="E52" s="2724"/>
      <c r="F52" s="2724"/>
      <c r="G52" s="2724"/>
      <c r="H52" s="2724"/>
      <c r="I52" s="2724"/>
      <c r="J52" s="2724"/>
      <c r="K52" s="2729"/>
      <c r="L52" s="2725"/>
      <c r="M52" s="2724"/>
      <c r="N52" s="2724"/>
      <c r="O52" s="2724"/>
      <c r="P52" s="2755"/>
      <c r="Q52" s="2724"/>
      <c r="R52" s="2724"/>
      <c r="S52" s="2724"/>
      <c r="T52" s="2724"/>
      <c r="U52" s="2724"/>
      <c r="V52" s="2724"/>
      <c r="W52" s="2724"/>
      <c r="X52" s="2724"/>
      <c r="Y52" s="2724"/>
      <c r="Z52" s="2724"/>
      <c r="AA52" s="2724"/>
      <c r="AB52" s="2724"/>
      <c r="AC52" s="2724"/>
    </row>
    <row r="53" spans="1:29" ht="13.5" customHeight="1">
      <c r="A53" s="2724"/>
      <c r="B53" s="2724"/>
      <c r="C53" s="446" t="s">
        <v>1795</v>
      </c>
      <c r="D53" s="447"/>
      <c r="E53" s="448">
        <f>IF(E48&lt;E49,E49/E48-1,E48/E49-1)</f>
        <v>0.17971810046602044</v>
      </c>
      <c r="F53" s="449" t="str">
        <f>IF(OR(E53&gt;=0.3,E53&lt;=-0.3),"超过30%","")</f>
        <v/>
      </c>
      <c r="G53" s="448">
        <f>IF(G48&lt;G49,G49/G48-1,G48/G49-1)</f>
        <v>7.4195687178353786E-2</v>
      </c>
      <c r="H53" s="449" t="str">
        <f>IF(OR(G53&gt;=0.3,G53&lt;=-0.3),"超过30%","")</f>
        <v/>
      </c>
      <c r="I53" s="448">
        <f>IF(I48&lt;I49,I49/I48-1,I48/I49-1)</f>
        <v>2.811519384553085E-2</v>
      </c>
      <c r="J53" s="449" t="str">
        <f>IF(OR(I53&gt;=0.3,I53&lt;=-0.3),"超过30%","")</f>
        <v/>
      </c>
      <c r="K53" s="2729"/>
      <c r="L53" s="2725"/>
      <c r="M53" s="2724"/>
      <c r="N53" s="2724"/>
      <c r="O53" s="2724"/>
      <c r="P53" s="2755"/>
      <c r="Q53" s="2724"/>
      <c r="R53" s="2724"/>
      <c r="S53" s="2724"/>
      <c r="T53" s="2724"/>
      <c r="U53" s="2724"/>
      <c r="V53" s="2724"/>
      <c r="W53" s="2724"/>
      <c r="X53" s="2724"/>
      <c r="Y53" s="2724"/>
      <c r="Z53" s="2724"/>
      <c r="AA53" s="2724"/>
      <c r="AB53" s="2724"/>
      <c r="AC53" s="2724"/>
    </row>
    <row r="54" spans="1:29" ht="13.5" customHeight="1">
      <c r="A54" s="2724"/>
      <c r="B54" s="2724"/>
      <c r="C54" s="446" t="s">
        <v>1796</v>
      </c>
      <c r="D54" s="450"/>
      <c r="E54" s="448">
        <f>IF(E49&lt;G49,G49/E49-1,E49/G49-1)</f>
        <v>0.30278154895336717</v>
      </c>
      <c r="F54" s="449" t="str">
        <f>IF(OR(E54&gt;=0.2,E54&lt;=-0.2),"超过20%","")</f>
        <v>超过20%</v>
      </c>
      <c r="G54" s="448">
        <f>IF(G49&lt;I49,I49/G49-1,G49/I49-1)</f>
        <v>0.24762415937865057</v>
      </c>
      <c r="H54" s="449" t="str">
        <f>IF(OR(G54&gt;=0.2,G54&lt;=-0.2),"超过20%","")</f>
        <v>超过20%</v>
      </c>
      <c r="I54" s="448">
        <f>IF(I49&lt;E49,E49/I49-1,I49/E49-1)</f>
        <v>4.4209940277355919E-2</v>
      </c>
      <c r="J54" s="449" t="str">
        <f>IF(OR(I54&gt;=0.2,I54&lt;=-0.2),"超过20%","")</f>
        <v/>
      </c>
      <c r="K54" s="2729"/>
      <c r="L54" s="2725"/>
      <c r="M54" s="2724"/>
      <c r="N54" s="2724"/>
      <c r="O54" s="2724"/>
      <c r="P54" s="2755"/>
      <c r="Q54" s="2724"/>
      <c r="R54" s="2724"/>
      <c r="S54" s="2724"/>
      <c r="T54" s="2724"/>
      <c r="U54" s="2724"/>
      <c r="V54" s="2724"/>
      <c r="W54" s="2724"/>
      <c r="X54" s="2724"/>
      <c r="Y54" s="2724"/>
      <c r="Z54" s="2724"/>
      <c r="AA54" s="2724"/>
      <c r="AB54" s="2724"/>
      <c r="AC54" s="2724"/>
    </row>
    <row r="55" spans="1:29" s="451" customFormat="1" ht="13.5" customHeight="1">
      <c r="A55" s="2727"/>
      <c r="B55" s="2727"/>
      <c r="C55" s="446" t="s">
        <v>1797</v>
      </c>
      <c r="D55" s="450"/>
      <c r="E55" s="448">
        <f>IF(E48&lt;G48,G48/E48-1,E48/G48-1)</f>
        <v>2.803985539194076E-2</v>
      </c>
      <c r="F55" s="449" t="str">
        <f>IF(OR(E55&gt;=0.3,E55&lt;=-0.3),"超过30%","")</f>
        <v/>
      </c>
      <c r="G55" s="448">
        <f>IF(G48&lt;I48,I48/G48-1,G48/I48-1)</f>
        <v>0.19410398847838217</v>
      </c>
      <c r="H55" s="449" t="str">
        <f>IF(OR(G55&gt;=0.3,G55&lt;=-0.3),"超过30%","")</f>
        <v/>
      </c>
      <c r="I55" s="448">
        <f>IF(I48&lt;E48,E48/I48-1,I48/E48-1)</f>
        <v>0.16153472281785164</v>
      </c>
      <c r="J55" s="449" t="str">
        <f>IF(OR(I55&gt;=0.3,I55&lt;=-0.3),"超过30%","")</f>
        <v/>
      </c>
      <c r="K55" s="2732"/>
      <c r="L55" s="2726"/>
      <c r="M55" s="2727"/>
      <c r="N55" s="2727"/>
      <c r="O55" s="2727"/>
      <c r="P55" s="2756"/>
      <c r="Q55" s="2727"/>
      <c r="R55" s="2727"/>
      <c r="S55" s="2727"/>
      <c r="T55" s="2727"/>
      <c r="U55" s="2727"/>
      <c r="V55" s="2727"/>
      <c r="W55" s="2727"/>
      <c r="X55" s="2727"/>
      <c r="Y55" s="2727"/>
      <c r="Z55" s="2727"/>
      <c r="AA55" s="2727"/>
      <c r="AB55" s="2727"/>
      <c r="AC55" s="2727"/>
    </row>
    <row r="56" spans="1:29" s="451" customFormat="1">
      <c r="A56" s="2727"/>
      <c r="B56" s="2730"/>
      <c r="C56" s="2731"/>
      <c r="D56" s="2727"/>
      <c r="E56" s="2727"/>
      <c r="F56" s="2727"/>
      <c r="G56" s="2727"/>
      <c r="H56" s="2727"/>
      <c r="I56" s="2727"/>
      <c r="J56" s="2727"/>
      <c r="K56" s="2732"/>
      <c r="L56" s="2726"/>
      <c r="M56" s="2727"/>
      <c r="N56" s="2727"/>
      <c r="O56" s="2727"/>
      <c r="P56" s="2756"/>
      <c r="Q56" s="2727"/>
      <c r="R56" s="2727"/>
      <c r="S56" s="2727"/>
      <c r="T56" s="2727"/>
      <c r="U56" s="2727"/>
      <c r="V56" s="2727"/>
      <c r="W56" s="2727"/>
      <c r="X56" s="2727"/>
      <c r="Y56" s="2727"/>
      <c r="Z56" s="2727"/>
      <c r="AA56" s="2727"/>
      <c r="AB56" s="2727"/>
      <c r="AC56" s="2727"/>
    </row>
    <row r="57" spans="1:29">
      <c r="A57" s="2724"/>
      <c r="B57" s="2730"/>
      <c r="C57" s="2731"/>
      <c r="D57" s="2724"/>
      <c r="E57" s="2724"/>
      <c r="F57" s="2724"/>
      <c r="G57" s="2724"/>
      <c r="H57" s="2724"/>
      <c r="I57" s="2724"/>
      <c r="J57" s="2724"/>
      <c r="K57" s="2729"/>
      <c r="L57" s="2725"/>
      <c r="M57" s="2724"/>
      <c r="N57" s="2724"/>
      <c r="O57" s="2724"/>
      <c r="P57" s="2755"/>
      <c r="Q57" s="2724"/>
      <c r="R57" s="2724"/>
      <c r="S57" s="2724"/>
      <c r="T57" s="2724"/>
      <c r="U57" s="2724"/>
      <c r="V57" s="2724"/>
      <c r="W57" s="2724"/>
      <c r="X57" s="2724"/>
      <c r="Y57" s="2724"/>
      <c r="Z57" s="2724"/>
      <c r="AA57" s="2724"/>
      <c r="AB57" s="2724"/>
      <c r="AC57" s="2724"/>
    </row>
    <row r="58" spans="1:29" ht="21.75" thickBot="1">
      <c r="A58" s="694" t="s">
        <v>1798</v>
      </c>
      <c r="B58" s="690"/>
      <c r="C58" s="695"/>
      <c r="D58" s="695"/>
      <c r="E58" s="695"/>
      <c r="F58" s="696"/>
      <c r="G58" s="696"/>
      <c r="H58" s="695"/>
      <c r="I58" s="695"/>
      <c r="J58" s="695"/>
      <c r="K58" s="697"/>
      <c r="L58" s="942"/>
      <c r="M58" s="940"/>
      <c r="N58" s="2768"/>
      <c r="O58" s="2768"/>
      <c r="P58" s="2757"/>
      <c r="Q58" s="2738"/>
      <c r="R58" s="2724"/>
      <c r="S58" s="2724"/>
      <c r="T58" s="2724"/>
      <c r="U58" s="2724"/>
      <c r="V58" s="2724"/>
      <c r="W58" s="2724"/>
      <c r="X58" s="2724"/>
      <c r="Y58" s="2724"/>
      <c r="Z58" s="2724"/>
      <c r="AA58" s="2724"/>
      <c r="AB58" s="2724"/>
      <c r="AC58" s="2724"/>
    </row>
    <row r="59" spans="1:29" s="457" customFormat="1" ht="15">
      <c r="A59" s="454" t="s">
        <v>1679</v>
      </c>
      <c r="B59" s="455"/>
      <c r="C59" s="1184" t="str">
        <f>YEAR(C7)&amp;"-"&amp;MONTH(C7)</f>
        <v>2022-12</v>
      </c>
      <c r="D59" s="1185">
        <f>EDATE(C59,-1)</f>
        <v>44866</v>
      </c>
      <c r="E59" s="1185">
        <f>EDATE(D59,-1)</f>
        <v>44835</v>
      </c>
      <c r="F59" s="1185">
        <f t="shared" ref="F59:O59" si="16">EDATE(E59,-1)</f>
        <v>44805</v>
      </c>
      <c r="G59" s="1185">
        <f t="shared" si="16"/>
        <v>44774</v>
      </c>
      <c r="H59" s="1185">
        <f t="shared" si="16"/>
        <v>44743</v>
      </c>
      <c r="I59" s="1185">
        <f t="shared" si="16"/>
        <v>44713</v>
      </c>
      <c r="J59" s="1185">
        <f t="shared" si="16"/>
        <v>44682</v>
      </c>
      <c r="K59" s="1185">
        <f t="shared" si="16"/>
        <v>44652</v>
      </c>
      <c r="L59" s="1185">
        <f t="shared" si="16"/>
        <v>44621</v>
      </c>
      <c r="M59" s="1185">
        <f t="shared" si="16"/>
        <v>44593</v>
      </c>
      <c r="N59" s="1185">
        <f t="shared" si="16"/>
        <v>44562</v>
      </c>
      <c r="O59" s="1185">
        <f t="shared" si="16"/>
        <v>44531</v>
      </c>
      <c r="P59" s="2758"/>
      <c r="Q59" s="2740"/>
      <c r="R59" s="2740"/>
      <c r="S59" s="2740"/>
      <c r="T59" s="2740"/>
      <c r="U59" s="2740"/>
      <c r="V59" s="2740"/>
      <c r="W59" s="2740"/>
      <c r="X59" s="2740"/>
      <c r="Y59" s="2740"/>
      <c r="Z59" s="2740"/>
      <c r="AA59" s="2740"/>
      <c r="AB59" s="2740"/>
      <c r="AC59" s="2740"/>
    </row>
    <row r="60" spans="1:29" s="108" customFormat="1" ht="15">
      <c r="A60" s="458"/>
      <c r="B60" s="459"/>
      <c r="C60" s="1183">
        <v>100</v>
      </c>
      <c r="D60" s="461">
        <v>100</v>
      </c>
      <c r="E60" s="461">
        <v>100</v>
      </c>
      <c r="F60" s="461">
        <v>100</v>
      </c>
      <c r="G60" s="461">
        <v>100</v>
      </c>
      <c r="H60" s="461">
        <v>100</v>
      </c>
      <c r="I60" s="461">
        <v>100</v>
      </c>
      <c r="J60" s="461">
        <v>100</v>
      </c>
      <c r="K60" s="461">
        <v>100</v>
      </c>
      <c r="L60" s="461">
        <v>100</v>
      </c>
      <c r="M60" s="461">
        <v>100</v>
      </c>
      <c r="N60" s="461">
        <v>100</v>
      </c>
      <c r="O60" s="461">
        <v>99</v>
      </c>
      <c r="P60" s="2759"/>
      <c r="Q60" s="2660"/>
      <c r="R60" s="2660"/>
      <c r="S60" s="2660"/>
      <c r="T60" s="2660"/>
      <c r="U60" s="2660"/>
      <c r="V60" s="2660"/>
      <c r="W60" s="2660"/>
      <c r="X60" s="2660"/>
      <c r="Y60" s="2660"/>
      <c r="Z60" s="2660"/>
      <c r="AA60" s="2660"/>
      <c r="AB60" s="2660"/>
      <c r="AC60" s="2660"/>
    </row>
    <row r="61" spans="1:29" s="108" customFormat="1" ht="15.75" thickBot="1">
      <c r="A61" s="464" t="s">
        <v>1716</v>
      </c>
      <c r="B61" s="465"/>
      <c r="C61" s="466"/>
      <c r="D61" s="467"/>
      <c r="E61" s="467"/>
      <c r="F61" s="467"/>
      <c r="G61" s="467"/>
      <c r="H61" s="467"/>
      <c r="I61" s="467"/>
      <c r="J61" s="467"/>
      <c r="K61" s="467"/>
      <c r="L61" s="467"/>
      <c r="M61" s="468"/>
      <c r="N61" s="467"/>
      <c r="O61" s="468"/>
      <c r="P61" s="2759"/>
      <c r="Q61" s="2738"/>
      <c r="R61" s="2660"/>
      <c r="S61" s="2660"/>
      <c r="T61" s="2660"/>
      <c r="U61" s="2660"/>
      <c r="V61" s="2660"/>
      <c r="W61" s="2660"/>
      <c r="X61" s="2660"/>
      <c r="Y61" s="2660"/>
      <c r="Z61" s="2660"/>
      <c r="AA61" s="2660"/>
      <c r="AB61" s="2660"/>
      <c r="AC61" s="2660"/>
    </row>
    <row r="62" spans="1:29" s="108" customFormat="1" ht="15">
      <c r="A62" s="470" t="s">
        <v>1681</v>
      </c>
      <c r="B62" s="459"/>
      <c r="C62" s="471" t="s">
        <v>1776</v>
      </c>
      <c r="D62" s="3523" t="s">
        <v>4002</v>
      </c>
      <c r="E62" s="472"/>
      <c r="F62" s="472"/>
      <c r="G62" s="472"/>
      <c r="H62" s="472"/>
      <c r="I62" s="472"/>
      <c r="J62" s="472"/>
      <c r="K62" s="472"/>
      <c r="L62" s="473"/>
      <c r="M62" s="474"/>
      <c r="N62" s="2751"/>
      <c r="O62" s="2751"/>
      <c r="P62" s="2760"/>
      <c r="Q62" s="2738"/>
      <c r="R62" s="2660"/>
      <c r="S62" s="2660"/>
      <c r="T62" s="2660"/>
      <c r="U62" s="2660"/>
      <c r="V62" s="2660"/>
      <c r="W62" s="2660"/>
      <c r="X62" s="2660"/>
      <c r="Y62" s="2660"/>
      <c r="Z62" s="2660"/>
      <c r="AA62" s="2660"/>
      <c r="AB62" s="2660"/>
      <c r="AC62" s="2660"/>
    </row>
    <row r="63" spans="1:29" s="108" customFormat="1" ht="15.75" thickBot="1">
      <c r="A63" s="470"/>
      <c r="B63" s="459"/>
      <c r="C63" s="460">
        <v>100</v>
      </c>
      <c r="D63" s="461">
        <v>80</v>
      </c>
      <c r="E63" s="461"/>
      <c r="F63" s="461"/>
      <c r="G63" s="461"/>
      <c r="H63" s="461"/>
      <c r="I63" s="461"/>
      <c r="J63" s="461"/>
      <c r="K63" s="461"/>
      <c r="L63" s="461"/>
      <c r="M63" s="463"/>
      <c r="N63" s="2751"/>
      <c r="O63" s="2751"/>
      <c r="P63" s="2759"/>
      <c r="Q63" s="2738"/>
      <c r="R63" s="2660"/>
      <c r="S63" s="2660"/>
      <c r="T63" s="2660"/>
      <c r="U63" s="2660"/>
      <c r="V63" s="2660"/>
      <c r="W63" s="2660"/>
      <c r="X63" s="2660"/>
      <c r="Y63" s="2660"/>
      <c r="Z63" s="2660"/>
      <c r="AA63" s="2660"/>
      <c r="AB63" s="2660"/>
      <c r="AC63" s="2660"/>
    </row>
    <row r="64" spans="1:29">
      <c r="A64" s="476" t="s">
        <v>1719</v>
      </c>
      <c r="B64" s="477" t="s">
        <v>1685</v>
      </c>
      <c r="C64" s="478" t="str">
        <f>C9</f>
        <v>商业</v>
      </c>
      <c r="D64" s="3518" t="s">
        <v>4095</v>
      </c>
      <c r="E64" s="479"/>
      <c r="F64" s="479"/>
      <c r="G64" s="479"/>
      <c r="H64" s="479"/>
      <c r="I64" s="479"/>
      <c r="J64" s="479"/>
      <c r="K64" s="480"/>
      <c r="L64" s="481"/>
      <c r="M64" s="482"/>
      <c r="N64" s="2752"/>
      <c r="O64" s="2752"/>
      <c r="P64" s="2761"/>
      <c r="Q64" s="2738"/>
      <c r="R64" s="2724"/>
      <c r="S64" s="2724"/>
      <c r="T64" s="2724"/>
      <c r="U64" s="2724"/>
      <c r="V64" s="2724"/>
      <c r="W64" s="2724"/>
      <c r="X64" s="2724"/>
      <c r="Y64" s="2724"/>
      <c r="Z64" s="2724"/>
      <c r="AA64" s="2724"/>
      <c r="AB64" s="2724"/>
      <c r="AC64" s="2724"/>
    </row>
    <row r="65" spans="1:29" ht="15.75" thickBot="1">
      <c r="A65" s="483"/>
      <c r="B65" s="484"/>
      <c r="C65" s="485">
        <v>100</v>
      </c>
      <c r="D65" s="485">
        <v>98</v>
      </c>
      <c r="E65" s="485"/>
      <c r="F65" s="485"/>
      <c r="G65" s="485"/>
      <c r="H65" s="485"/>
      <c r="I65" s="485"/>
      <c r="J65" s="485"/>
      <c r="K65" s="485"/>
      <c r="L65" s="485"/>
      <c r="M65" s="486"/>
      <c r="N65" s="2753"/>
      <c r="O65" s="2753"/>
      <c r="P65" s="2761"/>
      <c r="Q65" s="2738"/>
      <c r="R65" s="2724"/>
      <c r="S65" s="2724"/>
      <c r="T65" s="2724"/>
      <c r="U65" s="2724"/>
      <c r="V65" s="2724"/>
      <c r="W65" s="2724"/>
      <c r="X65" s="2724"/>
      <c r="Y65" s="2724"/>
      <c r="Z65" s="2724"/>
      <c r="AA65" s="2724"/>
      <c r="AB65" s="2724"/>
      <c r="AC65" s="2724"/>
    </row>
    <row r="66" spans="1:29" ht="27.75" thickTop="1">
      <c r="A66" s="483"/>
      <c r="B66" s="487" t="s">
        <v>1688</v>
      </c>
      <c r="C66" s="3516">
        <f>C10</f>
        <v>21.67</v>
      </c>
      <c r="D66" s="3516">
        <f>E10</f>
        <v>31.05</v>
      </c>
      <c r="E66" s="3516">
        <f>G10</f>
        <v>42.24</v>
      </c>
      <c r="F66" s="3516">
        <f>I10</f>
        <v>33</v>
      </c>
      <c r="G66" s="532"/>
      <c r="H66" s="532"/>
      <c r="I66" s="532"/>
      <c r="J66" s="532"/>
      <c r="K66" s="533"/>
      <c r="L66" s="534"/>
      <c r="M66" s="535"/>
      <c r="N66" s="2752"/>
      <c r="O66" s="2752"/>
      <c r="P66" s="2761"/>
      <c r="Q66" s="2738"/>
      <c r="R66" s="2724"/>
      <c r="S66" s="2724"/>
      <c r="T66" s="2724"/>
      <c r="U66" s="2724"/>
      <c r="V66" s="2724"/>
      <c r="W66" s="2724"/>
      <c r="X66" s="2724"/>
      <c r="Y66" s="2724"/>
      <c r="Z66" s="2724"/>
      <c r="AA66" s="2724"/>
      <c r="AB66" s="2724"/>
      <c r="AC66" s="2724"/>
    </row>
    <row r="67" spans="1:29" ht="15.75" thickBot="1">
      <c r="A67" s="483"/>
      <c r="B67" s="492"/>
      <c r="C67" s="485">
        <v>100</v>
      </c>
      <c r="D67" s="485">
        <v>106</v>
      </c>
      <c r="E67" s="485">
        <v>112</v>
      </c>
      <c r="F67" s="485">
        <v>106</v>
      </c>
      <c r="G67" s="485"/>
      <c r="H67" s="485"/>
      <c r="I67" s="485"/>
      <c r="J67" s="485"/>
      <c r="K67" s="485"/>
      <c r="L67" s="485"/>
      <c r="M67" s="486"/>
      <c r="N67" s="2753"/>
      <c r="O67" s="2753"/>
      <c r="P67" s="2761"/>
      <c r="Q67" s="2738"/>
      <c r="R67" s="2724"/>
      <c r="S67" s="2724"/>
      <c r="T67" s="2724"/>
      <c r="U67" s="2724"/>
      <c r="V67" s="2724"/>
      <c r="W67" s="2724"/>
      <c r="X67" s="2724"/>
      <c r="Y67" s="2724"/>
      <c r="Z67" s="2724"/>
      <c r="AA67" s="2724"/>
      <c r="AB67" s="2724"/>
      <c r="AC67" s="2724"/>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3"/>
      <c r="O68" s="2753"/>
      <c r="P68" s="2761"/>
      <c r="Q68" s="2738"/>
      <c r="R68" s="2724"/>
      <c r="S68" s="2724"/>
      <c r="T68" s="2724"/>
      <c r="U68" s="2724"/>
      <c r="V68" s="2724"/>
      <c r="W68" s="2724"/>
      <c r="X68" s="2724"/>
      <c r="Y68" s="2724"/>
      <c r="Z68" s="2724"/>
      <c r="AA68" s="2724"/>
      <c r="AB68" s="2724"/>
      <c r="AC68" s="2724"/>
    </row>
    <row r="69" spans="1:29" ht="15">
      <c r="A69" s="483"/>
      <c r="B69" s="497"/>
      <c r="C69" s="498">
        <v>0</v>
      </c>
      <c r="D69" s="498">
        <v>3</v>
      </c>
      <c r="E69" s="498"/>
      <c r="F69" s="498"/>
      <c r="G69" s="498"/>
      <c r="H69" s="498"/>
      <c r="I69" s="498"/>
      <c r="J69" s="498"/>
      <c r="K69" s="499"/>
      <c r="L69" s="500"/>
      <c r="M69" s="501"/>
      <c r="N69" s="2752"/>
      <c r="O69" s="2752"/>
      <c r="P69" s="2761"/>
      <c r="Q69" s="2738"/>
      <c r="R69" s="2724"/>
      <c r="S69" s="2724"/>
      <c r="T69" s="2724"/>
      <c r="U69" s="2724"/>
      <c r="V69" s="2724"/>
      <c r="W69" s="2724"/>
      <c r="X69" s="2724"/>
      <c r="Y69" s="2724"/>
      <c r="Z69" s="2724"/>
      <c r="AA69" s="2724"/>
      <c r="AB69" s="2724"/>
      <c r="AC69" s="2724"/>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3"/>
      <c r="O70" s="2753"/>
      <c r="P70" s="2761"/>
      <c r="Q70" s="2738"/>
      <c r="R70" s="2724"/>
      <c r="S70" s="2724"/>
      <c r="T70" s="2724"/>
      <c r="U70" s="2724"/>
      <c r="V70" s="2724"/>
      <c r="W70" s="2724"/>
      <c r="X70" s="2724"/>
      <c r="Y70" s="2724"/>
      <c r="Z70" s="2724"/>
      <c r="AA70" s="2724"/>
      <c r="AB70" s="2724"/>
      <c r="AC70" s="2724"/>
    </row>
    <row r="71" spans="1:29" s="422" customFormat="1" ht="15.75" thickTop="1">
      <c r="A71" s="502"/>
      <c r="B71" s="487">
        <f>B12</f>
        <v>111</v>
      </c>
      <c r="C71" s="503"/>
      <c r="D71" s="503"/>
      <c r="E71" s="503"/>
      <c r="F71" s="503"/>
      <c r="G71" s="503"/>
      <c r="H71" s="504"/>
      <c r="I71" s="504"/>
      <c r="J71" s="504"/>
      <c r="K71" s="504"/>
      <c r="L71" s="505"/>
      <c r="M71" s="506"/>
      <c r="N71" s="2754"/>
      <c r="O71" s="2754"/>
      <c r="P71" s="2762"/>
      <c r="Q71" s="2745"/>
      <c r="R71" s="2746"/>
      <c r="S71" s="2746"/>
      <c r="T71" s="2746"/>
      <c r="U71" s="2746"/>
      <c r="V71" s="2746"/>
      <c r="W71" s="2746"/>
      <c r="X71" s="2746"/>
      <c r="Y71" s="2746"/>
      <c r="Z71" s="2746"/>
      <c r="AA71" s="2746"/>
      <c r="AB71" s="2746"/>
      <c r="AC71" s="2746"/>
    </row>
    <row r="72" spans="1:29" s="422" customFormat="1" ht="15.75" thickBot="1">
      <c r="A72" s="502"/>
      <c r="B72" s="492"/>
      <c r="C72" s="509"/>
      <c r="D72" s="485"/>
      <c r="E72" s="485"/>
      <c r="F72" s="485"/>
      <c r="G72" s="485"/>
      <c r="H72" s="485"/>
      <c r="I72" s="485"/>
      <c r="J72" s="485"/>
      <c r="K72" s="485"/>
      <c r="L72" s="485"/>
      <c r="M72" s="486"/>
      <c r="N72" s="2753"/>
      <c r="O72" s="2753"/>
      <c r="P72" s="2762"/>
      <c r="Q72" s="2745"/>
      <c r="R72" s="2746"/>
      <c r="S72" s="2746"/>
      <c r="T72" s="2746"/>
      <c r="U72" s="2746"/>
      <c r="V72" s="2746"/>
      <c r="W72" s="2746"/>
      <c r="X72" s="2746"/>
      <c r="Y72" s="2746"/>
      <c r="Z72" s="2746"/>
      <c r="AA72" s="2746"/>
      <c r="AB72" s="2746"/>
      <c r="AC72" s="2746"/>
    </row>
    <row r="73" spans="1:29" s="422" customFormat="1" ht="15.75" thickTop="1">
      <c r="A73" s="502"/>
      <c r="B73" s="487">
        <f>B13</f>
        <v>111</v>
      </c>
      <c r="C73" s="503"/>
      <c r="D73" s="503"/>
      <c r="E73" s="503"/>
      <c r="F73" s="503"/>
      <c r="G73" s="503"/>
      <c r="H73" s="504"/>
      <c r="I73" s="504"/>
      <c r="J73" s="504"/>
      <c r="K73" s="504"/>
      <c r="L73" s="505"/>
      <c r="M73" s="506"/>
      <c r="N73" s="2754"/>
      <c r="O73" s="2754"/>
      <c r="P73" s="2763"/>
      <c r="Q73" s="2748"/>
      <c r="R73" s="2746"/>
      <c r="S73" s="2746"/>
      <c r="T73" s="2746"/>
      <c r="U73" s="2746"/>
      <c r="V73" s="2746"/>
      <c r="W73" s="2746"/>
      <c r="X73" s="2746"/>
      <c r="Y73" s="2746"/>
      <c r="Z73" s="2746"/>
      <c r="AA73" s="2746"/>
      <c r="AB73" s="2746"/>
      <c r="AC73" s="2746"/>
    </row>
    <row r="74" spans="1:29" s="422" customFormat="1" ht="15.75" thickBot="1">
      <c r="A74" s="502"/>
      <c r="B74" s="492"/>
      <c r="C74" s="509"/>
      <c r="D74" s="509"/>
      <c r="E74" s="509"/>
      <c r="F74" s="509"/>
      <c r="G74" s="509"/>
      <c r="H74" s="511"/>
      <c r="I74" s="511"/>
      <c r="J74" s="511"/>
      <c r="K74" s="511"/>
      <c r="L74" s="511"/>
      <c r="M74" s="512"/>
      <c r="N74" s="2754"/>
      <c r="O74" s="2754"/>
      <c r="P74" s="2762"/>
      <c r="Q74" s="2745"/>
      <c r="R74" s="2746"/>
      <c r="S74" s="2746"/>
      <c r="T74" s="2746"/>
      <c r="U74" s="2746"/>
      <c r="V74" s="2746"/>
      <c r="W74" s="2746"/>
      <c r="X74" s="2746"/>
      <c r="Y74" s="2746"/>
      <c r="Z74" s="2746"/>
      <c r="AA74" s="2746"/>
      <c r="AB74" s="2746"/>
      <c r="AC74" s="2746"/>
    </row>
    <row r="75" spans="1:29" s="422" customFormat="1" ht="15.75" thickTop="1">
      <c r="A75" s="502"/>
      <c r="B75" s="495">
        <f>B14</f>
        <v>111</v>
      </c>
      <c r="C75" s="472"/>
      <c r="D75" s="472"/>
      <c r="E75" s="472"/>
      <c r="F75" s="472"/>
      <c r="G75" s="472"/>
      <c r="H75" s="513"/>
      <c r="I75" s="513"/>
      <c r="J75" s="513"/>
      <c r="K75" s="513"/>
      <c r="L75" s="514"/>
      <c r="M75" s="515"/>
      <c r="N75" s="2754"/>
      <c r="O75" s="2754"/>
      <c r="P75" s="2764"/>
      <c r="Q75" s="2745"/>
      <c r="R75" s="2746"/>
      <c r="S75" s="2746"/>
      <c r="T75" s="2746"/>
      <c r="U75" s="2746"/>
      <c r="V75" s="2746"/>
      <c r="W75" s="2746"/>
      <c r="X75" s="2746"/>
      <c r="Y75" s="2746"/>
      <c r="Z75" s="2746"/>
      <c r="AA75" s="2746"/>
      <c r="AB75" s="2746"/>
      <c r="AC75" s="2746"/>
    </row>
    <row r="76" spans="1:29" s="422" customFormat="1" ht="15.75" thickBot="1">
      <c r="A76" s="517"/>
      <c r="B76" s="518"/>
      <c r="C76" s="519"/>
      <c r="D76" s="519"/>
      <c r="E76" s="519"/>
      <c r="F76" s="519"/>
      <c r="G76" s="519"/>
      <c r="H76" s="520"/>
      <c r="I76" s="520"/>
      <c r="J76" s="520"/>
      <c r="K76" s="520"/>
      <c r="L76" s="520"/>
      <c r="M76" s="521"/>
      <c r="N76" s="2754"/>
      <c r="O76" s="2754"/>
      <c r="P76" s="2762"/>
      <c r="Q76" s="2745"/>
      <c r="R76" s="2746"/>
      <c r="S76" s="2746"/>
      <c r="T76" s="2746"/>
      <c r="U76" s="2746"/>
      <c r="V76" s="2746"/>
      <c r="W76" s="2746"/>
      <c r="X76" s="2746"/>
      <c r="Y76" s="2746"/>
      <c r="Z76" s="2746"/>
      <c r="AA76" s="2746"/>
      <c r="AB76" s="2746"/>
      <c r="AC76" s="2746"/>
    </row>
    <row r="77" spans="1:29">
      <c r="A77" s="476" t="s">
        <v>1690</v>
      </c>
      <c r="B77" s="477" t="s">
        <v>1821</v>
      </c>
      <c r="C77" s="522" t="s">
        <v>1721</v>
      </c>
      <c r="D77" s="522" t="s">
        <v>1722</v>
      </c>
      <c r="E77" s="522" t="s">
        <v>1723</v>
      </c>
      <c r="F77" s="522" t="s">
        <v>1724</v>
      </c>
      <c r="G77" s="522" t="s">
        <v>1725</v>
      </c>
      <c r="H77" s="478"/>
      <c r="I77" s="478"/>
      <c r="J77" s="478"/>
      <c r="K77" s="523"/>
      <c r="L77" s="524"/>
      <c r="M77" s="525"/>
      <c r="N77" s="2752"/>
      <c r="O77" s="2752"/>
      <c r="P77" s="2765"/>
      <c r="Q77" s="2738"/>
      <c r="R77" s="2724"/>
      <c r="S77" s="2724"/>
      <c r="T77" s="2724"/>
      <c r="U77" s="2724"/>
      <c r="V77" s="2724"/>
      <c r="W77" s="2724"/>
      <c r="X77" s="2724"/>
      <c r="Y77" s="2724"/>
      <c r="Z77" s="2724"/>
      <c r="AA77" s="2724"/>
      <c r="AB77" s="2724"/>
      <c r="AC77" s="2724"/>
    </row>
    <row r="78" spans="1:29" ht="15.75" thickBot="1">
      <c r="A78" s="483"/>
      <c r="B78" s="492"/>
      <c r="C78" s="493">
        <v>100</v>
      </c>
      <c r="D78" s="493">
        <f>C78-$K15</f>
        <v>98</v>
      </c>
      <c r="E78" s="493">
        <f>D78-$K15</f>
        <v>96</v>
      </c>
      <c r="F78" s="493">
        <f>E78-$K15</f>
        <v>94</v>
      </c>
      <c r="G78" s="493">
        <f>F78-$K15</f>
        <v>92</v>
      </c>
      <c r="H78" s="493"/>
      <c r="I78" s="493"/>
      <c r="J78" s="493"/>
      <c r="K78" s="493"/>
      <c r="L78" s="493"/>
      <c r="M78" s="494"/>
      <c r="N78" s="2753"/>
      <c r="O78" s="2753"/>
      <c r="P78" s="2761"/>
      <c r="Q78" s="2738"/>
      <c r="R78" s="2724"/>
      <c r="S78" s="2724"/>
      <c r="T78" s="2724"/>
      <c r="U78" s="2724"/>
      <c r="V78" s="2724"/>
      <c r="W78" s="2724"/>
      <c r="X78" s="2724"/>
      <c r="Y78" s="2724"/>
      <c r="Z78" s="2724"/>
      <c r="AA78" s="2724"/>
      <c r="AB78" s="2724"/>
      <c r="AC78" s="2724"/>
    </row>
    <row r="79" spans="1:29" ht="15.75" thickTop="1">
      <c r="A79" s="483"/>
      <c r="B79" s="487" t="s">
        <v>1726</v>
      </c>
      <c r="C79" s="527" t="s">
        <v>1721</v>
      </c>
      <c r="D79" s="527" t="s">
        <v>1722</v>
      </c>
      <c r="E79" s="527" t="s">
        <v>1723</v>
      </c>
      <c r="F79" s="527" t="s">
        <v>1724</v>
      </c>
      <c r="G79" s="527" t="s">
        <v>1725</v>
      </c>
      <c r="H79" s="488"/>
      <c r="I79" s="488"/>
      <c r="J79" s="488"/>
      <c r="K79" s="489"/>
      <c r="L79" s="490"/>
      <c r="M79" s="491"/>
      <c r="N79" s="2752"/>
      <c r="O79" s="2752"/>
      <c r="P79" s="2761"/>
      <c r="Q79" s="2738"/>
      <c r="R79" s="2724"/>
      <c r="S79" s="2724"/>
      <c r="T79" s="2724"/>
      <c r="U79" s="2724"/>
      <c r="V79" s="2724"/>
      <c r="W79" s="2724"/>
      <c r="X79" s="2724"/>
      <c r="Y79" s="2724"/>
      <c r="Z79" s="2724"/>
      <c r="AA79" s="2724"/>
      <c r="AB79" s="2724"/>
      <c r="AC79" s="2724"/>
    </row>
    <row r="80" spans="1:29" ht="15.75" thickBot="1">
      <c r="A80" s="483"/>
      <c r="B80" s="492"/>
      <c r="C80" s="493">
        <v>100</v>
      </c>
      <c r="D80" s="493">
        <f>C80-$K17</f>
        <v>98</v>
      </c>
      <c r="E80" s="493">
        <f>D80-$K17</f>
        <v>96</v>
      </c>
      <c r="F80" s="493">
        <f>E80-$K17</f>
        <v>94</v>
      </c>
      <c r="G80" s="493">
        <f>F80-$K17</f>
        <v>92</v>
      </c>
      <c r="H80" s="493"/>
      <c r="I80" s="493"/>
      <c r="J80" s="493"/>
      <c r="K80" s="493"/>
      <c r="L80" s="493"/>
      <c r="M80" s="494"/>
      <c r="N80" s="2753"/>
      <c r="O80" s="2753"/>
      <c r="P80" s="2761"/>
      <c r="Q80" s="2738"/>
      <c r="R80" s="2724"/>
      <c r="S80" s="2724"/>
      <c r="T80" s="2724"/>
      <c r="U80" s="2724"/>
      <c r="V80" s="2724"/>
      <c r="W80" s="2724"/>
      <c r="X80" s="2724"/>
      <c r="Y80" s="2724"/>
      <c r="Z80" s="2724"/>
      <c r="AA80" s="2724"/>
      <c r="AB80" s="2724"/>
      <c r="AC80" s="2724"/>
    </row>
    <row r="81" spans="1:29" ht="15.75" thickTop="1">
      <c r="A81" s="483"/>
      <c r="B81" s="487" t="s">
        <v>1727</v>
      </c>
      <c r="C81" s="527" t="s">
        <v>1721</v>
      </c>
      <c r="D81" s="527" t="s">
        <v>1722</v>
      </c>
      <c r="E81" s="527" t="s">
        <v>1723</v>
      </c>
      <c r="F81" s="527" t="s">
        <v>1724</v>
      </c>
      <c r="G81" s="527" t="s">
        <v>1725</v>
      </c>
      <c r="H81" s="488"/>
      <c r="I81" s="488"/>
      <c r="J81" s="488"/>
      <c r="K81" s="489"/>
      <c r="L81" s="490"/>
      <c r="M81" s="491"/>
      <c r="N81" s="2752"/>
      <c r="O81" s="2752"/>
      <c r="P81" s="2761"/>
      <c r="Q81" s="2738"/>
      <c r="R81" s="2724"/>
      <c r="S81" s="2724"/>
      <c r="T81" s="2724"/>
      <c r="U81" s="2724"/>
      <c r="V81" s="2724"/>
      <c r="W81" s="2724"/>
      <c r="X81" s="2724"/>
      <c r="Y81" s="2724"/>
      <c r="Z81" s="2724"/>
      <c r="AA81" s="2724"/>
      <c r="AB81" s="2724"/>
      <c r="AC81" s="2724"/>
    </row>
    <row r="82" spans="1:29" ht="15.75" thickBot="1">
      <c r="A82" s="483"/>
      <c r="B82" s="492"/>
      <c r="C82" s="493">
        <v>100</v>
      </c>
      <c r="D82" s="493">
        <f>C82-$K19</f>
        <v>95</v>
      </c>
      <c r="E82" s="493">
        <f>D82-$K19</f>
        <v>90</v>
      </c>
      <c r="F82" s="493">
        <f>E82-$K19</f>
        <v>85</v>
      </c>
      <c r="G82" s="493">
        <f>F82-$K19</f>
        <v>80</v>
      </c>
      <c r="H82" s="493"/>
      <c r="I82" s="493"/>
      <c r="J82" s="493"/>
      <c r="K82" s="493"/>
      <c r="L82" s="493"/>
      <c r="M82" s="494"/>
      <c r="N82" s="2753"/>
      <c r="O82" s="2753"/>
      <c r="P82" s="2761"/>
      <c r="Q82" s="2738"/>
      <c r="R82" s="2724"/>
      <c r="S82" s="2724"/>
      <c r="T82" s="2724"/>
      <c r="U82" s="2724"/>
      <c r="V82" s="2724"/>
      <c r="W82" s="2724"/>
      <c r="X82" s="2724"/>
      <c r="Y82" s="2724"/>
      <c r="Z82" s="2724"/>
      <c r="AA82" s="2724"/>
      <c r="AB82" s="2724"/>
      <c r="AC82" s="2724"/>
    </row>
    <row r="83" spans="1:29" ht="15.75" thickTop="1">
      <c r="A83" s="483"/>
      <c r="B83" s="495" t="s">
        <v>1813</v>
      </c>
      <c r="C83" s="608" t="s">
        <v>1799</v>
      </c>
      <c r="D83" s="608" t="s">
        <v>1800</v>
      </c>
      <c r="E83" s="608" t="s">
        <v>1801</v>
      </c>
      <c r="F83" s="608" t="s">
        <v>1802</v>
      </c>
      <c r="G83" s="608" t="s">
        <v>1803</v>
      </c>
      <c r="H83" s="488"/>
      <c r="I83" s="488"/>
      <c r="J83" s="488"/>
      <c r="K83" s="488"/>
      <c r="L83" s="488"/>
      <c r="M83" s="1129"/>
      <c r="N83" s="2753"/>
      <c r="O83" s="2753"/>
      <c r="P83" s="2761"/>
      <c r="Q83" s="2738"/>
      <c r="R83" s="2724"/>
      <c r="S83" s="2724"/>
      <c r="T83" s="2724"/>
      <c r="U83" s="2724"/>
      <c r="V83" s="2724"/>
      <c r="W83" s="2724"/>
      <c r="X83" s="2724"/>
      <c r="Y83" s="2724"/>
      <c r="Z83" s="2724"/>
      <c r="AA83" s="2724"/>
      <c r="AB83" s="2724"/>
      <c r="AC83" s="2724"/>
    </row>
    <row r="84" spans="1:29" ht="15.75" thickBot="1">
      <c r="A84" s="483"/>
      <c r="B84" s="495"/>
      <c r="C84" s="493">
        <v>100</v>
      </c>
      <c r="D84" s="493">
        <f>C84-$K21</f>
        <v>98</v>
      </c>
      <c r="E84" s="493">
        <f>D84-$K21</f>
        <v>96</v>
      </c>
      <c r="F84" s="493">
        <f>E84-$K21</f>
        <v>94</v>
      </c>
      <c r="G84" s="493">
        <f>F84-$K21</f>
        <v>92</v>
      </c>
      <c r="H84" s="608"/>
      <c r="I84" s="608"/>
      <c r="J84" s="608"/>
      <c r="K84" s="608"/>
      <c r="L84" s="608"/>
      <c r="M84" s="401"/>
      <c r="N84" s="2753"/>
      <c r="O84" s="2753"/>
      <c r="P84" s="2761"/>
      <c r="Q84" s="2738"/>
      <c r="R84" s="2724"/>
      <c r="S84" s="2724"/>
      <c r="T84" s="2724"/>
      <c r="U84" s="2724"/>
      <c r="V84" s="2724"/>
      <c r="W84" s="2724"/>
      <c r="X84" s="2724"/>
      <c r="Y84" s="2724"/>
      <c r="Z84" s="2724"/>
      <c r="AA84" s="2724"/>
      <c r="AB84" s="2724"/>
      <c r="AC84" s="2724"/>
    </row>
    <row r="85" spans="1:29" ht="15.75" thickTop="1">
      <c r="A85" s="483"/>
      <c r="B85" s="487" t="s">
        <v>1822</v>
      </c>
      <c r="C85" s="527" t="s">
        <v>1721</v>
      </c>
      <c r="D85" s="527" t="s">
        <v>1722</v>
      </c>
      <c r="E85" s="527" t="s">
        <v>1723</v>
      </c>
      <c r="F85" s="527" t="s">
        <v>1724</v>
      </c>
      <c r="G85" s="527" t="s">
        <v>1725</v>
      </c>
      <c r="H85" s="488"/>
      <c r="I85" s="488"/>
      <c r="J85" s="488"/>
      <c r="K85" s="489"/>
      <c r="L85" s="490"/>
      <c r="M85" s="491"/>
      <c r="N85" s="2752"/>
      <c r="O85" s="2752"/>
      <c r="P85" s="2761"/>
      <c r="Q85" s="2738"/>
      <c r="R85" s="2724"/>
      <c r="S85" s="2724"/>
      <c r="T85" s="2724"/>
      <c r="U85" s="2724"/>
      <c r="V85" s="2724"/>
      <c r="W85" s="2724"/>
      <c r="X85" s="2724"/>
      <c r="Y85" s="2724"/>
      <c r="Z85" s="2724"/>
      <c r="AA85" s="2724"/>
      <c r="AB85" s="2724"/>
      <c r="AC85" s="2724"/>
    </row>
    <row r="86" spans="1:29" ht="15.75" thickBot="1">
      <c r="A86" s="483"/>
      <c r="B86" s="492"/>
      <c r="C86" s="493">
        <v>100</v>
      </c>
      <c r="D86" s="493">
        <f>C86-$K23</f>
        <v>98</v>
      </c>
      <c r="E86" s="493">
        <f>D86-$K23</f>
        <v>96</v>
      </c>
      <c r="F86" s="493">
        <f>E86-$K23</f>
        <v>94</v>
      </c>
      <c r="G86" s="493">
        <f>F86-$K23</f>
        <v>92</v>
      </c>
      <c r="H86" s="493"/>
      <c r="I86" s="493"/>
      <c r="J86" s="493"/>
      <c r="K86" s="493"/>
      <c r="L86" s="493"/>
      <c r="M86" s="494"/>
      <c r="N86" s="2753"/>
      <c r="O86" s="2753"/>
      <c r="P86" s="2761"/>
      <c r="Q86" s="2738"/>
      <c r="R86" s="2724"/>
      <c r="S86" s="2724"/>
      <c r="T86" s="2724"/>
      <c r="U86" s="2724"/>
      <c r="V86" s="2724"/>
      <c r="W86" s="2724"/>
      <c r="X86" s="2724"/>
      <c r="Y86" s="2724"/>
      <c r="Z86" s="2724"/>
      <c r="AA86" s="2724"/>
      <c r="AB86" s="2724"/>
      <c r="AC86" s="2724"/>
    </row>
    <row r="87" spans="1:29" s="108" customFormat="1" ht="27.75" thickTop="1">
      <c r="A87" s="528"/>
      <c r="B87" s="487" t="s">
        <v>1823</v>
      </c>
      <c r="C87" s="3512" t="s">
        <v>3963</v>
      </c>
      <c r="D87" s="3512" t="s">
        <v>3964</v>
      </c>
      <c r="E87" s="3512" t="s">
        <v>3965</v>
      </c>
      <c r="F87" s="3513" t="s">
        <v>3982</v>
      </c>
      <c r="G87" s="3513" t="s">
        <v>3983</v>
      </c>
      <c r="H87" s="503"/>
      <c r="I87" s="503"/>
      <c r="J87" s="503"/>
      <c r="K87" s="503"/>
      <c r="L87" s="529"/>
      <c r="M87" s="530"/>
      <c r="N87" s="2751"/>
      <c r="O87" s="2751"/>
      <c r="P87" s="2761"/>
      <c r="Q87" s="2738"/>
      <c r="R87" s="2660"/>
      <c r="S87" s="2660"/>
      <c r="T87" s="2660"/>
      <c r="U87" s="2660"/>
      <c r="V87" s="2660"/>
      <c r="W87" s="2660"/>
      <c r="X87" s="2660"/>
      <c r="Y87" s="2660"/>
      <c r="Z87" s="2660"/>
      <c r="AA87" s="2660"/>
      <c r="AB87" s="2660"/>
      <c r="AC87" s="2660"/>
    </row>
    <row r="88" spans="1:29" s="108" customFormat="1" ht="15.75" thickBot="1">
      <c r="A88" s="528"/>
      <c r="B88" s="492"/>
      <c r="C88" s="531">
        <v>100</v>
      </c>
      <c r="D88" s="493">
        <f t="shared" ref="D88:M88" si="19">C88-$K25</f>
        <v>99</v>
      </c>
      <c r="E88" s="493">
        <f t="shared" si="19"/>
        <v>98</v>
      </c>
      <c r="F88" s="493">
        <f t="shared" si="19"/>
        <v>97</v>
      </c>
      <c r="G88" s="493">
        <f t="shared" si="19"/>
        <v>96</v>
      </c>
      <c r="H88" s="493">
        <f t="shared" si="19"/>
        <v>95</v>
      </c>
      <c r="I88" s="493">
        <f t="shared" si="19"/>
        <v>94</v>
      </c>
      <c r="J88" s="493">
        <f t="shared" si="19"/>
        <v>93</v>
      </c>
      <c r="K88" s="493">
        <f t="shared" si="19"/>
        <v>92</v>
      </c>
      <c r="L88" s="493">
        <f t="shared" si="19"/>
        <v>91</v>
      </c>
      <c r="M88" s="493">
        <f t="shared" si="19"/>
        <v>90</v>
      </c>
      <c r="N88" s="2753"/>
      <c r="O88" s="2753"/>
      <c r="P88" s="2761"/>
      <c r="Q88" s="2738"/>
      <c r="R88" s="2660"/>
      <c r="S88" s="2660"/>
      <c r="T88" s="2660"/>
      <c r="U88" s="2660"/>
      <c r="V88" s="2660"/>
      <c r="W88" s="2660"/>
      <c r="X88" s="2660"/>
      <c r="Y88" s="2660"/>
      <c r="Z88" s="2660"/>
      <c r="AA88" s="2660"/>
      <c r="AB88" s="2660"/>
      <c r="AC88" s="2660"/>
    </row>
    <row r="89" spans="1:29" s="108" customFormat="1" ht="15.75" thickTop="1">
      <c r="A89" s="528"/>
      <c r="B89" s="487" t="str">
        <f>B27</f>
        <v>楼层</v>
      </c>
      <c r="C89" s="503"/>
      <c r="D89" s="503"/>
      <c r="E89" s="503"/>
      <c r="F89" s="1927"/>
      <c r="G89" s="503"/>
      <c r="H89" s="503"/>
      <c r="I89" s="503"/>
      <c r="J89" s="503"/>
      <c r="K89" s="503"/>
      <c r="L89" s="503"/>
      <c r="M89" s="530"/>
      <c r="N89" s="2751"/>
      <c r="O89" s="2751"/>
      <c r="P89" s="2761"/>
      <c r="Q89" s="2738"/>
      <c r="R89" s="2660"/>
      <c r="S89" s="2660"/>
      <c r="T89" s="2660"/>
      <c r="U89" s="2660"/>
      <c r="V89" s="2660"/>
      <c r="W89" s="2660"/>
      <c r="X89" s="2660"/>
      <c r="Y89" s="2660"/>
      <c r="Z89" s="2660"/>
      <c r="AA89" s="2660"/>
      <c r="AB89" s="2660"/>
      <c r="AC89" s="2660"/>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3"/>
      <c r="O90" s="2753"/>
      <c r="P90" s="2761"/>
      <c r="Q90" s="2738"/>
      <c r="R90" s="2660"/>
      <c r="S90" s="2660"/>
      <c r="T90" s="2660"/>
      <c r="U90" s="2660"/>
      <c r="V90" s="2660"/>
      <c r="W90" s="2660"/>
      <c r="X90" s="2660"/>
      <c r="Y90" s="2660"/>
      <c r="Z90" s="2660"/>
      <c r="AA90" s="2660"/>
      <c r="AB90" s="2660"/>
      <c r="AC90" s="2660"/>
    </row>
    <row r="91" spans="1:29" s="422" customFormat="1" ht="15.75" thickTop="1">
      <c r="A91" s="502"/>
      <c r="B91" s="487" t="str">
        <f>B28</f>
        <v>朝向</v>
      </c>
      <c r="C91" s="503"/>
      <c r="D91" s="503"/>
      <c r="E91" s="503"/>
      <c r="F91" s="503"/>
      <c r="G91" s="503"/>
      <c r="H91" s="504"/>
      <c r="I91" s="504"/>
      <c r="J91" s="504"/>
      <c r="K91" s="504"/>
      <c r="L91" s="505"/>
      <c r="M91" s="506"/>
      <c r="N91" s="2754"/>
      <c r="O91" s="2754"/>
      <c r="P91" s="2762"/>
      <c r="Q91" s="2745"/>
      <c r="R91" s="2746"/>
      <c r="S91" s="2746"/>
      <c r="T91" s="2746"/>
      <c r="U91" s="2746"/>
      <c r="V91" s="2746"/>
      <c r="W91" s="2746"/>
      <c r="X91" s="2746"/>
      <c r="Y91" s="2746"/>
      <c r="Z91" s="2746"/>
      <c r="AA91" s="2746"/>
      <c r="AB91" s="2746"/>
      <c r="AC91" s="2746"/>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4"/>
      <c r="O92" s="2754"/>
      <c r="P92" s="2762"/>
      <c r="Q92" s="2745"/>
      <c r="R92" s="2746"/>
      <c r="S92" s="2746"/>
      <c r="T92" s="2746"/>
      <c r="U92" s="2746"/>
      <c r="V92" s="2746"/>
      <c r="W92" s="2746"/>
      <c r="X92" s="2746"/>
      <c r="Y92" s="2746"/>
      <c r="Z92" s="2746"/>
      <c r="AA92" s="2746"/>
      <c r="AB92" s="2746"/>
      <c r="AC92" s="2746"/>
    </row>
    <row r="93" spans="1:29" ht="15.75" thickTop="1">
      <c r="A93" s="483"/>
      <c r="B93" s="487" t="str">
        <f>B29</f>
        <v>土地级别</v>
      </c>
      <c r="C93" s="503"/>
      <c r="D93" s="503"/>
      <c r="E93" s="503"/>
      <c r="F93" s="503"/>
      <c r="G93" s="503"/>
      <c r="H93" s="503"/>
      <c r="I93" s="503"/>
      <c r="J93" s="503"/>
      <c r="K93" s="503"/>
      <c r="L93" s="529"/>
      <c r="M93" s="530"/>
      <c r="N93" s="2752"/>
      <c r="O93" s="2752"/>
      <c r="P93" s="2761"/>
      <c r="Q93" s="2738"/>
      <c r="R93" s="2724"/>
      <c r="S93" s="2724"/>
      <c r="T93" s="2724"/>
      <c r="U93" s="2724"/>
      <c r="V93" s="2724"/>
      <c r="W93" s="2724"/>
      <c r="X93" s="2724"/>
      <c r="Y93" s="2724"/>
      <c r="Z93" s="2724"/>
      <c r="AA93" s="2724"/>
      <c r="AB93" s="2724"/>
      <c r="AC93" s="2724"/>
    </row>
    <row r="94" spans="1:29" ht="15.75" thickBot="1">
      <c r="A94" s="483"/>
      <c r="B94" s="492"/>
      <c r="C94" s="509"/>
      <c r="D94" s="485"/>
      <c r="E94" s="485"/>
      <c r="F94" s="485"/>
      <c r="G94" s="485"/>
      <c r="H94" s="485"/>
      <c r="I94" s="485"/>
      <c r="J94" s="485"/>
      <c r="K94" s="485"/>
      <c r="L94" s="485"/>
      <c r="M94" s="486"/>
      <c r="N94" s="2753"/>
      <c r="O94" s="2753"/>
      <c r="P94" s="2761"/>
      <c r="Q94" s="2738"/>
      <c r="R94" s="2724"/>
      <c r="S94" s="2724"/>
      <c r="T94" s="2724"/>
      <c r="U94" s="2724"/>
      <c r="V94" s="2724"/>
      <c r="W94" s="2724"/>
      <c r="X94" s="2724"/>
      <c r="Y94" s="2724"/>
      <c r="Z94" s="2724"/>
      <c r="AA94" s="2724"/>
      <c r="AB94" s="2724"/>
      <c r="AC94" s="2724"/>
    </row>
    <row r="95" spans="1:29" ht="15.75" thickTop="1">
      <c r="A95" s="483"/>
      <c r="B95" s="487">
        <f>B30</f>
        <v>111</v>
      </c>
      <c r="C95" s="503"/>
      <c r="D95" s="503"/>
      <c r="E95" s="503"/>
      <c r="F95" s="503"/>
      <c r="G95" s="532"/>
      <c r="H95" s="532"/>
      <c r="I95" s="532"/>
      <c r="J95" s="532"/>
      <c r="K95" s="533"/>
      <c r="L95" s="534"/>
      <c r="M95" s="535"/>
      <c r="N95" s="2752"/>
      <c r="O95" s="2752"/>
      <c r="P95" s="2761"/>
      <c r="Q95" s="2738"/>
      <c r="R95" s="2724"/>
      <c r="S95" s="2724"/>
      <c r="T95" s="2724"/>
      <c r="U95" s="2724"/>
      <c r="V95" s="2724"/>
      <c r="W95" s="2724"/>
      <c r="X95" s="2724"/>
      <c r="Y95" s="2724"/>
      <c r="Z95" s="2724"/>
      <c r="AA95" s="2724"/>
      <c r="AB95" s="2724"/>
      <c r="AC95" s="2724"/>
    </row>
    <row r="96" spans="1:29" ht="15.75" thickBot="1">
      <c r="A96" s="483"/>
      <c r="B96" s="492"/>
      <c r="C96" s="509"/>
      <c r="D96" s="509"/>
      <c r="E96" s="509"/>
      <c r="F96" s="509"/>
      <c r="G96" s="485"/>
      <c r="H96" s="485"/>
      <c r="I96" s="485"/>
      <c r="J96" s="485"/>
      <c r="K96" s="485"/>
      <c r="L96" s="485"/>
      <c r="M96" s="486"/>
      <c r="N96" s="2753"/>
      <c r="O96" s="2753"/>
      <c r="P96" s="2761"/>
      <c r="Q96" s="2738"/>
      <c r="R96" s="2724"/>
      <c r="S96" s="2724"/>
      <c r="T96" s="2724"/>
      <c r="U96" s="2724"/>
      <c r="V96" s="2724"/>
      <c r="W96" s="2724"/>
      <c r="X96" s="2724"/>
      <c r="Y96" s="2724"/>
      <c r="Z96" s="2724"/>
      <c r="AA96" s="2724"/>
      <c r="AB96" s="2724"/>
      <c r="AC96" s="2724"/>
    </row>
    <row r="97" spans="1:29" ht="15.75" thickTop="1">
      <c r="A97" s="483"/>
      <c r="B97" s="487">
        <f>B31</f>
        <v>111</v>
      </c>
      <c r="C97" s="503"/>
      <c r="D97" s="503"/>
      <c r="E97" s="503"/>
      <c r="F97" s="503"/>
      <c r="G97" s="532"/>
      <c r="H97" s="532"/>
      <c r="I97" s="532"/>
      <c r="J97" s="532"/>
      <c r="K97" s="533"/>
      <c r="L97" s="534"/>
      <c r="M97" s="535"/>
      <c r="N97" s="2752"/>
      <c r="O97" s="2752"/>
      <c r="P97" s="2761"/>
      <c r="Q97" s="2738"/>
      <c r="R97" s="2724"/>
      <c r="S97" s="2724"/>
      <c r="T97" s="2724"/>
      <c r="U97" s="2724"/>
      <c r="V97" s="2724"/>
      <c r="W97" s="2724"/>
      <c r="X97" s="2724"/>
      <c r="Y97" s="2724"/>
      <c r="Z97" s="2724"/>
      <c r="AA97" s="2724"/>
      <c r="AB97" s="2724"/>
      <c r="AC97" s="2724"/>
    </row>
    <row r="98" spans="1:29" ht="15.75" thickBot="1">
      <c r="A98" s="483"/>
      <c r="B98" s="492"/>
      <c r="C98" s="509"/>
      <c r="D98" s="485"/>
      <c r="E98" s="485"/>
      <c r="F98" s="485"/>
      <c r="G98" s="485"/>
      <c r="H98" s="485"/>
      <c r="I98" s="485"/>
      <c r="J98" s="485"/>
      <c r="K98" s="485"/>
      <c r="L98" s="485"/>
      <c r="M98" s="486"/>
      <c r="N98" s="2753"/>
      <c r="O98" s="2753"/>
      <c r="P98" s="2761"/>
      <c r="Q98" s="2738"/>
      <c r="R98" s="2724"/>
      <c r="S98" s="2724"/>
      <c r="T98" s="2724"/>
      <c r="U98" s="2724"/>
      <c r="V98" s="2724"/>
      <c r="W98" s="2724"/>
      <c r="X98" s="2724"/>
      <c r="Y98" s="2724"/>
      <c r="Z98" s="2724"/>
      <c r="AA98" s="2724"/>
      <c r="AB98" s="2724"/>
      <c r="AC98" s="2724"/>
    </row>
    <row r="99" spans="1:29" ht="15.75" thickTop="1">
      <c r="A99" s="483"/>
      <c r="B99" s="495">
        <f>B32</f>
        <v>111</v>
      </c>
      <c r="C99" s="472"/>
      <c r="D99" s="472"/>
      <c r="E99" s="472"/>
      <c r="F99" s="472"/>
      <c r="G99" s="536"/>
      <c r="H99" s="536"/>
      <c r="I99" s="536"/>
      <c r="J99" s="536"/>
      <c r="K99" s="537"/>
      <c r="L99" s="538"/>
      <c r="M99" s="539"/>
      <c r="N99" s="2752"/>
      <c r="O99" s="2752"/>
      <c r="P99" s="2761"/>
      <c r="Q99" s="2738"/>
      <c r="R99" s="2724"/>
      <c r="S99" s="2724"/>
      <c r="T99" s="2724"/>
      <c r="U99" s="2724"/>
      <c r="V99" s="2724"/>
      <c r="W99" s="2724"/>
      <c r="X99" s="2724"/>
      <c r="Y99" s="2724"/>
      <c r="Z99" s="2724"/>
      <c r="AA99" s="2724"/>
      <c r="AB99" s="2724"/>
      <c r="AC99" s="2724"/>
    </row>
    <row r="100" spans="1:29" ht="15.75" thickBot="1">
      <c r="A100" s="1928"/>
      <c r="B100" s="518"/>
      <c r="C100" s="519"/>
      <c r="D100" s="519"/>
      <c r="E100" s="519"/>
      <c r="F100" s="519"/>
      <c r="G100" s="540"/>
      <c r="H100" s="540"/>
      <c r="I100" s="540"/>
      <c r="J100" s="540"/>
      <c r="K100" s="540"/>
      <c r="L100" s="540"/>
      <c r="M100" s="541"/>
      <c r="N100" s="2753"/>
      <c r="O100" s="2753"/>
      <c r="P100" s="2761"/>
      <c r="Q100" s="2738"/>
      <c r="R100" s="2724"/>
      <c r="S100" s="2724"/>
      <c r="T100" s="2724"/>
      <c r="U100" s="2724"/>
      <c r="V100" s="2724"/>
      <c r="W100" s="2724"/>
      <c r="X100" s="2724"/>
      <c r="Y100" s="2724"/>
      <c r="Z100" s="2724"/>
      <c r="AA100" s="2724"/>
      <c r="AB100" s="2724"/>
      <c r="AC100" s="2724"/>
    </row>
    <row r="101" spans="1:29">
      <c r="A101" s="476" t="s">
        <v>1694</v>
      </c>
      <c r="B101" s="477" t="s">
        <v>1736</v>
      </c>
      <c r="C101" s="3518" t="s">
        <v>3990</v>
      </c>
      <c r="D101" s="3518" t="s">
        <v>4029</v>
      </c>
      <c r="E101" s="479"/>
      <c r="F101" s="479"/>
      <c r="G101" s="479"/>
      <c r="H101" s="479"/>
      <c r="I101" s="479"/>
      <c r="J101" s="479"/>
      <c r="K101" s="480"/>
      <c r="L101" s="481"/>
      <c r="M101" s="482"/>
      <c r="N101" s="2752"/>
      <c r="O101" s="2752"/>
      <c r="P101" s="2761"/>
      <c r="Q101" s="2738"/>
      <c r="R101" s="2724"/>
      <c r="S101" s="2724"/>
      <c r="T101" s="2724"/>
      <c r="U101" s="2724"/>
      <c r="V101" s="2724"/>
      <c r="W101" s="2724"/>
      <c r="X101" s="2724"/>
      <c r="Y101" s="2724"/>
      <c r="Z101" s="2724"/>
      <c r="AA101" s="2724"/>
      <c r="AB101" s="2724"/>
      <c r="AC101" s="2724"/>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3"/>
      <c r="O102" s="2753"/>
      <c r="P102" s="2761"/>
      <c r="Q102" s="2738"/>
      <c r="R102" s="2724"/>
      <c r="S102" s="2724"/>
      <c r="T102" s="2724"/>
      <c r="U102" s="2724"/>
      <c r="V102" s="2724"/>
      <c r="W102" s="2724"/>
      <c r="X102" s="2724"/>
      <c r="Y102" s="2724"/>
      <c r="Z102" s="2724"/>
      <c r="AA102" s="2724"/>
      <c r="AB102" s="2724"/>
      <c r="AC102" s="2724"/>
    </row>
    <row r="103" spans="1:29" ht="29.25" thickTop="1">
      <c r="A103" s="483"/>
      <c r="B103" s="487" t="s">
        <v>1737</v>
      </c>
      <c r="C103" s="527" t="str">
        <f>C104&amp;"(含)"&amp;"-"&amp;D104</f>
        <v>0(含)-40000</v>
      </c>
      <c r="D103" s="527" t="str">
        <f t="shared" ref="D103:L103" si="23">D104&amp;"(含)"&amp;"-"&amp;E104</f>
        <v>40000(含)-80000</v>
      </c>
      <c r="E103" s="527" t="str">
        <f t="shared" si="23"/>
        <v>80000(含)-120000</v>
      </c>
      <c r="F103" s="527" t="str">
        <f t="shared" si="23"/>
        <v>120000(含)-160000</v>
      </c>
      <c r="G103" s="527" t="str">
        <f t="shared" si="23"/>
        <v>160000(含)-200000</v>
      </c>
      <c r="H103" s="527" t="str">
        <f t="shared" si="23"/>
        <v>200000(含)-240000</v>
      </c>
      <c r="I103" s="527" t="str">
        <f t="shared" si="23"/>
        <v>240000(含)-280000</v>
      </c>
      <c r="J103" s="527" t="str">
        <f t="shared" si="23"/>
        <v>280000(含)-</v>
      </c>
      <c r="K103" s="527" t="str">
        <f t="shared" si="23"/>
        <v>(含)-</v>
      </c>
      <c r="L103" s="527" t="str">
        <f t="shared" si="23"/>
        <v>(含)-</v>
      </c>
      <c r="M103" s="570" t="str">
        <f>M104&amp;"(含)"&amp;"-"&amp;P104</f>
        <v>(含)-</v>
      </c>
      <c r="N103" s="2751"/>
      <c r="O103" s="2751"/>
      <c r="P103" s="2761"/>
      <c r="Q103" s="2738"/>
      <c r="R103" s="2724"/>
      <c r="S103" s="2724"/>
      <c r="T103" s="2724"/>
      <c r="U103" s="2724"/>
      <c r="V103" s="2724"/>
      <c r="W103" s="2724"/>
      <c r="X103" s="2724"/>
      <c r="Y103" s="2724"/>
      <c r="Z103" s="2724"/>
      <c r="AA103" s="2724"/>
      <c r="AB103" s="2724"/>
      <c r="AC103" s="2724"/>
    </row>
    <row r="104" spans="1:29" s="422" customFormat="1">
      <c r="A104" s="542"/>
      <c r="B104" s="543"/>
      <c r="C104" s="544">
        <v>0</v>
      </c>
      <c r="D104" s="544">
        <v>40000</v>
      </c>
      <c r="E104" s="544">
        <v>80000</v>
      </c>
      <c r="F104" s="544">
        <v>120000</v>
      </c>
      <c r="G104" s="544">
        <v>160000</v>
      </c>
      <c r="H104" s="544">
        <v>200000</v>
      </c>
      <c r="I104" s="544">
        <v>240000</v>
      </c>
      <c r="J104" s="544">
        <v>280000</v>
      </c>
      <c r="K104" s="545"/>
      <c r="L104" s="546"/>
      <c r="M104" s="547"/>
      <c r="N104" s="2754"/>
      <c r="O104" s="2754"/>
      <c r="P104" s="2762"/>
      <c r="Q104" s="2745"/>
      <c r="R104" s="2746"/>
      <c r="S104" s="2746"/>
      <c r="T104" s="2746"/>
      <c r="U104" s="2746"/>
      <c r="V104" s="2746"/>
      <c r="W104" s="2746"/>
      <c r="X104" s="2746"/>
      <c r="Y104" s="2746"/>
      <c r="Z104" s="2746"/>
      <c r="AA104" s="2746"/>
      <c r="AB104" s="2746"/>
      <c r="AC104" s="2746"/>
    </row>
    <row r="105" spans="1:29" s="422" customFormat="1" ht="15.75" thickBot="1">
      <c r="A105" s="502"/>
      <c r="B105" s="492"/>
      <c r="C105" s="509">
        <v>100</v>
      </c>
      <c r="D105" s="485">
        <v>101</v>
      </c>
      <c r="E105" s="485">
        <v>102</v>
      </c>
      <c r="F105" s="485">
        <v>103</v>
      </c>
      <c r="G105" s="485">
        <v>104</v>
      </c>
      <c r="H105" s="485">
        <v>105</v>
      </c>
      <c r="I105" s="485">
        <v>106</v>
      </c>
      <c r="J105" s="485">
        <v>108</v>
      </c>
      <c r="K105" s="485"/>
      <c r="L105" s="485"/>
      <c r="M105" s="486"/>
      <c r="N105" s="2753"/>
      <c r="O105" s="2753"/>
      <c r="P105" s="2762"/>
      <c r="Q105" s="2745"/>
      <c r="R105" s="2746"/>
      <c r="S105" s="2746"/>
      <c r="T105" s="2746"/>
      <c r="U105" s="2746"/>
      <c r="V105" s="2746"/>
      <c r="W105" s="2746"/>
      <c r="X105" s="2746"/>
      <c r="Y105" s="2746"/>
      <c r="Z105" s="2746"/>
      <c r="AA105" s="2746"/>
      <c r="AB105" s="2746"/>
      <c r="AC105" s="2746"/>
    </row>
    <row r="106" spans="1:29" ht="15" thickTop="1">
      <c r="A106" s="548"/>
      <c r="B106" s="487" t="s">
        <v>1738</v>
      </c>
      <c r="C106" s="3513" t="s">
        <v>3966</v>
      </c>
      <c r="D106" s="503"/>
      <c r="E106" s="532"/>
      <c r="F106" s="532"/>
      <c r="G106" s="532"/>
      <c r="H106" s="532"/>
      <c r="I106" s="532"/>
      <c r="J106" s="532"/>
      <c r="K106" s="533"/>
      <c r="L106" s="534"/>
      <c r="M106" s="535"/>
      <c r="N106" s="2752"/>
      <c r="O106" s="2752"/>
      <c r="P106" s="2761"/>
      <c r="Q106" s="2738"/>
      <c r="R106" s="2724"/>
      <c r="S106" s="2724"/>
      <c r="T106" s="2724"/>
      <c r="U106" s="2724"/>
      <c r="V106" s="2724"/>
      <c r="W106" s="2724"/>
      <c r="X106" s="2724"/>
      <c r="Y106" s="2724"/>
      <c r="Z106" s="2724"/>
      <c r="AA106" s="2724"/>
      <c r="AB106" s="2724"/>
      <c r="AC106" s="2724"/>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3"/>
      <c r="O107" s="2753"/>
      <c r="P107" s="2761"/>
      <c r="Q107" s="2738"/>
      <c r="R107" s="2724"/>
      <c r="S107" s="2724"/>
      <c r="T107" s="2724"/>
      <c r="U107" s="2724"/>
      <c r="V107" s="2724"/>
      <c r="W107" s="2724"/>
      <c r="X107" s="2724"/>
      <c r="Y107" s="2724"/>
      <c r="Z107" s="2724"/>
      <c r="AA107" s="2724"/>
      <c r="AB107" s="2724"/>
      <c r="AC107" s="2724"/>
    </row>
    <row r="108" spans="1:29" ht="15" thickTop="1">
      <c r="A108" s="548"/>
      <c r="B108" s="487" t="s">
        <v>1740</v>
      </c>
      <c r="C108" s="3513" t="s">
        <v>3968</v>
      </c>
      <c r="D108" s="503"/>
      <c r="E108" s="503"/>
      <c r="F108" s="532"/>
      <c r="G108" s="532"/>
      <c r="H108" s="532"/>
      <c r="I108" s="532"/>
      <c r="J108" s="532"/>
      <c r="K108" s="533"/>
      <c r="L108" s="534"/>
      <c r="M108" s="535"/>
      <c r="N108" s="2752"/>
      <c r="O108" s="2752"/>
      <c r="P108" s="2761"/>
      <c r="Q108" s="2738"/>
      <c r="R108" s="2724"/>
      <c r="S108" s="2724"/>
      <c r="T108" s="2724"/>
      <c r="U108" s="2724"/>
      <c r="V108" s="2724"/>
      <c r="W108" s="2724"/>
      <c r="X108" s="2724"/>
      <c r="Y108" s="2724"/>
      <c r="Z108" s="2724"/>
      <c r="AA108" s="2724"/>
      <c r="AB108" s="2724"/>
      <c r="AC108" s="2724"/>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3"/>
      <c r="O109" s="2753"/>
      <c r="P109" s="2761"/>
      <c r="Q109" s="2738"/>
      <c r="R109" s="2724"/>
      <c r="S109" s="2724"/>
      <c r="T109" s="2724"/>
      <c r="U109" s="2724"/>
      <c r="V109" s="2724"/>
      <c r="W109" s="2724"/>
      <c r="X109" s="2724"/>
      <c r="Y109" s="2724"/>
      <c r="Z109" s="2724"/>
      <c r="AA109" s="2724"/>
      <c r="AB109" s="2724"/>
      <c r="AC109" s="2724"/>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2"/>
      <c r="O110" s="2752"/>
      <c r="P110" s="2761"/>
      <c r="Q110" s="2738"/>
      <c r="R110" s="2724"/>
      <c r="S110" s="2724"/>
      <c r="T110" s="2724"/>
      <c r="U110" s="2724"/>
      <c r="V110" s="2724"/>
      <c r="W110" s="2724"/>
      <c r="X110" s="2724"/>
      <c r="Y110" s="2724"/>
      <c r="Z110" s="2724"/>
      <c r="AA110" s="2724"/>
      <c r="AB110" s="2724"/>
      <c r="AC110" s="2724"/>
    </row>
    <row r="111" spans="1:29">
      <c r="A111" s="548"/>
      <c r="B111" s="495"/>
      <c r="C111" s="552">
        <v>0.5</v>
      </c>
      <c r="D111" s="552">
        <v>0.6</v>
      </c>
      <c r="E111" s="552">
        <v>0.7</v>
      </c>
      <c r="F111" s="552">
        <v>0.8</v>
      </c>
      <c r="G111" s="552">
        <v>0.9</v>
      </c>
      <c r="H111" s="552">
        <v>1.0001</v>
      </c>
      <c r="I111" s="571"/>
      <c r="J111" s="571"/>
      <c r="K111" s="572"/>
      <c r="L111" s="573"/>
      <c r="M111" s="574"/>
      <c r="N111" s="2752"/>
      <c r="O111" s="2752"/>
      <c r="P111" s="2761"/>
      <c r="Q111" s="2738"/>
      <c r="R111" s="2724"/>
      <c r="S111" s="2724"/>
      <c r="T111" s="2724"/>
      <c r="U111" s="2724"/>
      <c r="V111" s="2724"/>
      <c r="W111" s="2724"/>
      <c r="X111" s="2724"/>
      <c r="Y111" s="2724"/>
      <c r="Z111" s="2724"/>
      <c r="AA111" s="2724"/>
      <c r="AB111" s="2724"/>
      <c r="AC111" s="2724"/>
    </row>
    <row r="112" spans="1:29" ht="15.75" thickBot="1">
      <c r="A112" s="483"/>
      <c r="B112" s="492"/>
      <c r="C112" s="531">
        <v>100</v>
      </c>
      <c r="D112" s="493">
        <f>C112+$K37</f>
        <v>101</v>
      </c>
      <c r="E112" s="493">
        <f t="shared" ref="E112:M112" si="26">D112+$K37</f>
        <v>102</v>
      </c>
      <c r="F112" s="493">
        <f t="shared" si="26"/>
        <v>103</v>
      </c>
      <c r="G112" s="493">
        <f t="shared" si="26"/>
        <v>104</v>
      </c>
      <c r="H112" s="493">
        <f t="shared" si="26"/>
        <v>105</v>
      </c>
      <c r="I112" s="493">
        <f t="shared" si="26"/>
        <v>106</v>
      </c>
      <c r="J112" s="493">
        <f t="shared" si="26"/>
        <v>107</v>
      </c>
      <c r="K112" s="493">
        <f t="shared" si="26"/>
        <v>108</v>
      </c>
      <c r="L112" s="493">
        <f t="shared" si="26"/>
        <v>109</v>
      </c>
      <c r="M112" s="493">
        <f t="shared" si="26"/>
        <v>110</v>
      </c>
      <c r="N112" s="2753"/>
      <c r="O112" s="2753"/>
      <c r="P112" s="2761"/>
      <c r="Q112" s="2738"/>
      <c r="R112" s="2724"/>
      <c r="S112" s="2724"/>
      <c r="T112" s="2724"/>
      <c r="U112" s="2724"/>
      <c r="V112" s="2724"/>
      <c r="W112" s="2724"/>
      <c r="X112" s="2724"/>
      <c r="Y112" s="2724"/>
      <c r="Z112" s="2724"/>
      <c r="AA112" s="2724"/>
      <c r="AB112" s="2724"/>
      <c r="AC112" s="2724"/>
    </row>
    <row r="113" spans="1:29" s="422" customFormat="1" ht="15" thickTop="1">
      <c r="A113" s="542"/>
      <c r="B113" s="487" t="s">
        <v>1824</v>
      </c>
      <c r="C113" s="503"/>
      <c r="D113" s="503"/>
      <c r="E113" s="503"/>
      <c r="F113" s="503"/>
      <c r="G113" s="503"/>
      <c r="H113" s="532"/>
      <c r="I113" s="532"/>
      <c r="J113" s="532"/>
      <c r="K113" s="533"/>
      <c r="L113" s="534"/>
      <c r="M113" s="535"/>
      <c r="N113" s="2754"/>
      <c r="O113" s="2754"/>
      <c r="P113" s="2762"/>
      <c r="Q113" s="2745"/>
      <c r="R113" s="2746"/>
      <c r="S113" s="2746"/>
      <c r="T113" s="2746"/>
      <c r="U113" s="2746"/>
      <c r="V113" s="2746"/>
      <c r="W113" s="2746"/>
      <c r="X113" s="2746"/>
      <c r="Y113" s="2746"/>
      <c r="Z113" s="2746"/>
      <c r="AA113" s="2746"/>
      <c r="AB113" s="2746"/>
      <c r="AC113" s="2746"/>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4"/>
      <c r="O114" s="2754"/>
      <c r="P114" s="2762"/>
      <c r="Q114" s="2745"/>
      <c r="R114" s="2746"/>
      <c r="S114" s="2746"/>
      <c r="T114" s="2746"/>
      <c r="U114" s="2746"/>
      <c r="V114" s="2746"/>
      <c r="W114" s="2746"/>
      <c r="X114" s="2746"/>
      <c r="Y114" s="2746"/>
      <c r="Z114" s="2746"/>
      <c r="AA114" s="2746"/>
      <c r="AB114" s="2746"/>
      <c r="AC114" s="2746"/>
    </row>
    <row r="115" spans="1:29" ht="15" thickTop="1">
      <c r="A115" s="548"/>
      <c r="B115" s="487" t="s">
        <v>1741</v>
      </c>
      <c r="C115" s="3513" t="s">
        <v>3970</v>
      </c>
      <c r="D115" s="503"/>
      <c r="E115" s="532"/>
      <c r="F115" s="532"/>
      <c r="G115" s="532"/>
      <c r="H115" s="532"/>
      <c r="I115" s="532"/>
      <c r="J115" s="532"/>
      <c r="K115" s="533"/>
      <c r="L115" s="534"/>
      <c r="M115" s="535"/>
      <c r="N115" s="2752"/>
      <c r="O115" s="2752"/>
      <c r="P115" s="2761"/>
      <c r="Q115" s="2738"/>
      <c r="R115" s="2724"/>
      <c r="S115" s="2724"/>
      <c r="T115" s="2724"/>
      <c r="U115" s="2724"/>
      <c r="V115" s="2724"/>
      <c r="W115" s="2724"/>
      <c r="X115" s="2724"/>
      <c r="Y115" s="2724"/>
      <c r="Z115" s="2724"/>
      <c r="AA115" s="2724"/>
      <c r="AB115" s="2724"/>
      <c r="AC115" s="2724"/>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3"/>
      <c r="O116" s="2753"/>
      <c r="P116" s="2761"/>
      <c r="Q116" s="2738"/>
      <c r="R116" s="2724"/>
      <c r="S116" s="2724"/>
      <c r="T116" s="2724"/>
      <c r="U116" s="2724"/>
      <c r="V116" s="2724"/>
      <c r="W116" s="2724"/>
      <c r="X116" s="2724"/>
      <c r="Y116" s="2724"/>
      <c r="Z116" s="2724"/>
      <c r="AA116" s="2724"/>
      <c r="AB116" s="2724"/>
      <c r="AC116" s="2724"/>
    </row>
    <row r="117" spans="1:29" ht="15" thickTop="1">
      <c r="A117" s="548"/>
      <c r="B117" s="487" t="s">
        <v>1742</v>
      </c>
      <c r="C117" s="3512" t="s">
        <v>3971</v>
      </c>
      <c r="D117" s="3512" t="s">
        <v>3972</v>
      </c>
      <c r="E117" s="3512" t="s">
        <v>3973</v>
      </c>
      <c r="F117" s="503"/>
      <c r="G117" s="503"/>
      <c r="H117" s="532"/>
      <c r="I117" s="532"/>
      <c r="J117" s="532"/>
      <c r="K117" s="533"/>
      <c r="L117" s="534"/>
      <c r="M117" s="535"/>
      <c r="N117" s="2752"/>
      <c r="O117" s="2752"/>
      <c r="P117" s="2761"/>
      <c r="Q117" s="2738"/>
      <c r="R117" s="2724"/>
      <c r="S117" s="2724"/>
      <c r="T117" s="2724"/>
      <c r="U117" s="2724"/>
      <c r="V117" s="2724"/>
      <c r="W117" s="2724"/>
      <c r="X117" s="2724"/>
      <c r="Y117" s="2724"/>
      <c r="Z117" s="2724"/>
      <c r="AA117" s="2724"/>
      <c r="AB117" s="2724"/>
      <c r="AC117" s="2724"/>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3"/>
      <c r="O118" s="2753"/>
      <c r="P118" s="2761"/>
      <c r="Q118" s="2738"/>
      <c r="R118" s="2724"/>
      <c r="S118" s="2724"/>
      <c r="T118" s="2724"/>
      <c r="U118" s="2724"/>
      <c r="V118" s="2724"/>
      <c r="W118" s="2724"/>
      <c r="X118" s="2724"/>
      <c r="Y118" s="2724"/>
      <c r="Z118" s="2724"/>
      <c r="AA118" s="2724"/>
      <c r="AB118" s="2724"/>
      <c r="AC118" s="2724"/>
    </row>
    <row r="119" spans="1:29" ht="15" thickTop="1">
      <c r="A119" s="548"/>
      <c r="B119" s="584" t="s">
        <v>1825</v>
      </c>
      <c r="C119" s="532"/>
      <c r="D119" s="532"/>
      <c r="E119" s="532"/>
      <c r="F119" s="532"/>
      <c r="G119" s="532"/>
      <c r="H119" s="532"/>
      <c r="I119" s="532"/>
      <c r="J119" s="532"/>
      <c r="K119" s="532"/>
      <c r="L119" s="1968"/>
      <c r="M119" s="1969"/>
      <c r="N119" s="2753"/>
      <c r="O119" s="2753"/>
      <c r="P119" s="2766"/>
      <c r="Q119" s="2767"/>
      <c r="R119" s="2724"/>
      <c r="S119" s="2724"/>
      <c r="T119" s="2724"/>
      <c r="U119" s="2724"/>
      <c r="V119" s="2724"/>
      <c r="W119" s="2724"/>
      <c r="X119" s="2724"/>
      <c r="Y119" s="2724"/>
      <c r="Z119" s="2724"/>
      <c r="AA119" s="2724"/>
      <c r="AB119" s="2724"/>
      <c r="AC119" s="2724"/>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3"/>
      <c r="O120" s="2753"/>
      <c r="P120" s="2761"/>
      <c r="Q120" s="2738"/>
      <c r="R120" s="2724"/>
      <c r="S120" s="2724"/>
      <c r="T120" s="2724"/>
      <c r="U120" s="2724"/>
      <c r="V120" s="2724"/>
      <c r="W120" s="2724"/>
      <c r="X120" s="2724"/>
      <c r="Y120" s="2724"/>
      <c r="Z120" s="2724"/>
      <c r="AA120" s="2724"/>
      <c r="AB120" s="2724"/>
      <c r="AC120" s="2724"/>
    </row>
    <row r="121" spans="1:29" s="422" customFormat="1" ht="15" thickTop="1">
      <c r="A121" s="542"/>
      <c r="B121" s="487" t="s">
        <v>1808</v>
      </c>
      <c r="C121" s="503"/>
      <c r="D121" s="503"/>
      <c r="E121" s="503"/>
      <c r="F121" s="532"/>
      <c r="G121" s="504"/>
      <c r="H121" s="504"/>
      <c r="I121" s="504"/>
      <c r="J121" s="504"/>
      <c r="K121" s="504"/>
      <c r="L121" s="505"/>
      <c r="M121" s="506"/>
      <c r="N121" s="2754"/>
      <c r="O121" s="2754"/>
      <c r="P121" s="2762"/>
      <c r="Q121" s="2745"/>
      <c r="R121" s="2746"/>
      <c r="S121" s="2746"/>
      <c r="T121" s="2746"/>
      <c r="U121" s="2746"/>
      <c r="V121" s="2746"/>
      <c r="W121" s="2746"/>
      <c r="X121" s="2746"/>
      <c r="Y121" s="2746"/>
      <c r="Z121" s="2746"/>
      <c r="AA121" s="2746"/>
      <c r="AB121" s="2746"/>
      <c r="AC121" s="2746"/>
    </row>
    <row r="122" spans="1:29" s="422" customFormat="1" ht="15.75" thickBot="1">
      <c r="A122" s="502"/>
      <c r="B122" s="484"/>
      <c r="C122" s="509"/>
      <c r="D122" s="509"/>
      <c r="E122" s="509"/>
      <c r="F122" s="509"/>
      <c r="G122" s="509"/>
      <c r="H122" s="509"/>
      <c r="I122" s="509"/>
      <c r="J122" s="509"/>
      <c r="K122" s="509"/>
      <c r="L122" s="509"/>
      <c r="M122" s="509"/>
      <c r="N122" s="2754"/>
      <c r="O122" s="2754"/>
      <c r="P122" s="2762"/>
      <c r="Q122" s="2745"/>
      <c r="R122" s="2746"/>
      <c r="S122" s="2746"/>
      <c r="T122" s="2746"/>
      <c r="U122" s="2746"/>
      <c r="V122" s="2746"/>
      <c r="W122" s="2746"/>
      <c r="X122" s="2746"/>
      <c r="Y122" s="2746"/>
      <c r="Z122" s="2746"/>
      <c r="AA122" s="2746"/>
      <c r="AB122" s="2746"/>
      <c r="AC122" s="2746"/>
    </row>
    <row r="123" spans="1:29" ht="15" thickTop="1">
      <c r="A123" s="548"/>
      <c r="B123" s="487" t="s">
        <v>1744</v>
      </c>
      <c r="C123" s="3512" t="s">
        <v>3974</v>
      </c>
      <c r="D123" s="3512" t="s">
        <v>3975</v>
      </c>
      <c r="E123" s="3512" t="s">
        <v>3976</v>
      </c>
      <c r="F123" s="3514" t="s">
        <v>3977</v>
      </c>
      <c r="G123" s="532"/>
      <c r="H123" s="532"/>
      <c r="I123" s="532"/>
      <c r="J123" s="532"/>
      <c r="K123" s="533"/>
      <c r="L123" s="534"/>
      <c r="M123" s="535"/>
      <c r="N123" s="2752"/>
      <c r="O123" s="2752"/>
      <c r="P123" s="2761"/>
      <c r="Q123" s="2738"/>
      <c r="R123" s="2724"/>
      <c r="S123" s="2724"/>
      <c r="T123" s="2724"/>
      <c r="U123" s="2724"/>
      <c r="V123" s="2724"/>
      <c r="W123" s="2724"/>
      <c r="X123" s="2724"/>
      <c r="Y123" s="2724"/>
      <c r="Z123" s="2724"/>
      <c r="AA123" s="2724"/>
      <c r="AB123" s="2724"/>
      <c r="AC123" s="2724"/>
    </row>
    <row r="124" spans="1:29" ht="15.75" thickBot="1">
      <c r="A124" s="483"/>
      <c r="B124" s="492"/>
      <c r="C124" s="493">
        <v>100</v>
      </c>
      <c r="D124" s="493">
        <f t="shared" ref="D124:M124" si="30">C124-$K43</f>
        <v>95</v>
      </c>
      <c r="E124" s="493">
        <f t="shared" si="30"/>
        <v>90</v>
      </c>
      <c r="F124" s="493">
        <f t="shared" si="30"/>
        <v>85</v>
      </c>
      <c r="G124" s="493">
        <f t="shared" si="30"/>
        <v>80</v>
      </c>
      <c r="H124" s="493">
        <f t="shared" si="30"/>
        <v>75</v>
      </c>
      <c r="I124" s="493">
        <f t="shared" si="30"/>
        <v>70</v>
      </c>
      <c r="J124" s="493">
        <f t="shared" si="30"/>
        <v>65</v>
      </c>
      <c r="K124" s="493">
        <f t="shared" si="30"/>
        <v>60</v>
      </c>
      <c r="L124" s="493">
        <f t="shared" si="30"/>
        <v>55</v>
      </c>
      <c r="M124" s="494">
        <f t="shared" si="30"/>
        <v>50</v>
      </c>
      <c r="N124" s="2753"/>
      <c r="O124" s="2753"/>
      <c r="P124" s="2761"/>
      <c r="Q124" s="2738"/>
      <c r="R124" s="2724"/>
      <c r="S124" s="2724"/>
      <c r="T124" s="2724"/>
      <c r="U124" s="2724"/>
      <c r="V124" s="2724"/>
      <c r="W124" s="2724"/>
      <c r="X124" s="2724"/>
      <c r="Y124" s="2724"/>
      <c r="Z124" s="2724"/>
      <c r="AA124" s="2724"/>
      <c r="AB124" s="2724"/>
      <c r="AC124" s="2724"/>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2"/>
      <c r="O125" s="2752"/>
      <c r="P125" s="2762"/>
      <c r="Q125" s="2738"/>
      <c r="R125" s="2724"/>
      <c r="S125" s="2724"/>
      <c r="T125" s="2724"/>
      <c r="U125" s="2724"/>
      <c r="V125" s="2724"/>
      <c r="W125" s="2724"/>
      <c r="X125" s="2724"/>
      <c r="Y125" s="2724"/>
      <c r="Z125" s="2724"/>
      <c r="AA125" s="2724"/>
      <c r="AB125" s="2724"/>
      <c r="AC125" s="2724"/>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3"/>
      <c r="O126" s="2753"/>
      <c r="P126" s="2761"/>
      <c r="Q126" s="2738"/>
      <c r="R126" s="2724"/>
      <c r="S126" s="2724"/>
      <c r="T126" s="2724"/>
      <c r="U126" s="2724"/>
      <c r="V126" s="2724"/>
      <c r="W126" s="2724"/>
      <c r="X126" s="2724"/>
      <c r="Y126" s="2724"/>
      <c r="Z126" s="2724"/>
      <c r="AA126" s="2724"/>
      <c r="AB126" s="2724"/>
      <c r="AC126" s="2724"/>
    </row>
    <row r="127" spans="1:29" s="422" customFormat="1" ht="15" thickTop="1">
      <c r="A127" s="542"/>
      <c r="B127" s="487" t="str">
        <f>B45</f>
        <v>是否含地下车库</v>
      </c>
      <c r="C127" s="3513" t="s">
        <v>3978</v>
      </c>
      <c r="D127" s="3513" t="s">
        <v>3979</v>
      </c>
      <c r="E127" s="503"/>
      <c r="F127" s="503"/>
      <c r="G127" s="503"/>
      <c r="H127" s="504"/>
      <c r="I127" s="504"/>
      <c r="J127" s="504"/>
      <c r="K127" s="504"/>
      <c r="L127" s="505"/>
      <c r="M127" s="506"/>
      <c r="N127" s="2754"/>
      <c r="O127" s="2754"/>
      <c r="P127" s="2762"/>
      <c r="Q127" s="2745"/>
      <c r="R127" s="2746"/>
      <c r="S127" s="2746"/>
      <c r="T127" s="2746"/>
      <c r="U127" s="2746"/>
      <c r="V127" s="2746"/>
      <c r="W127" s="2746"/>
      <c r="X127" s="2746"/>
      <c r="Y127" s="2746"/>
      <c r="Z127" s="2746"/>
      <c r="AA127" s="2746"/>
      <c r="AB127" s="2746"/>
      <c r="AC127" s="2746"/>
    </row>
    <row r="128" spans="1:29" s="422" customFormat="1" ht="15.75" thickBot="1">
      <c r="A128" s="502"/>
      <c r="B128" s="492"/>
      <c r="C128" s="509">
        <v>100</v>
      </c>
      <c r="D128" s="485">
        <v>90</v>
      </c>
      <c r="E128" s="485"/>
      <c r="F128" s="485"/>
      <c r="G128" s="509"/>
      <c r="H128" s="511"/>
      <c r="I128" s="511"/>
      <c r="J128" s="511"/>
      <c r="K128" s="511"/>
      <c r="L128" s="511"/>
      <c r="M128" s="512"/>
      <c r="N128" s="2754"/>
      <c r="O128" s="2754"/>
      <c r="P128" s="2762"/>
      <c r="Q128" s="2745"/>
      <c r="R128" s="2746"/>
      <c r="S128" s="2746"/>
      <c r="T128" s="2746"/>
      <c r="U128" s="2746"/>
      <c r="V128" s="2746"/>
      <c r="W128" s="2746"/>
      <c r="X128" s="2746"/>
      <c r="Y128" s="2746"/>
      <c r="Z128" s="2746"/>
      <c r="AA128" s="2746"/>
      <c r="AB128" s="2746"/>
      <c r="AC128" s="2746"/>
    </row>
    <row r="129" spans="1:29" ht="15" thickTop="1">
      <c r="A129" s="548"/>
      <c r="B129" s="487">
        <f>B46</f>
        <v>111</v>
      </c>
      <c r="C129" s="503"/>
      <c r="D129" s="503"/>
      <c r="E129" s="503"/>
      <c r="F129" s="503"/>
      <c r="G129" s="532"/>
      <c r="H129" s="532"/>
      <c r="I129" s="532"/>
      <c r="J129" s="532"/>
      <c r="K129" s="533"/>
      <c r="L129" s="534"/>
      <c r="M129" s="535"/>
      <c r="N129" s="2752"/>
      <c r="O129" s="2752"/>
      <c r="P129" s="2761"/>
      <c r="Q129" s="2738"/>
      <c r="R129" s="2724"/>
      <c r="S129" s="2724"/>
      <c r="T129" s="2724"/>
      <c r="U129" s="2724"/>
      <c r="V129" s="2724"/>
      <c r="W129" s="2724"/>
      <c r="X129" s="2724"/>
      <c r="Y129" s="2724"/>
      <c r="Z129" s="2724"/>
      <c r="AA129" s="2724"/>
      <c r="AB129" s="2724"/>
      <c r="AC129" s="2724"/>
    </row>
    <row r="130" spans="1:29" ht="15.75" thickBot="1">
      <c r="A130" s="483"/>
      <c r="B130" s="492"/>
      <c r="C130" s="509"/>
      <c r="D130" s="509"/>
      <c r="E130" s="509"/>
      <c r="F130" s="509"/>
      <c r="G130" s="485"/>
      <c r="H130" s="485"/>
      <c r="I130" s="485"/>
      <c r="J130" s="485"/>
      <c r="K130" s="485"/>
      <c r="L130" s="485"/>
      <c r="M130" s="486"/>
      <c r="N130" s="2753"/>
      <c r="O130" s="2753"/>
      <c r="P130" s="2761"/>
      <c r="Q130" s="2738"/>
      <c r="R130" s="2724"/>
      <c r="S130" s="2724"/>
      <c r="T130" s="2724"/>
      <c r="U130" s="2724"/>
      <c r="V130" s="2724"/>
      <c r="W130" s="2724"/>
      <c r="X130" s="2724"/>
      <c r="Y130" s="2724"/>
      <c r="Z130" s="2724"/>
      <c r="AA130" s="2724"/>
      <c r="AB130" s="2724"/>
      <c r="AC130" s="2724"/>
    </row>
    <row r="131" spans="1:29" ht="15" thickTop="1">
      <c r="A131" s="548"/>
      <c r="B131" s="495">
        <f>B47</f>
        <v>111</v>
      </c>
      <c r="C131" s="472"/>
      <c r="D131" s="472"/>
      <c r="E131" s="472"/>
      <c r="F131" s="472"/>
      <c r="G131" s="536"/>
      <c r="H131" s="536"/>
      <c r="I131" s="536"/>
      <c r="J131" s="536"/>
      <c r="K131" s="472"/>
      <c r="L131" s="473"/>
      <c r="M131" s="539"/>
      <c r="N131" s="2752"/>
      <c r="O131" s="2752"/>
      <c r="P131" s="2761"/>
      <c r="Q131" s="2738"/>
      <c r="R131" s="2724"/>
      <c r="S131" s="2724"/>
      <c r="T131" s="2724"/>
      <c r="U131" s="2724"/>
      <c r="V131" s="2724"/>
      <c r="W131" s="2724"/>
      <c r="X131" s="2724"/>
      <c r="Y131" s="2724"/>
      <c r="Z131" s="2724"/>
      <c r="AA131" s="2724"/>
      <c r="AB131" s="2724"/>
      <c r="AC131" s="2724"/>
    </row>
    <row r="132" spans="1:29" ht="15.75" thickBot="1">
      <c r="A132" s="1928"/>
      <c r="B132" s="518"/>
      <c r="C132" s="519"/>
      <c r="D132" s="519"/>
      <c r="E132" s="519"/>
      <c r="F132" s="519"/>
      <c r="G132" s="540"/>
      <c r="H132" s="540"/>
      <c r="I132" s="540"/>
      <c r="J132" s="540"/>
      <c r="K132" s="540"/>
      <c r="L132" s="540"/>
      <c r="M132" s="541"/>
      <c r="N132" s="2753"/>
      <c r="O132" s="2753"/>
      <c r="P132" s="2761"/>
      <c r="Q132" s="2738"/>
      <c r="R132" s="2724"/>
      <c r="S132" s="2724"/>
      <c r="T132" s="2724"/>
      <c r="U132" s="2724"/>
      <c r="V132" s="2724"/>
      <c r="W132" s="2724"/>
      <c r="X132" s="2724"/>
      <c r="Y132" s="2724"/>
      <c r="Z132" s="2724"/>
      <c r="AA132" s="2724"/>
      <c r="AB132" s="2724"/>
      <c r="AC132" s="2724"/>
    </row>
  </sheetData>
  <sheetProtection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12" priority="20" stopIfTrue="1" operator="containsText" text="超过">
      <formula>NOT(ISERROR(SEARCH("超过",F53)))</formula>
    </cfRule>
  </conditionalFormatting>
  <conditionalFormatting sqref="H55">
    <cfRule type="containsText" dxfId="111" priority="19" stopIfTrue="1" operator="containsText" text="超过">
      <formula>NOT(ISERROR(SEARCH("超过",H55)))</formula>
    </cfRule>
  </conditionalFormatting>
  <conditionalFormatting sqref="F55">
    <cfRule type="containsText" dxfId="110" priority="18" stopIfTrue="1" operator="containsText" text="超过">
      <formula>NOT(ISERROR(SEARCH("超过",F55)))</formula>
    </cfRule>
  </conditionalFormatting>
  <conditionalFormatting sqref="F54 H54">
    <cfRule type="containsText" dxfId="109" priority="17" stopIfTrue="1" operator="containsText" text="超过">
      <formula>NOT(ISERROR(SEARCH("超过",F54)))</formula>
    </cfRule>
  </conditionalFormatting>
  <conditionalFormatting sqref="E53">
    <cfRule type="expression" dxfId="108" priority="16" stopIfTrue="1">
      <formula>$F$53="超过30%"</formula>
    </cfRule>
  </conditionalFormatting>
  <conditionalFormatting sqref="E54">
    <cfRule type="expression" dxfId="107" priority="15" stopIfTrue="1">
      <formula>$F$54="超过20%"</formula>
    </cfRule>
  </conditionalFormatting>
  <conditionalFormatting sqref="E55">
    <cfRule type="expression" dxfId="106" priority="14" stopIfTrue="1">
      <formula>$F$55="超过30%"</formula>
    </cfRule>
  </conditionalFormatting>
  <conditionalFormatting sqref="G55">
    <cfRule type="expression" dxfId="105" priority="13" stopIfTrue="1">
      <formula>$H$55="超过30%"</formula>
    </cfRule>
  </conditionalFormatting>
  <conditionalFormatting sqref="G53">
    <cfRule type="expression" dxfId="104" priority="12" stopIfTrue="1">
      <formula>$H$53="超过30%"</formula>
    </cfRule>
  </conditionalFormatting>
  <conditionalFormatting sqref="G54">
    <cfRule type="expression" dxfId="103" priority="11" stopIfTrue="1">
      <formula>$H$54="超过20%"</formula>
    </cfRule>
  </conditionalFormatting>
  <conditionalFormatting sqref="J53">
    <cfRule type="containsText" dxfId="102" priority="10" stopIfTrue="1" operator="containsText" text="超过">
      <formula>NOT(ISERROR(SEARCH("超过",J53)))</formula>
    </cfRule>
  </conditionalFormatting>
  <conditionalFormatting sqref="J55">
    <cfRule type="containsText" dxfId="101" priority="9" stopIfTrue="1" operator="containsText" text="超过">
      <formula>NOT(ISERROR(SEARCH("超过",J55)))</formula>
    </cfRule>
  </conditionalFormatting>
  <conditionalFormatting sqref="J54">
    <cfRule type="containsText" dxfId="100" priority="8" stopIfTrue="1" operator="containsText" text="超过">
      <formula>NOT(ISERROR(SEARCH("超过",J54)))</formula>
    </cfRule>
  </conditionalFormatting>
  <conditionalFormatting sqref="I53">
    <cfRule type="expression" dxfId="99" priority="7" stopIfTrue="1">
      <formula>$J$53="超过30%"</formula>
    </cfRule>
  </conditionalFormatting>
  <conditionalFormatting sqref="I54">
    <cfRule type="expression" dxfId="98" priority="6" stopIfTrue="1">
      <formula>$J$53+$J$54="超过20%"</formula>
    </cfRule>
  </conditionalFormatting>
  <conditionalFormatting sqref="I55">
    <cfRule type="expression" dxfId="97" priority="5" stopIfTrue="1">
      <formula>$J$55="超过30%"</formula>
    </cfRule>
  </conditionalFormatting>
  <conditionalFormatting sqref="F49">
    <cfRule type="expression" dxfId="96" priority="4">
      <formula>$D$49="简单平均"</formula>
    </cfRule>
  </conditionalFormatting>
  <conditionalFormatting sqref="H49">
    <cfRule type="expression" dxfId="95" priority="3">
      <formula>$D$49="简单平均"</formula>
    </cfRule>
  </conditionalFormatting>
  <conditionalFormatting sqref="J49">
    <cfRule type="expression" dxfId="94" priority="2">
      <formula>$D$49="简单平均"</formula>
    </cfRule>
  </conditionalFormatting>
  <conditionalFormatting sqref="F7:F47 H7:H47 J7:J47">
    <cfRule type="cellIs" dxfId="93"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9:S293"/>
  <sheetViews>
    <sheetView topLeftCell="A70" zoomScaleNormal="100" workbookViewId="0">
      <selection activeCell="B358" sqref="B358"/>
    </sheetView>
  </sheetViews>
  <sheetFormatPr defaultRowHeight="13.5"/>
  <cols>
    <col min="11" max="11" width="10.5" bestFit="1" customWidth="1"/>
    <col min="13" max="13" width="12.75" bestFit="1" customWidth="1"/>
  </cols>
  <sheetData>
    <row r="19" spans="1:13">
      <c r="K19">
        <f>1.376*100000000</f>
        <v>137600000</v>
      </c>
      <c r="L19">
        <v>21906.48</v>
      </c>
      <c r="M19">
        <f>K19/L19</f>
        <v>6281.2464622340058</v>
      </c>
    </row>
    <row r="31" spans="1:13">
      <c r="A31" s="3488" t="s">
        <v>3436</v>
      </c>
    </row>
    <row r="32" spans="1:13">
      <c r="A32" s="3488" t="s">
        <v>3437</v>
      </c>
    </row>
    <row r="33" spans="1:19">
      <c r="A33" s="3488" t="s">
        <v>3438</v>
      </c>
    </row>
    <row r="34" spans="1:19">
      <c r="A34" s="3488" t="s">
        <v>3439</v>
      </c>
    </row>
    <row r="35" spans="1:19">
      <c r="A35" s="3488" t="s">
        <v>3440</v>
      </c>
    </row>
    <row r="36" spans="1:19">
      <c r="A36" s="3488" t="s">
        <v>3441</v>
      </c>
    </row>
    <row r="37" spans="1:19">
      <c r="A37" s="3488" t="s">
        <v>3442</v>
      </c>
    </row>
    <row r="38" spans="1:19">
      <c r="A38" t="s">
        <v>3445</v>
      </c>
    </row>
    <row r="47" spans="1:19">
      <c r="Q47" t="s">
        <v>3456</v>
      </c>
    </row>
    <row r="48" spans="1:19">
      <c r="R48" s="3488" t="s">
        <v>3454</v>
      </c>
      <c r="S48">
        <v>10</v>
      </c>
    </row>
    <row r="49" spans="18:19">
      <c r="R49" s="3488" t="s">
        <v>3455</v>
      </c>
      <c r="S49">
        <v>1200</v>
      </c>
    </row>
    <row r="68" spans="1:1">
      <c r="A68" t="s">
        <v>3444</v>
      </c>
    </row>
    <row r="110" spans="1:1">
      <c r="A110" t="s">
        <v>3443</v>
      </c>
    </row>
    <row r="153" spans="1:1">
      <c r="A153" t="s">
        <v>3446</v>
      </c>
    </row>
    <row r="172" spans="1:1">
      <c r="A172" t="s">
        <v>3447</v>
      </c>
    </row>
    <row r="194" spans="1:1">
      <c r="A194" s="3488" t="s">
        <v>3961</v>
      </c>
    </row>
    <row r="288" spans="18:19">
      <c r="R288" s="3488" t="s">
        <v>4011</v>
      </c>
      <c r="S288">
        <v>36000</v>
      </c>
    </row>
    <row r="289" spans="18:19">
      <c r="R289" s="3488" t="s">
        <v>4012</v>
      </c>
      <c r="S289">
        <v>6000</v>
      </c>
    </row>
    <row r="290" spans="18:19">
      <c r="R290" s="3488" t="s">
        <v>4013</v>
      </c>
    </row>
    <row r="291" spans="18:19">
      <c r="R291" s="3488" t="s">
        <v>4014</v>
      </c>
      <c r="S291">
        <v>5400</v>
      </c>
    </row>
    <row r="292" spans="18:19">
      <c r="R292" s="3488" t="s">
        <v>4015</v>
      </c>
      <c r="S292">
        <v>20000</v>
      </c>
    </row>
    <row r="293" spans="18:19">
      <c r="S293">
        <v>230000</v>
      </c>
    </row>
  </sheetData>
  <phoneticPr fontId="134" type="noConversion"/>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2:S92"/>
  <sheetViews>
    <sheetView topLeftCell="A111" zoomScaleNormal="100" workbookViewId="0">
      <selection activeCell="A92" sqref="A92:H92"/>
    </sheetView>
  </sheetViews>
  <sheetFormatPr defaultColWidth="9" defaultRowHeight="13.5"/>
  <cols>
    <col min="1" max="13" width="9" style="3489"/>
    <col min="14" max="14" width="10.5" style="3489" bestFit="1" customWidth="1"/>
    <col min="15" max="16384" width="9" style="3489"/>
  </cols>
  <sheetData>
    <row r="2" spans="1:19">
      <c r="A2" s="3489" t="s">
        <v>3448</v>
      </c>
      <c r="S2" s="3489" t="s">
        <v>3954</v>
      </c>
    </row>
    <row r="3" spans="1:19">
      <c r="R3" s="3489">
        <f>ROUND(569299500/15509.5,0)</f>
        <v>36707</v>
      </c>
    </row>
    <row r="4" spans="1:19">
      <c r="N4" s="3489">
        <f>5.69*100000000</f>
        <v>569000000</v>
      </c>
      <c r="R4" s="3503" t="s">
        <v>3955</v>
      </c>
    </row>
    <row r="5" spans="1:19">
      <c r="N5" s="3489">
        <v>15509.5</v>
      </c>
    </row>
    <row r="6" spans="1:19">
      <c r="N6" s="3489">
        <f>ROUND(N4/N5,0)</f>
        <v>36687</v>
      </c>
      <c r="R6" s="3489">
        <f>2022-2010-2</f>
        <v>10</v>
      </c>
    </row>
    <row r="7" spans="1:19">
      <c r="R7" s="3489">
        <f>50-R6</f>
        <v>40</v>
      </c>
    </row>
    <row r="8" spans="1:19">
      <c r="R8" s="3515">
        <f>(60-12)/60</f>
        <v>0.8</v>
      </c>
    </row>
    <row r="11" spans="1:19">
      <c r="A11" s="3489" t="s">
        <v>3449</v>
      </c>
    </row>
    <row r="12" spans="1:19">
      <c r="N12" s="3489" t="s">
        <v>3453</v>
      </c>
    </row>
    <row r="20" spans="1:1">
      <c r="A20" s="3489" t="s">
        <v>3450</v>
      </c>
    </row>
    <row r="29" spans="1:1">
      <c r="A29" s="3489" t="s">
        <v>3451</v>
      </c>
    </row>
    <row r="38" spans="1:16">
      <c r="A38" s="3489" t="s">
        <v>3452</v>
      </c>
    </row>
    <row r="39" spans="1:16">
      <c r="P39" s="3489">
        <f>2053-2023</f>
        <v>30</v>
      </c>
    </row>
    <row r="40" spans="1:16">
      <c r="P40" s="3503" t="s">
        <v>3981</v>
      </c>
    </row>
    <row r="41" spans="1:16">
      <c r="P41" s="3489">
        <f>2022-2015</f>
        <v>7</v>
      </c>
    </row>
    <row r="42" spans="1:16">
      <c r="P42" s="3515">
        <f>(60-P41)/60</f>
        <v>0.8833333333333333</v>
      </c>
    </row>
    <row r="50" spans="1:7">
      <c r="C50" s="3489">
        <v>2012</v>
      </c>
      <c r="D50" s="3489">
        <f>2022-C50</f>
        <v>10</v>
      </c>
    </row>
    <row r="51" spans="1:7">
      <c r="A51" s="3503" t="s">
        <v>3950</v>
      </c>
      <c r="C51" s="3505">
        <v>56259</v>
      </c>
      <c r="D51" s="3506">
        <v>44926</v>
      </c>
      <c r="E51" s="3507">
        <f>(C51-D51)/365</f>
        <v>31.049315068493151</v>
      </c>
      <c r="F51" s="3522" t="s">
        <v>4000</v>
      </c>
      <c r="G51" s="3515">
        <f>(60-D50)/60</f>
        <v>0.83333333333333337</v>
      </c>
    </row>
    <row r="92" spans="1:8">
      <c r="A92" s="3500" t="s">
        <v>3724</v>
      </c>
      <c r="B92" s="3489" t="s">
        <v>3957</v>
      </c>
      <c r="C92" s="3503" t="s">
        <v>3958</v>
      </c>
      <c r="H92" s="3489">
        <v>28504.51</v>
      </c>
    </row>
  </sheetData>
  <phoneticPr fontId="134" type="noConversion"/>
  <hyperlinks>
    <hyperlink ref="F51" r:id="rId1"/>
  </hyperlinks>
  <pageMargins left="0.7" right="0.7" top="0.75" bottom="0.75" header="0.3" footer="0.3"/>
  <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2" sqref="E2"/>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1826</v>
      </c>
      <c r="C1" s="1224" t="s">
        <v>1662</v>
      </c>
      <c r="D1" s="1225"/>
      <c r="E1" s="3432"/>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51034.460000000006</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1769</v>
      </c>
      <c r="B4" s="356"/>
      <c r="C4" s="3810" t="s">
        <v>1770</v>
      </c>
      <c r="D4" s="3811"/>
      <c r="E4" s="3812" t="s">
        <v>1771</v>
      </c>
      <c r="F4" s="3813"/>
      <c r="G4" s="3810" t="s">
        <v>1772</v>
      </c>
      <c r="H4" s="3811"/>
      <c r="I4" s="3810" t="s">
        <v>1773</v>
      </c>
      <c r="J4" s="3811"/>
      <c r="K4" s="559" t="s">
        <v>1774</v>
      </c>
      <c r="L4" s="913"/>
      <c r="M4" s="914"/>
      <c r="N4" s="914"/>
      <c r="O4" s="914"/>
      <c r="P4" s="3814" t="s">
        <v>1775</v>
      </c>
      <c r="Q4" s="3815"/>
      <c r="R4" s="3797" t="s">
        <v>1771</v>
      </c>
      <c r="S4" s="3798"/>
      <c r="T4" s="3797" t="s">
        <v>1772</v>
      </c>
      <c r="U4" s="3798"/>
      <c r="V4" s="3822" t="s">
        <v>1773</v>
      </c>
      <c r="W4" s="3822"/>
      <c r="X4" s="1355"/>
      <c r="Y4" s="3797" t="s">
        <v>1775</v>
      </c>
      <c r="Z4" s="3798"/>
      <c r="AA4" s="3792" t="s">
        <v>1771</v>
      </c>
      <c r="AB4" s="3793" t="s">
        <v>1772</v>
      </c>
      <c r="AC4" s="3792" t="s">
        <v>1773</v>
      </c>
    </row>
    <row r="5" spans="1:29" ht="15">
      <c r="A5" s="358"/>
      <c r="B5" s="359"/>
      <c r="C5" s="3803" t="s">
        <v>1673</v>
      </c>
      <c r="D5" s="3804"/>
      <c r="E5" s="3801" t="s">
        <v>1674</v>
      </c>
      <c r="F5" s="3802"/>
      <c r="G5" s="3803" t="s">
        <v>1675</v>
      </c>
      <c r="H5" s="3804"/>
      <c r="I5" s="3803" t="s">
        <v>1676</v>
      </c>
      <c r="J5" s="3804"/>
      <c r="K5" s="559"/>
      <c r="L5" s="913"/>
      <c r="M5" s="914"/>
      <c r="N5" s="914"/>
      <c r="O5" s="914"/>
      <c r="P5" s="3816"/>
      <c r="Q5" s="3817"/>
      <c r="R5" s="3799"/>
      <c r="S5" s="3800"/>
      <c r="T5" s="3799"/>
      <c r="U5" s="3800"/>
      <c r="V5" s="3822"/>
      <c r="W5" s="3822"/>
      <c r="X5" s="1355"/>
      <c r="Y5" s="3799"/>
      <c r="Z5" s="3800"/>
      <c r="AA5" s="3793"/>
      <c r="AB5" s="3793"/>
      <c r="AC5" s="3793"/>
    </row>
    <row r="6" spans="1:29" ht="15.75" thickBot="1">
      <c r="A6" s="360"/>
      <c r="B6" s="361"/>
      <c r="C6" s="3805" t="s">
        <v>1677</v>
      </c>
      <c r="D6" s="3806"/>
      <c r="E6" s="3807" t="s">
        <v>1677</v>
      </c>
      <c r="F6" s="3808"/>
      <c r="G6" s="3805" t="s">
        <v>1677</v>
      </c>
      <c r="H6" s="3806"/>
      <c r="I6" s="3805" t="s">
        <v>1677</v>
      </c>
      <c r="J6" s="3806"/>
      <c r="K6" s="559" t="s">
        <v>1678</v>
      </c>
      <c r="L6" s="913"/>
      <c r="M6" s="914"/>
      <c r="N6" s="914"/>
      <c r="O6" s="914"/>
      <c r="P6" s="3818"/>
      <c r="Q6" s="3819"/>
      <c r="R6" s="3799"/>
      <c r="S6" s="3800"/>
      <c r="T6" s="3820"/>
      <c r="U6" s="3821"/>
      <c r="V6" s="3822"/>
      <c r="W6" s="3822"/>
      <c r="X6" s="1355"/>
      <c r="Y6" s="3820"/>
      <c r="Z6" s="3821"/>
      <c r="AA6" s="3794"/>
      <c r="AB6" s="3794"/>
      <c r="AC6" s="3794"/>
    </row>
    <row r="7" spans="1:29" s="108" customFormat="1" ht="15.75" thickBot="1">
      <c r="A7" s="362" t="s">
        <v>1679</v>
      </c>
      <c r="B7" s="363"/>
      <c r="C7" s="364">
        <f>'数据-取费表'!B2</f>
        <v>44926</v>
      </c>
      <c r="D7" s="365">
        <v>100</v>
      </c>
      <c r="E7" s="366"/>
      <c r="F7" s="367">
        <f>SUMIF(52:52,YEAR(E7)&amp;"-"&amp;MONTH(E7),53:53)</f>
        <v>0</v>
      </c>
      <c r="G7" s="366"/>
      <c r="H7" s="365">
        <f>SUMIF(52:52,YEAR(G7)&amp;"-"&amp;MONTH(G7),53:53)</f>
        <v>0</v>
      </c>
      <c r="I7" s="366"/>
      <c r="J7" s="365">
        <f>SUMIF(52:52,YEAR(I7)&amp;"-"&amp;MONTH(I7),53:53)</f>
        <v>0</v>
      </c>
      <c r="K7" s="560"/>
      <c r="L7" s="915"/>
      <c r="M7" s="916"/>
      <c r="N7" s="916"/>
      <c r="O7" s="916"/>
      <c r="P7" s="3795" t="s">
        <v>1680</v>
      </c>
      <c r="Q7" s="3823"/>
      <c r="R7" s="701" t="s">
        <v>14</v>
      </c>
      <c r="S7" s="702">
        <f t="shared" ref="S7:S15" si="0">F7</f>
        <v>0</v>
      </c>
      <c r="T7" s="701" t="s">
        <v>14</v>
      </c>
      <c r="U7" s="702">
        <f t="shared" ref="U7:U15" si="1">H7</f>
        <v>0</v>
      </c>
      <c r="V7" s="701" t="s">
        <v>14</v>
      </c>
      <c r="W7" s="702">
        <f t="shared" ref="W7:W15" si="2">J7</f>
        <v>0</v>
      </c>
      <c r="X7" s="703"/>
      <c r="Y7" s="3795" t="s">
        <v>1680</v>
      </c>
      <c r="Z7" s="3796"/>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795" t="s">
        <v>1683</v>
      </c>
      <c r="Q8" s="3796"/>
      <c r="R8" s="701" t="s">
        <v>14</v>
      </c>
      <c r="S8" s="702">
        <f t="shared" si="0"/>
        <v>100</v>
      </c>
      <c r="T8" s="701" t="s">
        <v>14</v>
      </c>
      <c r="U8" s="702">
        <f t="shared" si="1"/>
        <v>100</v>
      </c>
      <c r="V8" s="701" t="s">
        <v>14</v>
      </c>
      <c r="W8" s="702">
        <f t="shared" si="2"/>
        <v>100</v>
      </c>
      <c r="X8" s="703"/>
      <c r="Y8" s="3795" t="s">
        <v>1683</v>
      </c>
      <c r="Z8" s="3796"/>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827" t="s">
        <v>1686</v>
      </c>
      <c r="Q9" s="1343" t="str">
        <f t="shared" ref="Q9:Q15" si="6">B9</f>
        <v>用途</v>
      </c>
      <c r="R9" s="701" t="s">
        <v>14</v>
      </c>
      <c r="S9" s="702">
        <f t="shared" si="0"/>
        <v>100</v>
      </c>
      <c r="T9" s="701" t="s">
        <v>14</v>
      </c>
      <c r="U9" s="702">
        <f t="shared" si="1"/>
        <v>100</v>
      </c>
      <c r="V9" s="701" t="s">
        <v>14</v>
      </c>
      <c r="W9" s="702">
        <f t="shared" si="2"/>
        <v>100</v>
      </c>
      <c r="X9" s="703"/>
      <c r="Y9" s="3720" t="s">
        <v>1687</v>
      </c>
      <c r="Z9" s="52" t="str">
        <f t="shared" ref="Z9:Z15" si="7">Q9</f>
        <v>用途</v>
      </c>
      <c r="AA9" s="704">
        <f t="shared" si="3"/>
        <v>1</v>
      </c>
      <c r="AB9" s="704">
        <f t="shared" si="4"/>
        <v>1</v>
      </c>
      <c r="AC9" s="704">
        <f t="shared" si="5"/>
        <v>1</v>
      </c>
    </row>
    <row r="10" spans="1:29" s="378" customFormat="1" ht="27">
      <c r="A10" s="374"/>
      <c r="B10" s="375" t="s">
        <v>1688</v>
      </c>
      <c r="C10" s="3433"/>
      <c r="D10" s="127">
        <v>100</v>
      </c>
      <c r="E10" s="3433"/>
      <c r="F10" s="127">
        <f>SUMIF(59:59,E10,60:60)-SUMIF(59:59,C10,60:60)+100</f>
        <v>100</v>
      </c>
      <c r="G10" s="3434"/>
      <c r="H10" s="127">
        <f>SUMIF(59:59,G10,60:60)-SUMIF(59:59,C10,60:60)+100</f>
        <v>100</v>
      </c>
      <c r="I10" s="3433"/>
      <c r="J10" s="127">
        <f>SUMIF(59:59,I10,60:60)-SUMIF(59:59,C10,60:60)+100</f>
        <v>100</v>
      </c>
      <c r="K10" s="560"/>
      <c r="L10" s="918"/>
      <c r="M10" s="919"/>
      <c r="N10" s="919"/>
      <c r="O10" s="920"/>
      <c r="P10" s="3827"/>
      <c r="Q10" s="1343" t="str">
        <f t="shared" si="6"/>
        <v>土地使用年限（年）</v>
      </c>
      <c r="R10" s="701" t="s">
        <v>14</v>
      </c>
      <c r="S10" s="702">
        <f t="shared" si="0"/>
        <v>100</v>
      </c>
      <c r="T10" s="701" t="s">
        <v>14</v>
      </c>
      <c r="U10" s="702">
        <f t="shared" si="1"/>
        <v>100</v>
      </c>
      <c r="V10" s="701" t="s">
        <v>14</v>
      </c>
      <c r="W10" s="702">
        <f t="shared" si="2"/>
        <v>100</v>
      </c>
      <c r="X10" s="703"/>
      <c r="Y10" s="3720"/>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827"/>
      <c r="Q11" s="1343" t="str">
        <f t="shared" si="6"/>
        <v>容积率</v>
      </c>
      <c r="R11" s="701" t="s">
        <v>14</v>
      </c>
      <c r="S11" s="702">
        <f t="shared" si="0"/>
        <v>100</v>
      </c>
      <c r="T11" s="701" t="s">
        <v>14</v>
      </c>
      <c r="U11" s="702">
        <f t="shared" si="1"/>
        <v>100</v>
      </c>
      <c r="V11" s="701" t="s">
        <v>14</v>
      </c>
      <c r="W11" s="702">
        <f t="shared" si="2"/>
        <v>100</v>
      </c>
      <c r="X11" s="703"/>
      <c r="Y11" s="3720"/>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827"/>
      <c r="Q12" s="1343">
        <f t="shared" si="6"/>
        <v>111</v>
      </c>
      <c r="R12" s="701" t="s">
        <v>14</v>
      </c>
      <c r="S12" s="702">
        <f t="shared" si="0"/>
        <v>100</v>
      </c>
      <c r="T12" s="701" t="s">
        <v>14</v>
      </c>
      <c r="U12" s="702">
        <f t="shared" si="1"/>
        <v>100</v>
      </c>
      <c r="V12" s="701" t="s">
        <v>14</v>
      </c>
      <c r="W12" s="702">
        <f t="shared" si="2"/>
        <v>100</v>
      </c>
      <c r="X12" s="703"/>
      <c r="Y12" s="3720"/>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827"/>
      <c r="Q13" s="1343">
        <f t="shared" si="6"/>
        <v>111</v>
      </c>
      <c r="R13" s="701" t="s">
        <v>14</v>
      </c>
      <c r="S13" s="702">
        <f t="shared" si="0"/>
        <v>100</v>
      </c>
      <c r="T13" s="701" t="s">
        <v>14</v>
      </c>
      <c r="U13" s="702">
        <f t="shared" si="1"/>
        <v>100</v>
      </c>
      <c r="V13" s="701" t="s">
        <v>14</v>
      </c>
      <c r="W13" s="702">
        <f t="shared" si="2"/>
        <v>100</v>
      </c>
      <c r="X13" s="703"/>
      <c r="Y13" s="3720"/>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827"/>
      <c r="Q14" s="1343">
        <f t="shared" si="6"/>
        <v>111</v>
      </c>
      <c r="R14" s="701" t="s">
        <v>14</v>
      </c>
      <c r="S14" s="702">
        <f t="shared" si="0"/>
        <v>100</v>
      </c>
      <c r="T14" s="701" t="s">
        <v>14</v>
      </c>
      <c r="U14" s="702">
        <f t="shared" si="1"/>
        <v>100</v>
      </c>
      <c r="V14" s="701" t="s">
        <v>14</v>
      </c>
      <c r="W14" s="702">
        <f t="shared" si="2"/>
        <v>100</v>
      </c>
      <c r="X14" s="703"/>
      <c r="Y14" s="3720"/>
      <c r="Z14" s="52">
        <f t="shared" si="7"/>
        <v>111</v>
      </c>
      <c r="AA14" s="704">
        <f t="shared" si="3"/>
        <v>1</v>
      </c>
      <c r="AB14" s="704">
        <f t="shared" si="4"/>
        <v>1</v>
      </c>
      <c r="AC14" s="704">
        <f t="shared" si="5"/>
        <v>1</v>
      </c>
    </row>
    <row r="15" spans="1:29" ht="57">
      <c r="A15" s="391" t="s">
        <v>1690</v>
      </c>
      <c r="B15" s="61" t="s">
        <v>1827</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829" t="s">
        <v>1691</v>
      </c>
      <c r="Q15" s="1352" t="str">
        <f t="shared" si="6"/>
        <v>产业集聚程度</v>
      </c>
      <c r="R15" s="705" t="s">
        <v>14</v>
      </c>
      <c r="S15" s="706">
        <f t="shared" si="0"/>
        <v>100</v>
      </c>
      <c r="T15" s="705" t="s">
        <v>14</v>
      </c>
      <c r="U15" s="706">
        <f t="shared" si="1"/>
        <v>100</v>
      </c>
      <c r="V15" s="705" t="s">
        <v>14</v>
      </c>
      <c r="W15" s="706">
        <f t="shared" si="2"/>
        <v>100</v>
      </c>
      <c r="X15" s="1355"/>
      <c r="Y15" s="3829" t="s">
        <v>1691</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830"/>
      <c r="Q16" s="1352"/>
      <c r="R16" s="705"/>
      <c r="S16" s="706"/>
      <c r="T16" s="705"/>
      <c r="U16" s="706"/>
      <c r="V16" s="705"/>
      <c r="W16" s="706"/>
      <c r="X16" s="1355"/>
      <c r="Y16" s="3830"/>
      <c r="Z16" s="1356"/>
      <c r="AA16" s="1353">
        <v>1</v>
      </c>
      <c r="AB16" s="1353">
        <v>1</v>
      </c>
      <c r="AC16" s="1353">
        <v>1</v>
      </c>
    </row>
    <row r="17" spans="1:29" ht="85.5">
      <c r="A17" s="379"/>
      <c r="B17" s="402" t="s">
        <v>1259</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830"/>
      <c r="Q17" s="1352" t="str">
        <f>B17</f>
        <v>交通便捷度</v>
      </c>
      <c r="R17" s="705" t="s">
        <v>14</v>
      </c>
      <c r="S17" s="706">
        <f>F17</f>
        <v>100</v>
      </c>
      <c r="T17" s="705" t="s">
        <v>14</v>
      </c>
      <c r="U17" s="706">
        <f>H17</f>
        <v>100</v>
      </c>
      <c r="V17" s="705" t="s">
        <v>14</v>
      </c>
      <c r="W17" s="706">
        <f>J17</f>
        <v>100</v>
      </c>
      <c r="X17" s="1355"/>
      <c r="Y17" s="3830"/>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830"/>
      <c r="Q18" s="1352"/>
      <c r="R18" s="705"/>
      <c r="S18" s="706"/>
      <c r="T18" s="705"/>
      <c r="U18" s="706"/>
      <c r="V18" s="705"/>
      <c r="W18" s="706"/>
      <c r="X18" s="1355"/>
      <c r="Y18" s="3830"/>
      <c r="Z18" s="1356"/>
      <c r="AA18" s="1353">
        <v>1</v>
      </c>
      <c r="AB18" s="1353">
        <v>1</v>
      </c>
      <c r="AC18" s="1353">
        <v>1</v>
      </c>
    </row>
    <row r="19" spans="1:29" ht="42.75">
      <c r="A19" s="379"/>
      <c r="B19" s="402" t="s">
        <v>1812</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830"/>
      <c r="Q19" s="1352" t="str">
        <f>B19</f>
        <v>公共配套设施</v>
      </c>
      <c r="R19" s="705" t="s">
        <v>14</v>
      </c>
      <c r="S19" s="706">
        <f>F19</f>
        <v>100</v>
      </c>
      <c r="T19" s="705" t="s">
        <v>14</v>
      </c>
      <c r="U19" s="706">
        <f>H19</f>
        <v>100</v>
      </c>
      <c r="V19" s="705" t="s">
        <v>14</v>
      </c>
      <c r="W19" s="706">
        <f>J19</f>
        <v>100</v>
      </c>
      <c r="X19" s="1355"/>
      <c r="Y19" s="3830"/>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830"/>
      <c r="Q20" s="1352"/>
      <c r="R20" s="705"/>
      <c r="S20" s="706"/>
      <c r="T20" s="705"/>
      <c r="U20" s="706"/>
      <c r="V20" s="705"/>
      <c r="W20" s="706"/>
      <c r="X20" s="1355"/>
      <c r="Y20" s="3830"/>
      <c r="Z20" s="1356"/>
      <c r="AA20" s="1353">
        <v>1</v>
      </c>
      <c r="AB20" s="1353">
        <v>1</v>
      </c>
      <c r="AC20" s="1353">
        <v>1</v>
      </c>
    </row>
    <row r="21" spans="1:29" ht="28.5">
      <c r="A21" s="379"/>
      <c r="B21" s="1131" t="s">
        <v>1813</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830"/>
      <c r="Q21" s="1352" t="str">
        <f>B21</f>
        <v>基础设施水平</v>
      </c>
      <c r="R21" s="705" t="s">
        <v>14</v>
      </c>
      <c r="S21" s="706">
        <f>F21</f>
        <v>100</v>
      </c>
      <c r="T21" s="705" t="s">
        <v>14</v>
      </c>
      <c r="U21" s="706">
        <f>H21</f>
        <v>100</v>
      </c>
      <c r="V21" s="705" t="s">
        <v>14</v>
      </c>
      <c r="W21" s="706">
        <f>J21</f>
        <v>100</v>
      </c>
      <c r="X21" s="1355"/>
      <c r="Y21" s="3830"/>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830"/>
      <c r="Q22" s="1352"/>
      <c r="R22" s="705"/>
      <c r="S22" s="706"/>
      <c r="T22" s="705"/>
      <c r="U22" s="706"/>
      <c r="V22" s="705"/>
      <c r="W22" s="706"/>
      <c r="X22" s="1355"/>
      <c r="Y22" s="3830"/>
      <c r="Z22" s="1356"/>
      <c r="AA22" s="1353">
        <v>1</v>
      </c>
      <c r="AB22" s="1353">
        <v>1</v>
      </c>
      <c r="AC22" s="1353">
        <v>1</v>
      </c>
    </row>
    <row r="23" spans="1:29" ht="71.25">
      <c r="A23" s="379"/>
      <c r="B23" s="402" t="s">
        <v>1814</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830"/>
      <c r="Q23" s="1352" t="str">
        <f>B23</f>
        <v>环境质量</v>
      </c>
      <c r="R23" s="705" t="s">
        <v>14</v>
      </c>
      <c r="S23" s="706">
        <f>F23</f>
        <v>100</v>
      </c>
      <c r="T23" s="705" t="s">
        <v>14</v>
      </c>
      <c r="U23" s="706">
        <f>H23</f>
        <v>100</v>
      </c>
      <c r="V23" s="705" t="s">
        <v>14</v>
      </c>
      <c r="W23" s="706">
        <f>J23</f>
        <v>100</v>
      </c>
      <c r="X23" s="1355"/>
      <c r="Y23" s="3830"/>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830"/>
      <c r="Q24" s="1352"/>
      <c r="R24" s="705"/>
      <c r="S24" s="706"/>
      <c r="T24" s="705"/>
      <c r="U24" s="706"/>
      <c r="V24" s="705"/>
      <c r="W24" s="706"/>
      <c r="X24" s="1355"/>
      <c r="Y24" s="3830"/>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830"/>
      <c r="Q25" s="1352">
        <f>B25</f>
        <v>111</v>
      </c>
      <c r="R25" s="705" t="s">
        <v>14</v>
      </c>
      <c r="S25" s="706">
        <f>F25</f>
        <v>100</v>
      </c>
      <c r="T25" s="705" t="s">
        <v>14</v>
      </c>
      <c r="U25" s="706">
        <f>H25</f>
        <v>100</v>
      </c>
      <c r="V25" s="705" t="s">
        <v>14</v>
      </c>
      <c r="W25" s="706">
        <f>J25</f>
        <v>100</v>
      </c>
      <c r="X25" s="1355"/>
      <c r="Y25" s="3830"/>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830"/>
      <c r="Q26" s="1352">
        <f t="shared" ref="Q26:Q40" si="11">B26</f>
        <v>111</v>
      </c>
      <c r="R26" s="705" t="s">
        <v>14</v>
      </c>
      <c r="S26" s="706">
        <f>F26</f>
        <v>100</v>
      </c>
      <c r="T26" s="705" t="s">
        <v>14</v>
      </c>
      <c r="U26" s="706">
        <f>H26</f>
        <v>100</v>
      </c>
      <c r="V26" s="705" t="s">
        <v>14</v>
      </c>
      <c r="W26" s="706">
        <f>J26</f>
        <v>100</v>
      </c>
      <c r="X26" s="1355"/>
      <c r="Y26" s="3830"/>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830"/>
      <c r="Q27" s="1343">
        <f t="shared" si="11"/>
        <v>111</v>
      </c>
      <c r="R27" s="701" t="s">
        <v>14</v>
      </c>
      <c r="S27" s="702">
        <f>F27</f>
        <v>100</v>
      </c>
      <c r="T27" s="701" t="s">
        <v>14</v>
      </c>
      <c r="U27" s="702">
        <f>H27</f>
        <v>100</v>
      </c>
      <c r="V27" s="701" t="s">
        <v>14</v>
      </c>
      <c r="W27" s="702">
        <f>J27</f>
        <v>100</v>
      </c>
      <c r="X27" s="703"/>
      <c r="Y27" s="3830"/>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830"/>
      <c r="Q28" s="1352">
        <f t="shared" si="11"/>
        <v>111</v>
      </c>
      <c r="R28" s="705" t="s">
        <v>14</v>
      </c>
      <c r="S28" s="706">
        <f t="shared" ref="S28:S40" si="12">F28</f>
        <v>100</v>
      </c>
      <c r="T28" s="705" t="s">
        <v>14</v>
      </c>
      <c r="U28" s="706">
        <f t="shared" ref="U28:U40" si="13">H28</f>
        <v>100</v>
      </c>
      <c r="V28" s="705" t="s">
        <v>14</v>
      </c>
      <c r="W28" s="706">
        <f t="shared" ref="W28:W40" si="14">J28</f>
        <v>100</v>
      </c>
      <c r="X28" s="1355"/>
      <c r="Y28" s="3830"/>
      <c r="Z28" s="1356">
        <f t="shared" ref="Z28:Z40" si="15">Q28</f>
        <v>111</v>
      </c>
      <c r="AA28" s="1353">
        <f t="shared" si="3"/>
        <v>1</v>
      </c>
      <c r="AB28" s="1353">
        <f t="shared" si="4"/>
        <v>1</v>
      </c>
      <c r="AC28" s="1353">
        <f t="shared" si="5"/>
        <v>1</v>
      </c>
    </row>
    <row r="29" spans="1:29" ht="28.5">
      <c r="A29" s="417" t="s">
        <v>1694</v>
      </c>
      <c r="B29" s="63" t="s">
        <v>1817</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856" t="s">
        <v>1696</v>
      </c>
      <c r="Q29" s="1352" t="str">
        <f t="shared" si="11"/>
        <v>建筑类型</v>
      </c>
      <c r="R29" s="705" t="s">
        <v>14</v>
      </c>
      <c r="S29" s="706">
        <f t="shared" si="12"/>
        <v>100</v>
      </c>
      <c r="T29" s="705" t="s">
        <v>14</v>
      </c>
      <c r="U29" s="706">
        <f t="shared" si="13"/>
        <v>100</v>
      </c>
      <c r="V29" s="705" t="s">
        <v>14</v>
      </c>
      <c r="W29" s="706">
        <f t="shared" si="14"/>
        <v>100</v>
      </c>
      <c r="X29" s="1355"/>
      <c r="Y29" s="3834" t="s">
        <v>1696</v>
      </c>
      <c r="Z29" s="1356" t="str">
        <f t="shared" si="15"/>
        <v>建筑类型</v>
      </c>
      <c r="AA29" s="1353">
        <f t="shared" si="3"/>
        <v>1</v>
      </c>
      <c r="AB29" s="1353">
        <f t="shared" si="4"/>
        <v>1</v>
      </c>
      <c r="AC29" s="1353">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834"/>
      <c r="Q30" s="707" t="str">
        <f t="shared" si="11"/>
        <v>项目建筑规模</v>
      </c>
      <c r="R30" s="708" t="s">
        <v>14</v>
      </c>
      <c r="S30" s="709" t="e">
        <f t="shared" si="12"/>
        <v>#N/A</v>
      </c>
      <c r="T30" s="708" t="s">
        <v>14</v>
      </c>
      <c r="U30" s="709" t="e">
        <f t="shared" si="13"/>
        <v>#N/A</v>
      </c>
      <c r="V30" s="708" t="s">
        <v>14</v>
      </c>
      <c r="W30" s="709" t="e">
        <f t="shared" si="14"/>
        <v>#N/A</v>
      </c>
      <c r="X30" s="710"/>
      <c r="Y30" s="3834"/>
      <c r="Z30" s="711" t="str">
        <f t="shared" si="15"/>
        <v>项目建筑规模</v>
      </c>
      <c r="AA30" s="1353" t="e">
        <f t="shared" si="3"/>
        <v>#N/A</v>
      </c>
      <c r="AB30" s="1353" t="e">
        <f t="shared" si="4"/>
        <v>#N/A</v>
      </c>
      <c r="AC30" s="1353"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834"/>
      <c r="Q31" s="1352" t="str">
        <f t="shared" si="11"/>
        <v>建筑结构</v>
      </c>
      <c r="R31" s="705" t="s">
        <v>14</v>
      </c>
      <c r="S31" s="706">
        <f t="shared" si="12"/>
        <v>100</v>
      </c>
      <c r="T31" s="705" t="s">
        <v>14</v>
      </c>
      <c r="U31" s="706">
        <f t="shared" si="13"/>
        <v>100</v>
      </c>
      <c r="V31" s="705" t="s">
        <v>14</v>
      </c>
      <c r="W31" s="706">
        <f t="shared" si="14"/>
        <v>100</v>
      </c>
      <c r="X31" s="1355"/>
      <c r="Y31" s="3834"/>
      <c r="Z31" s="1356" t="str">
        <f t="shared" si="15"/>
        <v>建筑结构</v>
      </c>
      <c r="AA31" s="1353">
        <f t="shared" si="3"/>
        <v>1</v>
      </c>
      <c r="AB31" s="1353">
        <f t="shared" si="4"/>
        <v>1</v>
      </c>
      <c r="AC31" s="1353">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834"/>
      <c r="Q32" s="1352" t="str">
        <f t="shared" si="11"/>
        <v>公共部分装修</v>
      </c>
      <c r="R32" s="705" t="s">
        <v>14</v>
      </c>
      <c r="S32" s="706">
        <f t="shared" si="12"/>
        <v>100</v>
      </c>
      <c r="T32" s="705" t="s">
        <v>14</v>
      </c>
      <c r="U32" s="706">
        <f t="shared" si="13"/>
        <v>100</v>
      </c>
      <c r="V32" s="705" t="s">
        <v>14</v>
      </c>
      <c r="W32" s="706">
        <f t="shared" si="14"/>
        <v>100</v>
      </c>
      <c r="X32" s="1355"/>
      <c r="Y32" s="3834"/>
      <c r="Z32" s="1356" t="str">
        <f t="shared" si="15"/>
        <v>公共部分装修</v>
      </c>
      <c r="AA32" s="1353">
        <f t="shared" si="3"/>
        <v>1</v>
      </c>
      <c r="AB32" s="1353">
        <f t="shared" si="4"/>
        <v>1</v>
      </c>
      <c r="AC32" s="1353">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834"/>
      <c r="Q33" s="1352" t="str">
        <f t="shared" si="11"/>
        <v>成新度</v>
      </c>
      <c r="R33" s="705" t="s">
        <v>14</v>
      </c>
      <c r="S33" s="706" t="e">
        <f t="shared" si="12"/>
        <v>#N/A</v>
      </c>
      <c r="T33" s="705" t="s">
        <v>14</v>
      </c>
      <c r="U33" s="706" t="e">
        <f t="shared" si="13"/>
        <v>#N/A</v>
      </c>
      <c r="V33" s="705" t="s">
        <v>14</v>
      </c>
      <c r="W33" s="706" t="e">
        <f t="shared" si="14"/>
        <v>#N/A</v>
      </c>
      <c r="X33" s="1355"/>
      <c r="Y33" s="3834"/>
      <c r="Z33" s="1356" t="str">
        <f t="shared" si="15"/>
        <v>成新度</v>
      </c>
      <c r="AA33" s="1353" t="e">
        <f t="shared" si="3"/>
        <v>#N/A</v>
      </c>
      <c r="AB33" s="1353" t="e">
        <f t="shared" si="4"/>
        <v>#N/A</v>
      </c>
      <c r="AC33" s="1353"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834"/>
      <c r="Q34" s="1343" t="str">
        <f t="shared" si="11"/>
        <v>物业管理</v>
      </c>
      <c r="R34" s="701" t="s">
        <v>14</v>
      </c>
      <c r="S34" s="702">
        <f t="shared" si="12"/>
        <v>100</v>
      </c>
      <c r="T34" s="701" t="s">
        <v>14</v>
      </c>
      <c r="U34" s="702">
        <f t="shared" si="13"/>
        <v>100</v>
      </c>
      <c r="V34" s="701" t="s">
        <v>14</v>
      </c>
      <c r="W34" s="702">
        <f t="shared" si="14"/>
        <v>100</v>
      </c>
      <c r="X34" s="703"/>
      <c r="Y34" s="3834"/>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834" t="s">
        <v>1696</v>
      </c>
      <c r="Q35" s="1352" t="str">
        <f t="shared" si="11"/>
        <v>市政基础设施</v>
      </c>
      <c r="R35" s="705" t="s">
        <v>14</v>
      </c>
      <c r="S35" s="706">
        <f t="shared" si="12"/>
        <v>100</v>
      </c>
      <c r="T35" s="705" t="s">
        <v>14</v>
      </c>
      <c r="U35" s="706">
        <f t="shared" si="13"/>
        <v>100</v>
      </c>
      <c r="V35" s="705" t="s">
        <v>14</v>
      </c>
      <c r="W35" s="706">
        <f t="shared" si="14"/>
        <v>100</v>
      </c>
      <c r="X35" s="1355"/>
      <c r="Y35" s="3834" t="s">
        <v>1696</v>
      </c>
      <c r="Z35" s="1356" t="str">
        <f t="shared" si="15"/>
        <v>市政基础设施</v>
      </c>
      <c r="AA35" s="1353">
        <f t="shared" si="3"/>
        <v>1</v>
      </c>
      <c r="AB35" s="1353">
        <f t="shared" si="4"/>
        <v>1</v>
      </c>
      <c r="AC35" s="1353">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834"/>
      <c r="Q36" s="1352" t="str">
        <f t="shared" si="11"/>
        <v>内部装修</v>
      </c>
      <c r="R36" s="705" t="s">
        <v>14</v>
      </c>
      <c r="S36" s="706">
        <f t="shared" si="12"/>
        <v>100</v>
      </c>
      <c r="T36" s="705" t="s">
        <v>14</v>
      </c>
      <c r="U36" s="706">
        <f t="shared" si="13"/>
        <v>100</v>
      </c>
      <c r="V36" s="705" t="s">
        <v>14</v>
      </c>
      <c r="W36" s="706">
        <f t="shared" si="14"/>
        <v>100</v>
      </c>
      <c r="X36" s="1355"/>
      <c r="Y36" s="3834"/>
      <c r="Z36" s="1356" t="str">
        <f t="shared" si="15"/>
        <v>内部装修</v>
      </c>
      <c r="AA36" s="1353">
        <f t="shared" si="3"/>
        <v>1</v>
      </c>
      <c r="AB36" s="1353">
        <f t="shared" si="4"/>
        <v>1</v>
      </c>
      <c r="AC36" s="1353">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834"/>
      <c r="Q37" s="1352" t="str">
        <f t="shared" si="11"/>
        <v>内部装修状况</v>
      </c>
      <c r="R37" s="705" t="s">
        <v>14</v>
      </c>
      <c r="S37" s="706">
        <f t="shared" si="12"/>
        <v>100</v>
      </c>
      <c r="T37" s="705" t="s">
        <v>14</v>
      </c>
      <c r="U37" s="706">
        <f t="shared" si="13"/>
        <v>100</v>
      </c>
      <c r="V37" s="705" t="s">
        <v>14</v>
      </c>
      <c r="W37" s="706">
        <f t="shared" si="14"/>
        <v>100</v>
      </c>
      <c r="X37" s="1355"/>
      <c r="Y37" s="3834"/>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834"/>
      <c r="Q38" s="707">
        <f t="shared" si="11"/>
        <v>111</v>
      </c>
      <c r="R38" s="708" t="s">
        <v>14</v>
      </c>
      <c r="S38" s="709">
        <f t="shared" si="12"/>
        <v>100</v>
      </c>
      <c r="T38" s="708" t="s">
        <v>14</v>
      </c>
      <c r="U38" s="709">
        <f t="shared" si="13"/>
        <v>100</v>
      </c>
      <c r="V38" s="708" t="s">
        <v>14</v>
      </c>
      <c r="W38" s="709">
        <f t="shared" si="14"/>
        <v>100</v>
      </c>
      <c r="X38" s="710"/>
      <c r="Y38" s="3834"/>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834"/>
      <c r="Q39" s="1352">
        <f t="shared" si="11"/>
        <v>111</v>
      </c>
      <c r="R39" s="705" t="s">
        <v>14</v>
      </c>
      <c r="S39" s="706">
        <f t="shared" si="12"/>
        <v>100</v>
      </c>
      <c r="T39" s="705" t="s">
        <v>14</v>
      </c>
      <c r="U39" s="706">
        <f t="shared" si="13"/>
        <v>100</v>
      </c>
      <c r="V39" s="705" t="s">
        <v>14</v>
      </c>
      <c r="W39" s="706">
        <f t="shared" si="14"/>
        <v>100</v>
      </c>
      <c r="X39" s="1355"/>
      <c r="Y39" s="3834"/>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835"/>
      <c r="Q40" s="1352">
        <f t="shared" si="11"/>
        <v>111</v>
      </c>
      <c r="R40" s="705" t="s">
        <v>14</v>
      </c>
      <c r="S40" s="706">
        <f t="shared" si="12"/>
        <v>100</v>
      </c>
      <c r="T40" s="705" t="s">
        <v>14</v>
      </c>
      <c r="U40" s="706">
        <f t="shared" si="13"/>
        <v>100</v>
      </c>
      <c r="V40" s="705" t="s">
        <v>14</v>
      </c>
      <c r="W40" s="706">
        <f t="shared" si="14"/>
        <v>100</v>
      </c>
      <c r="X40" s="1355"/>
      <c r="Y40" s="3835"/>
      <c r="Z40" s="1356">
        <f t="shared" si="15"/>
        <v>111</v>
      </c>
      <c r="AA40" s="1353">
        <f t="shared" si="3"/>
        <v>1</v>
      </c>
      <c r="AB40" s="1353">
        <f t="shared" si="4"/>
        <v>1</v>
      </c>
      <c r="AC40" s="1353">
        <f t="shared" si="5"/>
        <v>1</v>
      </c>
    </row>
    <row r="41" spans="1:29" ht="15">
      <c r="A41" s="430" t="s">
        <v>1708</v>
      </c>
      <c r="B41" s="431"/>
      <c r="C41" s="1154" t="s">
        <v>0</v>
      </c>
      <c r="D41" s="1155"/>
      <c r="E41" s="1156"/>
      <c r="F41" s="1157"/>
      <c r="G41" s="1158"/>
      <c r="H41" s="1159"/>
      <c r="I41" s="1156"/>
      <c r="J41" s="1159"/>
      <c r="K41" s="714"/>
      <c r="L41" s="926"/>
      <c r="M41" s="927"/>
      <c r="N41" s="914"/>
      <c r="O41" s="927"/>
      <c r="P41" s="3827" t="str">
        <f>A41</f>
        <v>成交单价（元/平方米）</v>
      </c>
      <c r="Q41" s="3827"/>
      <c r="R41" s="3828">
        <f>E41</f>
        <v>0</v>
      </c>
      <c r="S41" s="3828"/>
      <c r="T41" s="3828">
        <f>G41</f>
        <v>0</v>
      </c>
      <c r="U41" s="3828"/>
      <c r="V41" s="3828">
        <f>I41</f>
        <v>0</v>
      </c>
      <c r="W41" s="3828"/>
      <c r="X41" s="690"/>
      <c r="Y41" s="712"/>
      <c r="Z41" s="690"/>
      <c r="AA41" s="690"/>
      <c r="AB41" s="690"/>
      <c r="AC41" s="690"/>
    </row>
    <row r="42" spans="1:29" ht="15.75" thickBot="1">
      <c r="A42" s="437" t="s">
        <v>1793</v>
      </c>
      <c r="B42" s="438"/>
      <c r="C42" s="1160" t="e">
        <f>R43</f>
        <v>#DIV/0!</v>
      </c>
      <c r="D42" s="2317" t="s">
        <v>2138</v>
      </c>
      <c r="E42" s="1161" t="e">
        <f>R42</f>
        <v>#DIV/0!</v>
      </c>
      <c r="F42" s="2318"/>
      <c r="G42" s="1160" t="e">
        <f>T42</f>
        <v>#DIV/0!</v>
      </c>
      <c r="H42" s="2318"/>
      <c r="I42" s="1161" t="e">
        <f>V42</f>
        <v>#DIV/0!</v>
      </c>
      <c r="J42" s="2318"/>
      <c r="K42" s="2320">
        <f>F42+H42+J42</f>
        <v>0</v>
      </c>
      <c r="L42" s="926"/>
      <c r="M42" s="927"/>
      <c r="N42" s="914"/>
      <c r="O42" s="927"/>
      <c r="P42" s="3827" t="str">
        <f>A42</f>
        <v>比较价值（元/平方米）</v>
      </c>
      <c r="Q42" s="3827"/>
      <c r="R42" s="3828" t="e">
        <f>IF(F1="售价",ROUND(PRODUCT(R41,AA7:AA40),0),ROUND(PRODUCT(R41,AA7:AA40),1))</f>
        <v>#DIV/0!</v>
      </c>
      <c r="S42" s="3828"/>
      <c r="T42" s="3828" t="e">
        <f>IF(F1="售价",ROUND(PRODUCT(T41,AB7:AB40),0),ROUND(PRODUCT(T41,AB7:AB40),1))</f>
        <v>#DIV/0!</v>
      </c>
      <c r="U42" s="3828"/>
      <c r="V42" s="3828" t="e">
        <f>IF(F1="售价",ROUND(PRODUCT(V41,AC7:AC40),0),ROUND(PRODUCT(V41,AC7:AC40),1))</f>
        <v>#DIV/0!</v>
      </c>
      <c r="W42" s="3828"/>
      <c r="X42" s="690"/>
      <c r="Y42" s="690"/>
      <c r="Z42" s="690"/>
      <c r="AA42" s="690"/>
      <c r="AB42" s="690"/>
      <c r="AC42" s="690"/>
    </row>
    <row r="43" spans="1:29" ht="15.75" thickBot="1">
      <c r="A43" s="441" t="s">
        <v>1794</v>
      </c>
      <c r="B43" s="442"/>
      <c r="C43" s="1163" t="e">
        <f>R43</f>
        <v>#DIV/0!</v>
      </c>
      <c r="D43" s="1163"/>
      <c r="E43" s="1163"/>
      <c r="F43" s="1163"/>
      <c r="G43" s="1163"/>
      <c r="H43" s="1163"/>
      <c r="I43" s="1163"/>
      <c r="J43" s="1163"/>
      <c r="K43" s="715"/>
      <c r="L43" s="926"/>
      <c r="M43" s="927"/>
      <c r="N43" s="927"/>
      <c r="O43" s="927"/>
      <c r="P43" s="3824" t="str">
        <f>A43</f>
        <v>估价对象XX用房的比较价值（楼面单价，元/平方米）</v>
      </c>
      <c r="Q43" s="3825"/>
      <c r="R43" s="3826" t="e">
        <f>IF(F1="售价",ROUND(IF(D42="简单平均",AVERAGE(R42:V42),R42*F42+T42*H42+V42*J42),0),ROUND(IF(D42="简单平均",AVERAGE(R42:V42),R42*F42+T42*H42+V42*J42),1))</f>
        <v>#DIV/0!</v>
      </c>
      <c r="S43" s="3826"/>
      <c r="T43" s="3826"/>
      <c r="U43" s="3826"/>
      <c r="V43" s="3826"/>
      <c r="W43" s="3826"/>
      <c r="X43" s="690"/>
      <c r="Y43" s="690"/>
      <c r="Z43" s="690"/>
      <c r="AA43" s="690"/>
      <c r="AB43" s="690"/>
      <c r="AC43" s="690"/>
    </row>
    <row r="44" spans="1:29">
      <c r="A44" s="2724"/>
      <c r="B44" s="2724"/>
      <c r="C44" s="2724"/>
      <c r="D44" s="2724"/>
      <c r="E44" s="2724"/>
      <c r="F44" s="2724"/>
      <c r="G44" s="2728"/>
      <c r="H44" s="2724"/>
      <c r="I44" s="2724"/>
      <c r="J44" s="2724"/>
      <c r="K44" s="2729"/>
      <c r="L44" s="889"/>
      <c r="M44" s="927"/>
      <c r="N44" s="927"/>
      <c r="O44" s="927"/>
    </row>
    <row r="45" spans="1:29">
      <c r="A45" s="2724"/>
      <c r="B45" s="2724"/>
      <c r="C45" s="2724"/>
      <c r="D45" s="2724"/>
      <c r="E45" s="2724"/>
      <c r="F45" s="2724"/>
      <c r="G45" s="2724"/>
      <c r="H45" s="2724"/>
      <c r="I45" s="2724"/>
      <c r="J45" s="2724"/>
      <c r="K45" s="2729"/>
      <c r="L45" s="889"/>
      <c r="M45" s="927"/>
      <c r="N45" s="927"/>
      <c r="O45" s="927"/>
    </row>
    <row r="46" spans="1:29" ht="13.5" customHeight="1">
      <c r="A46" s="2724"/>
      <c r="B46" s="2724"/>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9"/>
      <c r="L46" s="889"/>
      <c r="M46" s="927"/>
      <c r="N46" s="927"/>
      <c r="O46" s="927"/>
    </row>
    <row r="47" spans="1:29" ht="13.5" customHeight="1">
      <c r="A47" s="2724"/>
      <c r="B47" s="2724"/>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9"/>
      <c r="L47" s="889"/>
      <c r="M47" s="927"/>
      <c r="N47" s="927"/>
      <c r="O47" s="927"/>
    </row>
    <row r="48" spans="1:29" s="451" customFormat="1" ht="13.5" customHeight="1">
      <c r="A48" s="2727"/>
      <c r="B48" s="2727"/>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2"/>
      <c r="L48" s="930"/>
      <c r="M48" s="928"/>
      <c r="N48" s="928"/>
      <c r="O48" s="928"/>
    </row>
    <row r="49" spans="1:17" s="451" customFormat="1">
      <c r="A49" s="2727"/>
      <c r="B49" s="2730"/>
      <c r="C49" s="2731"/>
      <c r="D49" s="2727"/>
      <c r="E49" s="2727"/>
      <c r="F49" s="2727"/>
      <c r="G49" s="2727"/>
      <c r="H49" s="2727"/>
      <c r="I49" s="2727"/>
      <c r="J49" s="2727"/>
      <c r="K49" s="2732"/>
      <c r="L49" s="930"/>
      <c r="M49" s="928"/>
      <c r="N49" s="928"/>
      <c r="O49" s="928"/>
    </row>
    <row r="50" spans="1:17">
      <c r="A50" s="2724"/>
      <c r="B50" s="2730"/>
      <c r="C50" s="2731"/>
      <c r="D50" s="2724"/>
      <c r="E50" s="2724"/>
      <c r="F50" s="2724"/>
      <c r="G50" s="2724"/>
      <c r="H50" s="2724"/>
      <c r="I50" s="2724"/>
      <c r="J50" s="2724"/>
      <c r="K50" s="2729"/>
      <c r="L50" s="889"/>
      <c r="M50" s="927"/>
      <c r="N50" s="927"/>
      <c r="O50" s="927"/>
    </row>
    <row r="51" spans="1:17" ht="21.75" thickBot="1">
      <c r="A51" s="694" t="s">
        <v>1798</v>
      </c>
      <c r="B51" s="690"/>
      <c r="C51" s="695"/>
      <c r="D51" s="695"/>
      <c r="E51" s="695"/>
      <c r="F51" s="696"/>
      <c r="G51" s="696"/>
      <c r="H51" s="695"/>
      <c r="I51" s="695"/>
      <c r="J51" s="695"/>
      <c r="K51" s="941"/>
      <c r="L51" s="942"/>
      <c r="M51" s="940"/>
      <c r="N51" s="940"/>
      <c r="O51" s="940"/>
      <c r="P51" s="452"/>
      <c r="Q51" s="453"/>
    </row>
    <row r="52" spans="1:17" s="457" customFormat="1" ht="15">
      <c r="A52" s="454" t="s">
        <v>1679</v>
      </c>
      <c r="B52" s="455"/>
      <c r="C52" s="1184" t="str">
        <f>YEAR(C7)&amp;"-"&amp;MONTH(C7)</f>
        <v>2022-12</v>
      </c>
      <c r="D52" s="1185">
        <f>EDATE(C52,-1)</f>
        <v>44866</v>
      </c>
      <c r="E52" s="1185">
        <f t="shared" ref="E52:O52" si="16">EDATE(D52,-1)</f>
        <v>44835</v>
      </c>
      <c r="F52" s="1185">
        <f t="shared" si="16"/>
        <v>44805</v>
      </c>
      <c r="G52" s="1185">
        <f t="shared" si="16"/>
        <v>44774</v>
      </c>
      <c r="H52" s="1185">
        <f t="shared" si="16"/>
        <v>44743</v>
      </c>
      <c r="I52" s="1185">
        <f t="shared" si="16"/>
        <v>44713</v>
      </c>
      <c r="J52" s="1185">
        <f t="shared" si="16"/>
        <v>44682</v>
      </c>
      <c r="K52" s="1185">
        <f t="shared" si="16"/>
        <v>44652</v>
      </c>
      <c r="L52" s="1185">
        <f t="shared" si="16"/>
        <v>44621</v>
      </c>
      <c r="M52" s="1185">
        <f t="shared" si="16"/>
        <v>44593</v>
      </c>
      <c r="N52" s="1185">
        <f t="shared" si="16"/>
        <v>44562</v>
      </c>
      <c r="O52" s="1185">
        <f t="shared" si="16"/>
        <v>44531</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69"/>
      <c r="O54" s="2770"/>
      <c r="P54" s="453"/>
      <c r="Q54" s="453"/>
    </row>
    <row r="55" spans="1:17" s="108" customFormat="1" ht="15">
      <c r="A55" s="470" t="s">
        <v>1681</v>
      </c>
      <c r="B55" s="459"/>
      <c r="C55" s="471" t="s">
        <v>1776</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1719</v>
      </c>
      <c r="B57" s="477" t="s">
        <v>1685</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1688</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1694</v>
      </c>
      <c r="B88" s="477" t="s">
        <v>1736</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92" priority="20" stopIfTrue="1" operator="containsText" text="超过">
      <formula>NOT(ISERROR(SEARCH("超过",F46)))</formula>
    </cfRule>
  </conditionalFormatting>
  <conditionalFormatting sqref="H48">
    <cfRule type="containsText" dxfId="91" priority="19" stopIfTrue="1" operator="containsText" text="超过">
      <formula>NOT(ISERROR(SEARCH("超过",H48)))</formula>
    </cfRule>
  </conditionalFormatting>
  <conditionalFormatting sqref="F48">
    <cfRule type="containsText" dxfId="90" priority="18" stopIfTrue="1" operator="containsText" text="超过">
      <formula>NOT(ISERROR(SEARCH("超过",F48)))</formula>
    </cfRule>
  </conditionalFormatting>
  <conditionalFormatting sqref="F47 H47">
    <cfRule type="containsText" dxfId="89" priority="17" stopIfTrue="1" operator="containsText" text="超过">
      <formula>NOT(ISERROR(SEARCH("超过",F47)))</formula>
    </cfRule>
  </conditionalFormatting>
  <conditionalFormatting sqref="E46">
    <cfRule type="expression" dxfId="88" priority="16" stopIfTrue="1">
      <formula>$F$46="超过30%"</formula>
    </cfRule>
  </conditionalFormatting>
  <conditionalFormatting sqref="E47">
    <cfRule type="expression" dxfId="87" priority="15" stopIfTrue="1">
      <formula>$F$47="超过20%"</formula>
    </cfRule>
  </conditionalFormatting>
  <conditionalFormatting sqref="E48">
    <cfRule type="expression" dxfId="86" priority="14" stopIfTrue="1">
      <formula>$F$48="超过30%"</formula>
    </cfRule>
  </conditionalFormatting>
  <conditionalFormatting sqref="G48">
    <cfRule type="expression" dxfId="85" priority="13" stopIfTrue="1">
      <formula>$H$48="超过30%"</formula>
    </cfRule>
  </conditionalFormatting>
  <conditionalFormatting sqref="G46">
    <cfRule type="expression" dxfId="84" priority="12" stopIfTrue="1">
      <formula>$H$46="超过30%"</formula>
    </cfRule>
  </conditionalFormatting>
  <conditionalFormatting sqref="G47">
    <cfRule type="expression" dxfId="83" priority="11" stopIfTrue="1">
      <formula>$H$47="超过20%"</formula>
    </cfRule>
  </conditionalFormatting>
  <conditionalFormatting sqref="J46">
    <cfRule type="containsText" dxfId="82" priority="10" stopIfTrue="1" operator="containsText" text="超过">
      <formula>NOT(ISERROR(SEARCH("超过",J46)))</formula>
    </cfRule>
  </conditionalFormatting>
  <conditionalFormatting sqref="J48">
    <cfRule type="containsText" dxfId="81" priority="9" stopIfTrue="1" operator="containsText" text="超过">
      <formula>NOT(ISERROR(SEARCH("超过",J48)))</formula>
    </cfRule>
  </conditionalFormatting>
  <conditionalFormatting sqref="J47">
    <cfRule type="containsText" dxfId="80" priority="8" stopIfTrue="1" operator="containsText" text="超过">
      <formula>NOT(ISERROR(SEARCH("超过",J47)))</formula>
    </cfRule>
  </conditionalFormatting>
  <conditionalFormatting sqref="I46">
    <cfRule type="expression" dxfId="79" priority="7" stopIfTrue="1">
      <formula>$J$46="超过30%"</formula>
    </cfRule>
  </conditionalFormatting>
  <conditionalFormatting sqref="I47">
    <cfRule type="expression" dxfId="78" priority="6" stopIfTrue="1">
      <formula>$J$47="超过20%"</formula>
    </cfRule>
  </conditionalFormatting>
  <conditionalFormatting sqref="I48">
    <cfRule type="expression" dxfId="77" priority="5" stopIfTrue="1">
      <formula>$J$48="超过30%"</formula>
    </cfRule>
  </conditionalFormatting>
  <conditionalFormatting sqref="F42">
    <cfRule type="expression" dxfId="76" priority="4">
      <formula>$D$42="简单平均"</formula>
    </cfRule>
  </conditionalFormatting>
  <conditionalFormatting sqref="H42">
    <cfRule type="expression" dxfId="75" priority="3">
      <formula>$D$42="简单平均"</formula>
    </cfRule>
  </conditionalFormatting>
  <conditionalFormatting sqref="J42">
    <cfRule type="expression" dxfId="74" priority="2">
      <formula>$D$42="简单平均"</formula>
    </cfRule>
  </conditionalFormatting>
  <conditionalFormatting sqref="F7:F40 H7:H40 J7:J40">
    <cfRule type="cellIs" dxfId="73"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filterMode="1"/>
  <dimension ref="A1:M143"/>
  <sheetViews>
    <sheetView topLeftCell="A94" zoomScale="115" zoomScaleNormal="115" workbookViewId="0">
      <selection activeCell="I100" sqref="I100"/>
    </sheetView>
  </sheetViews>
  <sheetFormatPr defaultColWidth="9" defaultRowHeight="11.25"/>
  <cols>
    <col min="1" max="1" width="3.75" style="3492" customWidth="1"/>
    <col min="2" max="2" width="21" style="3492" customWidth="1"/>
    <col min="3" max="3" width="4.25" style="3492" bestFit="1" customWidth="1"/>
    <col min="4" max="5" width="7" style="3492" bestFit="1" customWidth="1"/>
    <col min="6" max="6" width="14.75" style="3499" bestFit="1" customWidth="1"/>
    <col min="7" max="7" width="4.25" style="3492" bestFit="1" customWidth="1"/>
    <col min="8" max="8" width="4.5" style="3492" bestFit="1" customWidth="1"/>
    <col min="9" max="9" width="24.25" style="3492" bestFit="1" customWidth="1"/>
    <col min="10" max="10" width="27.25" style="3492" bestFit="1" customWidth="1"/>
    <col min="11" max="11" width="11.625" style="3499" bestFit="1" customWidth="1"/>
    <col min="12" max="12" width="14" style="3499" bestFit="1" customWidth="1"/>
    <col min="13" max="13" width="10" style="3492" bestFit="1" customWidth="1"/>
    <col min="14" max="14" width="2.625" style="3492" customWidth="1"/>
    <col min="15" max="16384" width="9" style="3492"/>
  </cols>
  <sheetData>
    <row r="1" spans="1:13" ht="24.75" customHeight="1">
      <c r="A1" s="3490" t="s">
        <v>3457</v>
      </c>
      <c r="B1" s="3490"/>
      <c r="C1" s="3490"/>
      <c r="D1" s="3490"/>
      <c r="E1" s="3490"/>
      <c r="F1" s="3491"/>
      <c r="G1" s="3490"/>
      <c r="H1" s="3490"/>
      <c r="I1" s="3490"/>
      <c r="J1" s="3490"/>
      <c r="K1" s="3491"/>
      <c r="L1" s="3491"/>
      <c r="M1" s="3490"/>
    </row>
    <row r="2" spans="1:13" s="3495" customFormat="1" ht="12.95" customHeight="1">
      <c r="A2" s="3493" t="s">
        <v>2647</v>
      </c>
      <c r="B2" s="3493" t="s">
        <v>3458</v>
      </c>
      <c r="C2" s="3493" t="s">
        <v>3459</v>
      </c>
      <c r="D2" s="3493" t="s">
        <v>3460</v>
      </c>
      <c r="E2" s="3493" t="s">
        <v>3461</v>
      </c>
      <c r="F2" s="3494" t="s">
        <v>3462</v>
      </c>
      <c r="G2" s="3493" t="s">
        <v>3463</v>
      </c>
      <c r="H2" s="3493" t="s">
        <v>3464</v>
      </c>
      <c r="I2" s="3493" t="s">
        <v>3465</v>
      </c>
      <c r="J2" s="3493" t="s">
        <v>3466</v>
      </c>
      <c r="K2" s="3494" t="s">
        <v>3467</v>
      </c>
      <c r="L2" s="3494" t="s">
        <v>3468</v>
      </c>
      <c r="M2" s="3493" t="s">
        <v>3469</v>
      </c>
    </row>
    <row r="3" spans="1:13" s="3495" customFormat="1" ht="12.95" hidden="1" customHeight="1">
      <c r="A3" s="3493">
        <v>1</v>
      </c>
      <c r="B3" s="3493" t="s">
        <v>3470</v>
      </c>
      <c r="C3" s="3493" t="s">
        <v>3471</v>
      </c>
      <c r="D3" s="3493" t="s">
        <v>3472</v>
      </c>
      <c r="E3" s="3493" t="s">
        <v>3473</v>
      </c>
      <c r="F3" s="3494">
        <v>6662</v>
      </c>
      <c r="G3" s="3493" t="s">
        <v>3474</v>
      </c>
      <c r="H3" s="3493">
        <v>2022</v>
      </c>
      <c r="I3" s="3493" t="s">
        <v>3475</v>
      </c>
      <c r="J3" s="3493" t="s">
        <v>3476</v>
      </c>
      <c r="K3" s="3494">
        <v>370</v>
      </c>
      <c r="L3" s="3494">
        <v>56000</v>
      </c>
      <c r="M3" s="3493" t="s">
        <v>3477</v>
      </c>
    </row>
    <row r="4" spans="1:13" s="3495" customFormat="1" ht="12.95" hidden="1" customHeight="1">
      <c r="A4" s="3493">
        <v>2</v>
      </c>
      <c r="B4" s="3493" t="s">
        <v>3478</v>
      </c>
      <c r="C4" s="3493" t="s">
        <v>3471</v>
      </c>
      <c r="D4" s="3493" t="s">
        <v>3479</v>
      </c>
      <c r="E4" s="3493" t="s">
        <v>21</v>
      </c>
      <c r="F4" s="3494">
        <v>5136</v>
      </c>
      <c r="G4" s="3493" t="s">
        <v>3474</v>
      </c>
      <c r="H4" s="3493">
        <v>2022</v>
      </c>
      <c r="I4" s="3493" t="s">
        <v>3480</v>
      </c>
      <c r="J4" s="3493" t="s">
        <v>3481</v>
      </c>
      <c r="K4" s="3494">
        <v>248</v>
      </c>
      <c r="L4" s="3494">
        <v>48287</v>
      </c>
      <c r="M4" s="3493" t="s">
        <v>3482</v>
      </c>
    </row>
    <row r="5" spans="1:13" s="3495" customFormat="1" ht="12.95" hidden="1" customHeight="1">
      <c r="A5" s="3493">
        <v>3</v>
      </c>
      <c r="B5" s="3493" t="s">
        <v>3483</v>
      </c>
      <c r="C5" s="3493" t="s">
        <v>3471</v>
      </c>
      <c r="D5" s="3493" t="s">
        <v>3484</v>
      </c>
      <c r="E5" s="3493" t="s">
        <v>3485</v>
      </c>
      <c r="F5" s="3494">
        <v>3012</v>
      </c>
      <c r="G5" s="3493" t="s">
        <v>3474</v>
      </c>
      <c r="H5" s="3493">
        <v>2022</v>
      </c>
      <c r="I5" s="3493" t="s">
        <v>3486</v>
      </c>
      <c r="J5" s="3493" t="s">
        <v>3487</v>
      </c>
      <c r="K5" s="3494">
        <v>110</v>
      </c>
      <c r="L5" s="3494">
        <v>36500</v>
      </c>
      <c r="M5" s="3493" t="s">
        <v>3488</v>
      </c>
    </row>
    <row r="6" spans="1:13" s="3495" customFormat="1" ht="12.95" hidden="1" customHeight="1">
      <c r="A6" s="3493">
        <v>4</v>
      </c>
      <c r="B6" s="3493" t="s">
        <v>3489</v>
      </c>
      <c r="C6" s="3493" t="s">
        <v>3471</v>
      </c>
      <c r="D6" s="3493" t="s">
        <v>3490</v>
      </c>
      <c r="E6" s="3493" t="s">
        <v>3491</v>
      </c>
      <c r="F6" s="3494">
        <v>131215</v>
      </c>
      <c r="G6" s="3493" t="s">
        <v>3474</v>
      </c>
      <c r="H6" s="3493">
        <v>2022</v>
      </c>
      <c r="I6" s="3493" t="s">
        <v>3492</v>
      </c>
      <c r="J6" s="3493" t="s">
        <v>3493</v>
      </c>
      <c r="K6" s="3494">
        <v>1375</v>
      </c>
      <c r="L6" s="3494">
        <v>10479</v>
      </c>
      <c r="M6" s="3493" t="s">
        <v>3488</v>
      </c>
    </row>
    <row r="7" spans="1:13" s="3495" customFormat="1" ht="12.95" hidden="1" customHeight="1">
      <c r="A7" s="3493">
        <v>5</v>
      </c>
      <c r="B7" s="3493" t="s">
        <v>3494</v>
      </c>
      <c r="C7" s="3493" t="s">
        <v>3471</v>
      </c>
      <c r="D7" s="3493" t="s">
        <v>3490</v>
      </c>
      <c r="E7" s="3493" t="s">
        <v>21</v>
      </c>
      <c r="F7" s="3494">
        <v>1398</v>
      </c>
      <c r="G7" s="3493" t="s">
        <v>3474</v>
      </c>
      <c r="H7" s="3493">
        <v>2022</v>
      </c>
      <c r="I7" s="3493" t="s">
        <v>3495</v>
      </c>
      <c r="J7" s="3493" t="s">
        <v>3496</v>
      </c>
      <c r="K7" s="3494">
        <v>147</v>
      </c>
      <c r="L7" s="3494">
        <v>104902</v>
      </c>
      <c r="M7" s="3493" t="s">
        <v>3482</v>
      </c>
    </row>
    <row r="8" spans="1:13" s="3495" customFormat="1" ht="12.95" hidden="1" customHeight="1">
      <c r="A8" s="3493">
        <v>6</v>
      </c>
      <c r="B8" s="3493" t="s">
        <v>3497</v>
      </c>
      <c r="C8" s="3493" t="s">
        <v>3471</v>
      </c>
      <c r="D8" s="3493" t="s">
        <v>3498</v>
      </c>
      <c r="E8" s="3493" t="s">
        <v>3499</v>
      </c>
      <c r="F8" s="3494">
        <v>7017</v>
      </c>
      <c r="G8" s="3493" t="s">
        <v>3474</v>
      </c>
      <c r="H8" s="3493">
        <v>2022</v>
      </c>
      <c r="I8" s="3493" t="s">
        <v>3500</v>
      </c>
      <c r="J8" s="3493" t="s">
        <v>3501</v>
      </c>
      <c r="K8" s="3494">
        <v>213</v>
      </c>
      <c r="L8" s="3494">
        <v>29970</v>
      </c>
      <c r="M8" s="3493" t="s">
        <v>3482</v>
      </c>
    </row>
    <row r="9" spans="1:13" s="3495" customFormat="1" ht="12.95" hidden="1" customHeight="1">
      <c r="A9" s="3493">
        <v>7</v>
      </c>
      <c r="B9" s="3493" t="s">
        <v>3502</v>
      </c>
      <c r="C9" s="3493" t="s">
        <v>3471</v>
      </c>
      <c r="D9" s="3493" t="s">
        <v>3503</v>
      </c>
      <c r="E9" s="3493" t="s">
        <v>3504</v>
      </c>
      <c r="F9" s="3494">
        <v>67000</v>
      </c>
      <c r="G9" s="3493" t="s">
        <v>3474</v>
      </c>
      <c r="H9" s="3493">
        <v>2022</v>
      </c>
      <c r="I9" s="3493" t="s">
        <v>3505</v>
      </c>
      <c r="J9" s="3493" t="s">
        <v>3506</v>
      </c>
      <c r="K9" s="3494">
        <v>800</v>
      </c>
      <c r="L9" s="3494">
        <v>12000</v>
      </c>
      <c r="M9" s="3493" t="s">
        <v>3488</v>
      </c>
    </row>
    <row r="10" spans="1:13" s="3495" customFormat="1" ht="15" hidden="1" customHeight="1">
      <c r="A10" s="3493">
        <v>8</v>
      </c>
      <c r="B10" s="3493" t="s">
        <v>3507</v>
      </c>
      <c r="C10" s="3493" t="s">
        <v>3471</v>
      </c>
      <c r="D10" s="3493" t="s">
        <v>3479</v>
      </c>
      <c r="E10" s="3493" t="s">
        <v>3504</v>
      </c>
      <c r="F10" s="3494">
        <v>17930</v>
      </c>
      <c r="G10" s="3493" t="s">
        <v>3474</v>
      </c>
      <c r="H10" s="3493">
        <v>2022</v>
      </c>
      <c r="I10" s="3493" t="s">
        <v>3508</v>
      </c>
      <c r="J10" s="3493" t="s">
        <v>3509</v>
      </c>
      <c r="K10" s="3494">
        <v>663</v>
      </c>
      <c r="L10" s="3494">
        <v>36977</v>
      </c>
      <c r="M10" s="3493" t="s">
        <v>3482</v>
      </c>
    </row>
    <row r="11" spans="1:13" s="3495" customFormat="1" ht="15" hidden="1" customHeight="1">
      <c r="A11" s="3493">
        <v>9</v>
      </c>
      <c r="B11" s="3493" t="s">
        <v>3510</v>
      </c>
      <c r="C11" s="3493" t="s">
        <v>3471</v>
      </c>
      <c r="D11" s="3493" t="s">
        <v>3511</v>
      </c>
      <c r="E11" s="3493" t="s">
        <v>21</v>
      </c>
      <c r="F11" s="3494">
        <v>6772</v>
      </c>
      <c r="G11" s="3493" t="s">
        <v>3474</v>
      </c>
      <c r="H11" s="3493">
        <v>2022</v>
      </c>
      <c r="I11" s="3493" t="s">
        <v>3512</v>
      </c>
      <c r="J11" s="3493" t="s">
        <v>3513</v>
      </c>
      <c r="K11" s="3494">
        <v>203</v>
      </c>
      <c r="L11" s="3494">
        <v>29976</v>
      </c>
      <c r="M11" s="3493" t="s">
        <v>3488</v>
      </c>
    </row>
    <row r="12" spans="1:13" s="3495" customFormat="1" ht="15" hidden="1" customHeight="1">
      <c r="A12" s="3493">
        <v>10</v>
      </c>
      <c r="B12" s="3493" t="s">
        <v>3514</v>
      </c>
      <c r="C12" s="3493" t="s">
        <v>3471</v>
      </c>
      <c r="D12" s="3493" t="s">
        <v>3503</v>
      </c>
      <c r="E12" s="3493" t="s">
        <v>3504</v>
      </c>
      <c r="F12" s="3494">
        <v>8100</v>
      </c>
      <c r="G12" s="3493" t="s">
        <v>3474</v>
      </c>
      <c r="H12" s="3493">
        <v>2022</v>
      </c>
      <c r="I12" s="3493" t="s">
        <v>3515</v>
      </c>
      <c r="J12" s="3493" t="s">
        <v>3516</v>
      </c>
      <c r="K12" s="3494">
        <v>220</v>
      </c>
      <c r="L12" s="3494">
        <v>27160</v>
      </c>
      <c r="M12" s="3493" t="s">
        <v>3488</v>
      </c>
    </row>
    <row r="13" spans="1:13" s="3495" customFormat="1" ht="15" hidden="1" customHeight="1">
      <c r="A13" s="3493">
        <v>11</v>
      </c>
      <c r="B13" s="3493" t="s">
        <v>3517</v>
      </c>
      <c r="C13" s="3493" t="s">
        <v>3471</v>
      </c>
      <c r="D13" s="3493" t="s">
        <v>3518</v>
      </c>
      <c r="E13" s="3493" t="s">
        <v>3504</v>
      </c>
      <c r="F13" s="3494">
        <v>11756</v>
      </c>
      <c r="G13" s="3493" t="s">
        <v>3474</v>
      </c>
      <c r="H13" s="3493">
        <v>2022</v>
      </c>
      <c r="I13" s="3493" t="s">
        <v>3519</v>
      </c>
      <c r="J13" s="3493" t="s">
        <v>3520</v>
      </c>
      <c r="K13" s="3494">
        <v>458</v>
      </c>
      <c r="L13" s="3494">
        <v>39000</v>
      </c>
      <c r="M13" s="3493" t="s">
        <v>3488</v>
      </c>
    </row>
    <row r="14" spans="1:13" s="3495" customFormat="1" ht="15" hidden="1" customHeight="1">
      <c r="A14" s="3493">
        <v>12</v>
      </c>
      <c r="B14" s="3493" t="s">
        <v>3521</v>
      </c>
      <c r="C14" s="3493" t="s">
        <v>3471</v>
      </c>
      <c r="D14" s="3493" t="s">
        <v>3472</v>
      </c>
      <c r="E14" s="3493" t="s">
        <v>3485</v>
      </c>
      <c r="F14" s="3494">
        <v>4677</v>
      </c>
      <c r="G14" s="3493" t="s">
        <v>3474</v>
      </c>
      <c r="H14" s="3493">
        <v>2022</v>
      </c>
      <c r="I14" s="3493" t="s">
        <v>3522</v>
      </c>
      <c r="J14" s="3493" t="s">
        <v>3523</v>
      </c>
      <c r="K14" s="3494">
        <v>183</v>
      </c>
      <c r="L14" s="3494">
        <v>39128</v>
      </c>
      <c r="M14" s="3493" t="s">
        <v>3482</v>
      </c>
    </row>
    <row r="15" spans="1:13" s="3495" customFormat="1" ht="15" hidden="1" customHeight="1">
      <c r="A15" s="3493">
        <v>13</v>
      </c>
      <c r="B15" s="3493" t="s">
        <v>3524</v>
      </c>
      <c r="C15" s="3493" t="s">
        <v>3471</v>
      </c>
      <c r="D15" s="3493" t="s">
        <v>3490</v>
      </c>
      <c r="E15" s="3493" t="s">
        <v>21</v>
      </c>
      <c r="F15" s="3494">
        <v>8573</v>
      </c>
      <c r="G15" s="3493" t="s">
        <v>3474</v>
      </c>
      <c r="H15" s="3493">
        <v>2022</v>
      </c>
      <c r="I15" s="3493" t="s">
        <v>3525</v>
      </c>
      <c r="J15" s="3493" t="s">
        <v>3526</v>
      </c>
      <c r="K15" s="3494">
        <v>386</v>
      </c>
      <c r="L15" s="3494">
        <v>45025</v>
      </c>
      <c r="M15" s="3493" t="s">
        <v>3482</v>
      </c>
    </row>
    <row r="16" spans="1:13" s="3495" customFormat="1" ht="15" hidden="1" customHeight="1">
      <c r="A16" s="3493">
        <v>14</v>
      </c>
      <c r="B16" s="3493" t="s">
        <v>3527</v>
      </c>
      <c r="C16" s="3493" t="s">
        <v>3471</v>
      </c>
      <c r="D16" s="3493" t="s">
        <v>3528</v>
      </c>
      <c r="E16" s="3493" t="s">
        <v>3499</v>
      </c>
      <c r="F16" s="3494">
        <v>109905</v>
      </c>
      <c r="G16" s="3493" t="s">
        <v>3474</v>
      </c>
      <c r="H16" s="3493">
        <v>2022</v>
      </c>
      <c r="I16" s="3493" t="s">
        <v>3529</v>
      </c>
      <c r="J16" s="3493" t="s">
        <v>3530</v>
      </c>
      <c r="K16" s="3494">
        <v>4500</v>
      </c>
      <c r="L16" s="3494">
        <v>40944</v>
      </c>
      <c r="M16" s="3493" t="s">
        <v>3488</v>
      </c>
    </row>
    <row r="17" spans="1:13" s="3495" customFormat="1" ht="15" hidden="1" customHeight="1">
      <c r="A17" s="3493">
        <v>15</v>
      </c>
      <c r="B17" s="3493" t="s">
        <v>3531</v>
      </c>
      <c r="C17" s="3493" t="s">
        <v>3471</v>
      </c>
      <c r="D17" s="3493" t="s">
        <v>3490</v>
      </c>
      <c r="E17" s="3493" t="s">
        <v>21</v>
      </c>
      <c r="F17" s="3494">
        <v>15695</v>
      </c>
      <c r="G17" s="3493" t="s">
        <v>3474</v>
      </c>
      <c r="H17" s="3493">
        <v>2022</v>
      </c>
      <c r="I17" s="3493" t="s">
        <v>3532</v>
      </c>
      <c r="J17" s="3493" t="s">
        <v>3533</v>
      </c>
      <c r="K17" s="3494">
        <v>439</v>
      </c>
      <c r="L17" s="3494">
        <v>28000</v>
      </c>
      <c r="M17" s="3493" t="s">
        <v>3482</v>
      </c>
    </row>
    <row r="18" spans="1:13" s="3495" customFormat="1" ht="15" hidden="1" customHeight="1">
      <c r="A18" s="3493">
        <v>16</v>
      </c>
      <c r="B18" s="3493" t="s">
        <v>3534</v>
      </c>
      <c r="C18" s="3493" t="s">
        <v>3471</v>
      </c>
      <c r="D18" s="3493" t="s">
        <v>3503</v>
      </c>
      <c r="E18" s="3493" t="s">
        <v>3504</v>
      </c>
      <c r="F18" s="3494">
        <v>29473</v>
      </c>
      <c r="G18" s="3493" t="s">
        <v>3474</v>
      </c>
      <c r="H18" s="3493">
        <v>2022</v>
      </c>
      <c r="I18" s="3493" t="s">
        <v>3535</v>
      </c>
      <c r="J18" s="3493" t="s">
        <v>3536</v>
      </c>
      <c r="K18" s="3494">
        <v>994</v>
      </c>
      <c r="L18" s="3494">
        <v>33738</v>
      </c>
      <c r="M18" s="3493" t="s">
        <v>3482</v>
      </c>
    </row>
    <row r="19" spans="1:13" s="3495" customFormat="1" ht="15" hidden="1" customHeight="1">
      <c r="A19" s="3493">
        <v>17</v>
      </c>
      <c r="B19" s="3493" t="s">
        <v>3537</v>
      </c>
      <c r="C19" s="3493" t="s">
        <v>3471</v>
      </c>
      <c r="D19" s="3493" t="s">
        <v>3484</v>
      </c>
      <c r="E19" s="3493" t="s">
        <v>3538</v>
      </c>
      <c r="F19" s="3494">
        <v>420000</v>
      </c>
      <c r="G19" s="3493" t="s">
        <v>3474</v>
      </c>
      <c r="H19" s="3493">
        <v>2022</v>
      </c>
      <c r="I19" s="3493" t="s">
        <v>3539</v>
      </c>
      <c r="J19" s="3493" t="s">
        <v>3540</v>
      </c>
      <c r="K19" s="3494">
        <v>11539</v>
      </c>
      <c r="L19" s="3494">
        <v>54948</v>
      </c>
      <c r="M19" s="3493" t="s">
        <v>3488</v>
      </c>
    </row>
    <row r="20" spans="1:13" s="3495" customFormat="1" ht="15" hidden="1" customHeight="1">
      <c r="A20" s="3493">
        <v>18</v>
      </c>
      <c r="B20" s="3493" t="s">
        <v>3541</v>
      </c>
      <c r="C20" s="3493" t="s">
        <v>3471</v>
      </c>
      <c r="D20" s="3493" t="s">
        <v>3498</v>
      </c>
      <c r="E20" s="3493" t="s">
        <v>21</v>
      </c>
      <c r="F20" s="3494">
        <v>57800</v>
      </c>
      <c r="G20" s="3493" t="s">
        <v>3474</v>
      </c>
      <c r="H20" s="3493">
        <v>2022</v>
      </c>
      <c r="I20" s="3493" t="s">
        <v>3542</v>
      </c>
      <c r="J20" s="3493" t="s">
        <v>3543</v>
      </c>
      <c r="K20" s="3494">
        <v>2984</v>
      </c>
      <c r="L20" s="3494">
        <v>51800</v>
      </c>
      <c r="M20" s="3493" t="s">
        <v>3482</v>
      </c>
    </row>
    <row r="21" spans="1:13" s="3495" customFormat="1" ht="15" hidden="1" customHeight="1">
      <c r="A21" s="3493">
        <v>19</v>
      </c>
      <c r="B21" s="3493" t="s">
        <v>3544</v>
      </c>
      <c r="C21" s="3493" t="s">
        <v>3471</v>
      </c>
      <c r="D21" s="3493" t="s">
        <v>3484</v>
      </c>
      <c r="E21" s="3493" t="s">
        <v>21</v>
      </c>
      <c r="F21" s="3494">
        <v>40393</v>
      </c>
      <c r="G21" s="3493" t="s">
        <v>3545</v>
      </c>
      <c r="H21" s="3493">
        <v>2022</v>
      </c>
      <c r="I21" s="3493" t="s">
        <v>3546</v>
      </c>
      <c r="J21" s="3493" t="s">
        <v>3547</v>
      </c>
      <c r="K21" s="3494">
        <v>1396</v>
      </c>
      <c r="L21" s="3494">
        <v>34560</v>
      </c>
      <c r="M21" s="3493" t="s">
        <v>3482</v>
      </c>
    </row>
    <row r="22" spans="1:13" s="3495" customFormat="1" ht="15" hidden="1" customHeight="1">
      <c r="A22" s="3493">
        <v>20</v>
      </c>
      <c r="B22" s="3493" t="s">
        <v>3548</v>
      </c>
      <c r="C22" s="3493" t="s">
        <v>3471</v>
      </c>
      <c r="D22" s="3493" t="s">
        <v>3518</v>
      </c>
      <c r="E22" s="3493" t="s">
        <v>3504</v>
      </c>
      <c r="F22" s="3494">
        <v>20187</v>
      </c>
      <c r="G22" s="3493" t="s">
        <v>3545</v>
      </c>
      <c r="H22" s="3493">
        <v>2022</v>
      </c>
      <c r="I22" s="3493" t="s">
        <v>3549</v>
      </c>
      <c r="J22" s="3493" t="s">
        <v>3550</v>
      </c>
      <c r="K22" s="3494">
        <v>396</v>
      </c>
      <c r="L22" s="3494">
        <v>19617</v>
      </c>
      <c r="M22" s="3493" t="s">
        <v>3482</v>
      </c>
    </row>
    <row r="23" spans="1:13" s="3495" customFormat="1" ht="15" hidden="1" customHeight="1">
      <c r="A23" s="3493">
        <v>21</v>
      </c>
      <c r="B23" s="3493" t="s">
        <v>3551</v>
      </c>
      <c r="C23" s="3493" t="s">
        <v>3471</v>
      </c>
      <c r="D23" s="3493" t="s">
        <v>3472</v>
      </c>
      <c r="E23" s="3493" t="s">
        <v>3485</v>
      </c>
      <c r="F23" s="3494">
        <v>19127</v>
      </c>
      <c r="G23" s="3493" t="s">
        <v>3545</v>
      </c>
      <c r="H23" s="3493">
        <v>2022</v>
      </c>
      <c r="I23" s="3493" t="s">
        <v>3552</v>
      </c>
      <c r="J23" s="3493" t="s">
        <v>3553</v>
      </c>
      <c r="K23" s="3494">
        <v>840</v>
      </c>
      <c r="L23" s="3494">
        <v>43917</v>
      </c>
      <c r="M23" s="3493" t="s">
        <v>3488</v>
      </c>
    </row>
    <row r="24" spans="1:13" s="3495" customFormat="1" ht="15" hidden="1" customHeight="1">
      <c r="A24" s="3493">
        <v>22</v>
      </c>
      <c r="B24" s="3493" t="s">
        <v>3554</v>
      </c>
      <c r="C24" s="3493" t="s">
        <v>3471</v>
      </c>
      <c r="D24" s="3493" t="s">
        <v>3555</v>
      </c>
      <c r="E24" s="3493" t="s">
        <v>3556</v>
      </c>
      <c r="F24" s="3494">
        <v>71260</v>
      </c>
      <c r="G24" s="3493" t="s">
        <v>3545</v>
      </c>
      <c r="H24" s="3493">
        <v>2022</v>
      </c>
      <c r="I24" s="3493" t="s">
        <v>3557</v>
      </c>
      <c r="J24" s="3493" t="s">
        <v>3558</v>
      </c>
      <c r="K24" s="3494">
        <v>392</v>
      </c>
      <c r="L24" s="3494">
        <v>5500</v>
      </c>
      <c r="M24" s="3493" t="s">
        <v>3482</v>
      </c>
    </row>
    <row r="25" spans="1:13" s="3495" customFormat="1" ht="15" hidden="1" customHeight="1">
      <c r="A25" s="3493">
        <v>23</v>
      </c>
      <c r="B25" s="3493" t="s">
        <v>3559</v>
      </c>
      <c r="C25" s="3493" t="s">
        <v>3471</v>
      </c>
      <c r="D25" s="3493" t="s">
        <v>3490</v>
      </c>
      <c r="E25" s="3493" t="s">
        <v>21</v>
      </c>
      <c r="F25" s="3494">
        <v>37924</v>
      </c>
      <c r="G25" s="3493" t="s">
        <v>3545</v>
      </c>
      <c r="H25" s="3493">
        <v>2022</v>
      </c>
      <c r="I25" s="3493" t="s">
        <v>3533</v>
      </c>
      <c r="J25" s="3493" t="s">
        <v>3560</v>
      </c>
      <c r="K25" s="3494">
        <v>950</v>
      </c>
      <c r="L25" s="3494">
        <v>25050</v>
      </c>
      <c r="M25" s="3493" t="s">
        <v>3488</v>
      </c>
    </row>
    <row r="26" spans="1:13" s="3495" customFormat="1" ht="15" hidden="1" customHeight="1">
      <c r="A26" s="3493">
        <v>24</v>
      </c>
      <c r="B26" s="3493" t="s">
        <v>3561</v>
      </c>
      <c r="C26" s="3493" t="s">
        <v>3471</v>
      </c>
      <c r="D26" s="3493" t="s">
        <v>3503</v>
      </c>
      <c r="E26" s="3493" t="s">
        <v>21</v>
      </c>
      <c r="F26" s="3494">
        <v>54200</v>
      </c>
      <c r="G26" s="3493" t="s">
        <v>3545</v>
      </c>
      <c r="H26" s="3493">
        <v>2022</v>
      </c>
      <c r="I26" s="3493" t="s">
        <v>3530</v>
      </c>
      <c r="J26" s="3493" t="s">
        <v>3562</v>
      </c>
      <c r="K26" s="3494">
        <v>3057</v>
      </c>
      <c r="L26" s="3494">
        <v>56403</v>
      </c>
      <c r="M26" s="3493" t="s">
        <v>3482</v>
      </c>
    </row>
    <row r="27" spans="1:13" s="3495" customFormat="1" ht="15" hidden="1" customHeight="1">
      <c r="A27" s="3493">
        <v>25</v>
      </c>
      <c r="B27" s="3493" t="s">
        <v>3563</v>
      </c>
      <c r="C27" s="3493" t="s">
        <v>3471</v>
      </c>
      <c r="D27" s="3493" t="s">
        <v>3503</v>
      </c>
      <c r="E27" s="3493" t="s">
        <v>3473</v>
      </c>
      <c r="F27" s="3494">
        <v>8690</v>
      </c>
      <c r="G27" s="3493" t="s">
        <v>3545</v>
      </c>
      <c r="H27" s="3493">
        <v>2022</v>
      </c>
      <c r="I27" s="3493" t="s">
        <v>3564</v>
      </c>
      <c r="J27" s="3493" t="s">
        <v>3565</v>
      </c>
      <c r="K27" s="3494">
        <v>282</v>
      </c>
      <c r="L27" s="3494">
        <v>32451</v>
      </c>
      <c r="M27" s="3493" t="s">
        <v>3482</v>
      </c>
    </row>
    <row r="28" spans="1:13" s="3495" customFormat="1" ht="15" hidden="1" customHeight="1">
      <c r="A28" s="3493">
        <v>26</v>
      </c>
      <c r="B28" s="3493" t="s">
        <v>3566</v>
      </c>
      <c r="C28" s="3493" t="s">
        <v>3471</v>
      </c>
      <c r="D28" s="3493" t="s">
        <v>3528</v>
      </c>
      <c r="E28" s="3493" t="s">
        <v>21</v>
      </c>
      <c r="F28" s="3494">
        <v>31000</v>
      </c>
      <c r="G28" s="3493" t="s">
        <v>3545</v>
      </c>
      <c r="H28" s="3493">
        <v>2022</v>
      </c>
      <c r="I28" s="3493" t="s">
        <v>3567</v>
      </c>
      <c r="J28" s="3493" t="s">
        <v>3568</v>
      </c>
      <c r="K28" s="3494">
        <v>2283</v>
      </c>
      <c r="L28" s="3494">
        <v>90920</v>
      </c>
      <c r="M28" s="3493" t="s">
        <v>3488</v>
      </c>
    </row>
    <row r="29" spans="1:13" s="3495" customFormat="1" ht="15" hidden="1" customHeight="1">
      <c r="A29" s="3493">
        <v>27</v>
      </c>
      <c r="B29" s="3493" t="s">
        <v>3569</v>
      </c>
      <c r="C29" s="3493" t="s">
        <v>3471</v>
      </c>
      <c r="D29" s="3493" t="s">
        <v>3503</v>
      </c>
      <c r="E29" s="3493" t="s">
        <v>3504</v>
      </c>
      <c r="F29" s="3494">
        <v>32274</v>
      </c>
      <c r="G29" s="3493" t="s">
        <v>3545</v>
      </c>
      <c r="H29" s="3493">
        <v>2022</v>
      </c>
      <c r="I29" s="3493" t="s">
        <v>3475</v>
      </c>
      <c r="J29" s="3493" t="s">
        <v>3570</v>
      </c>
      <c r="K29" s="3494">
        <v>1300</v>
      </c>
      <c r="L29" s="3494">
        <v>40280</v>
      </c>
      <c r="M29" s="3493" t="s">
        <v>3477</v>
      </c>
    </row>
    <row r="30" spans="1:13" s="3495" customFormat="1" ht="15" hidden="1" customHeight="1">
      <c r="A30" s="3493">
        <v>28</v>
      </c>
      <c r="B30" s="3493" t="s">
        <v>3571</v>
      </c>
      <c r="C30" s="3493" t="s">
        <v>3471</v>
      </c>
      <c r="D30" s="3493" t="s">
        <v>3503</v>
      </c>
      <c r="E30" s="3493" t="s">
        <v>3504</v>
      </c>
      <c r="F30" s="3494">
        <v>8940</v>
      </c>
      <c r="G30" s="3493" t="s">
        <v>3572</v>
      </c>
      <c r="H30" s="3493">
        <v>2022</v>
      </c>
      <c r="I30" s="3493" t="s">
        <v>3552</v>
      </c>
      <c r="J30" s="3493" t="s">
        <v>3573</v>
      </c>
      <c r="K30" s="3494">
        <v>270</v>
      </c>
      <c r="L30" s="3494">
        <v>30200</v>
      </c>
      <c r="M30" s="3493" t="s">
        <v>3488</v>
      </c>
    </row>
    <row r="31" spans="1:13" s="3495" customFormat="1" ht="15" hidden="1" customHeight="1">
      <c r="A31" s="3493">
        <v>29</v>
      </c>
      <c r="B31" s="3493" t="s">
        <v>3574</v>
      </c>
      <c r="C31" s="3493" t="s">
        <v>3471</v>
      </c>
      <c r="D31" s="3493" t="s">
        <v>3503</v>
      </c>
      <c r="E31" s="3493" t="s">
        <v>3556</v>
      </c>
      <c r="F31" s="3494">
        <v>40038</v>
      </c>
      <c r="G31" s="3493" t="s">
        <v>3572</v>
      </c>
      <c r="H31" s="3493">
        <v>2022</v>
      </c>
      <c r="I31" s="3493" t="s">
        <v>3575</v>
      </c>
      <c r="J31" s="3493" t="s">
        <v>3576</v>
      </c>
      <c r="K31" s="3494">
        <v>180</v>
      </c>
      <c r="L31" s="3494">
        <v>4496</v>
      </c>
      <c r="M31" s="3493" t="s">
        <v>3482</v>
      </c>
    </row>
    <row r="32" spans="1:13" s="3495" customFormat="1" ht="15" hidden="1" customHeight="1">
      <c r="A32" s="3493">
        <v>30</v>
      </c>
      <c r="B32" s="3493" t="s">
        <v>3577</v>
      </c>
      <c r="C32" s="3493" t="s">
        <v>3471</v>
      </c>
      <c r="D32" s="3493" t="s">
        <v>3578</v>
      </c>
      <c r="E32" s="3493" t="s">
        <v>21</v>
      </c>
      <c r="F32" s="3494">
        <v>5403</v>
      </c>
      <c r="G32" s="3493" t="s">
        <v>3572</v>
      </c>
      <c r="H32" s="3493">
        <v>2022</v>
      </c>
      <c r="I32" s="3493" t="s">
        <v>3579</v>
      </c>
      <c r="J32" s="3493" t="s">
        <v>3580</v>
      </c>
      <c r="K32" s="3494">
        <v>176</v>
      </c>
      <c r="L32" s="3494">
        <v>32574</v>
      </c>
      <c r="M32" s="3493" t="s">
        <v>3482</v>
      </c>
    </row>
    <row r="33" spans="1:13" s="3495" customFormat="1" ht="15" hidden="1" customHeight="1">
      <c r="A33" s="3493">
        <v>31</v>
      </c>
      <c r="B33" s="3493" t="s">
        <v>3581</v>
      </c>
      <c r="C33" s="3493" t="s">
        <v>3471</v>
      </c>
      <c r="D33" s="3493" t="s">
        <v>3511</v>
      </c>
      <c r="E33" s="3493" t="s">
        <v>3485</v>
      </c>
      <c r="F33" s="3494">
        <v>41866</v>
      </c>
      <c r="G33" s="3493" t="s">
        <v>3572</v>
      </c>
      <c r="H33" s="3493">
        <v>2022</v>
      </c>
      <c r="I33" s="3493" t="s">
        <v>3582</v>
      </c>
      <c r="J33" s="3493" t="s">
        <v>3583</v>
      </c>
      <c r="K33" s="3494">
        <v>1350</v>
      </c>
      <c r="L33" s="3494">
        <v>32000</v>
      </c>
      <c r="M33" s="3493" t="s">
        <v>3482</v>
      </c>
    </row>
    <row r="34" spans="1:13" s="3495" customFormat="1" ht="15" hidden="1" customHeight="1">
      <c r="A34" s="3493">
        <v>32</v>
      </c>
      <c r="B34" s="3493" t="s">
        <v>3584</v>
      </c>
      <c r="C34" s="3493" t="s">
        <v>3471</v>
      </c>
      <c r="D34" s="3493" t="s">
        <v>3484</v>
      </c>
      <c r="E34" s="3493" t="s">
        <v>21</v>
      </c>
      <c r="F34" s="3494">
        <v>13986</v>
      </c>
      <c r="G34" s="3493" t="s">
        <v>3572</v>
      </c>
      <c r="H34" s="3493">
        <v>2022</v>
      </c>
      <c r="I34" s="3493" t="s">
        <v>3585</v>
      </c>
      <c r="J34" s="3493" t="s">
        <v>3586</v>
      </c>
      <c r="K34" s="3494">
        <v>1672</v>
      </c>
      <c r="L34" s="3494">
        <v>119548</v>
      </c>
      <c r="M34" s="3493" t="s">
        <v>3482</v>
      </c>
    </row>
    <row r="35" spans="1:13" s="3495" customFormat="1" ht="15" hidden="1" customHeight="1">
      <c r="A35" s="3493">
        <v>33</v>
      </c>
      <c r="B35" s="3493" t="s">
        <v>3587</v>
      </c>
      <c r="C35" s="3493" t="s">
        <v>3588</v>
      </c>
      <c r="D35" s="3493" t="s">
        <v>3589</v>
      </c>
      <c r="E35" s="3493" t="s">
        <v>3590</v>
      </c>
      <c r="F35" s="3494">
        <v>67715</v>
      </c>
      <c r="G35" s="3493" t="s">
        <v>3591</v>
      </c>
      <c r="H35" s="3493">
        <v>2022</v>
      </c>
      <c r="I35" s="3493" t="s">
        <v>3592</v>
      </c>
      <c r="J35" s="3493" t="s">
        <v>3593</v>
      </c>
      <c r="K35" s="3494">
        <v>2520</v>
      </c>
      <c r="L35" s="3494">
        <v>37215</v>
      </c>
      <c r="M35" s="3493" t="s">
        <v>3594</v>
      </c>
    </row>
    <row r="36" spans="1:13" s="3495" customFormat="1" ht="15" hidden="1" customHeight="1">
      <c r="A36" s="3493">
        <v>34</v>
      </c>
      <c r="B36" s="3493" t="s">
        <v>3595</v>
      </c>
      <c r="C36" s="3493" t="s">
        <v>3588</v>
      </c>
      <c r="D36" s="3493" t="s">
        <v>3589</v>
      </c>
      <c r="E36" s="3493" t="s">
        <v>3596</v>
      </c>
      <c r="F36" s="3494">
        <v>23226</v>
      </c>
      <c r="G36" s="3493" t="s">
        <v>3591</v>
      </c>
      <c r="H36" s="3493">
        <v>2022</v>
      </c>
      <c r="I36" s="3493" t="s">
        <v>3597</v>
      </c>
      <c r="J36" s="3493" t="s">
        <v>3598</v>
      </c>
      <c r="K36" s="3494">
        <v>397</v>
      </c>
      <c r="L36" s="3494">
        <v>17093</v>
      </c>
      <c r="M36" s="3493" t="s">
        <v>3594</v>
      </c>
    </row>
    <row r="37" spans="1:13" s="3495" customFormat="1" ht="15" hidden="1" customHeight="1">
      <c r="A37" s="3493">
        <v>35</v>
      </c>
      <c r="B37" s="3493" t="s">
        <v>3599</v>
      </c>
      <c r="C37" s="3493" t="s">
        <v>3588</v>
      </c>
      <c r="D37" s="3493" t="s">
        <v>3600</v>
      </c>
      <c r="E37" s="3493" t="s">
        <v>3590</v>
      </c>
      <c r="F37" s="3494">
        <v>15101</v>
      </c>
      <c r="G37" s="3493" t="s">
        <v>3591</v>
      </c>
      <c r="H37" s="3493">
        <v>2022</v>
      </c>
      <c r="I37" s="3493" t="s">
        <v>3601</v>
      </c>
      <c r="J37" s="3493" t="s">
        <v>3602</v>
      </c>
      <c r="K37" s="3494">
        <v>680</v>
      </c>
      <c r="L37" s="3494">
        <v>45000</v>
      </c>
      <c r="M37" s="3493" t="s">
        <v>3594</v>
      </c>
    </row>
    <row r="38" spans="1:13" s="3495" customFormat="1" ht="15" hidden="1" customHeight="1">
      <c r="A38" s="3493">
        <v>36</v>
      </c>
      <c r="B38" s="3493" t="s">
        <v>3603</v>
      </c>
      <c r="C38" s="3493" t="s">
        <v>3588</v>
      </c>
      <c r="D38" s="3493" t="s">
        <v>3600</v>
      </c>
      <c r="E38" s="3493" t="s">
        <v>3590</v>
      </c>
      <c r="F38" s="3494">
        <v>15101</v>
      </c>
      <c r="G38" s="3493" t="s">
        <v>3591</v>
      </c>
      <c r="H38" s="3493">
        <v>2022</v>
      </c>
      <c r="I38" s="3493" t="s">
        <v>3601</v>
      </c>
      <c r="J38" s="3493" t="s">
        <v>3604</v>
      </c>
      <c r="K38" s="3494">
        <v>680</v>
      </c>
      <c r="L38" s="3494">
        <v>45000</v>
      </c>
      <c r="M38" s="3493" t="s">
        <v>3594</v>
      </c>
    </row>
    <row r="39" spans="1:13" s="3495" customFormat="1" ht="15" hidden="1" customHeight="1">
      <c r="A39" s="3493">
        <v>37</v>
      </c>
      <c r="B39" s="3493" t="s">
        <v>3605</v>
      </c>
      <c r="C39" s="3493" t="s">
        <v>3588</v>
      </c>
      <c r="D39" s="3493" t="s">
        <v>3606</v>
      </c>
      <c r="E39" s="3493" t="s">
        <v>3596</v>
      </c>
      <c r="F39" s="3494">
        <v>14095</v>
      </c>
      <c r="G39" s="3493" t="s">
        <v>3591</v>
      </c>
      <c r="H39" s="3493">
        <v>2022</v>
      </c>
      <c r="I39" s="3493" t="s">
        <v>3607</v>
      </c>
      <c r="J39" s="3493" t="s">
        <v>3608</v>
      </c>
      <c r="K39" s="3494">
        <v>333</v>
      </c>
      <c r="L39" s="3494">
        <v>23625</v>
      </c>
      <c r="M39" s="3493" t="s">
        <v>3594</v>
      </c>
    </row>
    <row r="40" spans="1:13" s="3495" customFormat="1" ht="15" hidden="1" customHeight="1">
      <c r="A40" s="3493">
        <v>38</v>
      </c>
      <c r="B40" s="3493" t="s">
        <v>3609</v>
      </c>
      <c r="C40" s="3493" t="s">
        <v>3588</v>
      </c>
      <c r="D40" s="3493" t="s">
        <v>3606</v>
      </c>
      <c r="E40" s="3493" t="s">
        <v>3596</v>
      </c>
      <c r="F40" s="3494">
        <v>19862</v>
      </c>
      <c r="G40" s="3493" t="s">
        <v>3591</v>
      </c>
      <c r="H40" s="3493">
        <v>2022</v>
      </c>
      <c r="I40" s="3493" t="s">
        <v>3607</v>
      </c>
      <c r="J40" s="3493" t="s">
        <v>3608</v>
      </c>
      <c r="K40" s="3494">
        <v>480</v>
      </c>
      <c r="L40" s="3494">
        <v>24200</v>
      </c>
      <c r="M40" s="3493" t="s">
        <v>3594</v>
      </c>
    </row>
    <row r="41" spans="1:13" s="3495" customFormat="1" ht="15" hidden="1" customHeight="1">
      <c r="A41" s="3493">
        <v>39</v>
      </c>
      <c r="B41" s="3493" t="s">
        <v>3610</v>
      </c>
      <c r="C41" s="3493" t="s">
        <v>3588</v>
      </c>
      <c r="D41" s="3493" t="s">
        <v>3611</v>
      </c>
      <c r="E41" s="3493" t="s">
        <v>3590</v>
      </c>
      <c r="F41" s="3494">
        <v>45395</v>
      </c>
      <c r="G41" s="3493" t="s">
        <v>3591</v>
      </c>
      <c r="H41" s="3493">
        <v>2022</v>
      </c>
      <c r="I41" s="3493" t="s">
        <v>3612</v>
      </c>
      <c r="J41" s="3493" t="s">
        <v>3613</v>
      </c>
      <c r="K41" s="3494">
        <v>2633</v>
      </c>
      <c r="L41" s="3494">
        <v>58000</v>
      </c>
      <c r="M41" s="3493" t="s">
        <v>3594</v>
      </c>
    </row>
    <row r="42" spans="1:13" s="3495" customFormat="1" ht="15" hidden="1" customHeight="1">
      <c r="A42" s="3493">
        <v>40</v>
      </c>
      <c r="B42" s="3493" t="s">
        <v>3614</v>
      </c>
      <c r="C42" s="3493" t="s">
        <v>3588</v>
      </c>
      <c r="D42" s="3493" t="s">
        <v>3611</v>
      </c>
      <c r="E42" s="3493" t="s">
        <v>3590</v>
      </c>
      <c r="F42" s="3494">
        <v>93780</v>
      </c>
      <c r="G42" s="3493" t="s">
        <v>3591</v>
      </c>
      <c r="H42" s="3493">
        <v>2022</v>
      </c>
      <c r="I42" s="3493" t="s">
        <v>3615</v>
      </c>
      <c r="J42" s="3493" t="s">
        <v>3616</v>
      </c>
      <c r="K42" s="3494">
        <v>5700</v>
      </c>
      <c r="L42" s="3494">
        <v>60781</v>
      </c>
      <c r="M42" s="3493" t="s">
        <v>3594</v>
      </c>
    </row>
    <row r="43" spans="1:13" s="3495" customFormat="1" ht="15" hidden="1" customHeight="1">
      <c r="A43" s="3493">
        <v>41</v>
      </c>
      <c r="B43" s="3493" t="s">
        <v>3617</v>
      </c>
      <c r="C43" s="3493" t="s">
        <v>3588</v>
      </c>
      <c r="D43" s="3493" t="s">
        <v>3611</v>
      </c>
      <c r="E43" s="3493" t="s">
        <v>3618</v>
      </c>
      <c r="F43" s="3494">
        <v>20507</v>
      </c>
      <c r="G43" s="3493" t="s">
        <v>3591</v>
      </c>
      <c r="H43" s="3493">
        <v>2022</v>
      </c>
      <c r="I43" s="3493" t="s">
        <v>3615</v>
      </c>
      <c r="J43" s="3493" t="s">
        <v>3619</v>
      </c>
      <c r="K43" s="3494">
        <v>1150</v>
      </c>
      <c r="L43" s="3494">
        <v>56078</v>
      </c>
      <c r="M43" s="3493" t="s">
        <v>3594</v>
      </c>
    </row>
    <row r="44" spans="1:13" s="3495" customFormat="1" ht="15" hidden="1" customHeight="1">
      <c r="A44" s="3493">
        <v>42</v>
      </c>
      <c r="B44" s="3493" t="s">
        <v>3620</v>
      </c>
      <c r="C44" s="3493" t="s">
        <v>3588</v>
      </c>
      <c r="D44" s="3493" t="s">
        <v>3621</v>
      </c>
      <c r="E44" s="3493" t="s">
        <v>3590</v>
      </c>
      <c r="F44" s="3494">
        <v>3739</v>
      </c>
      <c r="G44" s="3493" t="s">
        <v>3591</v>
      </c>
      <c r="H44" s="3493">
        <v>2022</v>
      </c>
      <c r="I44" s="3493" t="s">
        <v>3612</v>
      </c>
      <c r="J44" s="3493" t="s">
        <v>3622</v>
      </c>
      <c r="K44" s="3494">
        <v>180</v>
      </c>
      <c r="L44" s="3494">
        <v>48141</v>
      </c>
      <c r="M44" s="3493" t="s">
        <v>3594</v>
      </c>
    </row>
    <row r="45" spans="1:13" s="3495" customFormat="1" ht="15" hidden="1" customHeight="1">
      <c r="A45" s="3493">
        <v>43</v>
      </c>
      <c r="B45" s="3493" t="s">
        <v>3623</v>
      </c>
      <c r="C45" s="3493" t="s">
        <v>3588</v>
      </c>
      <c r="D45" s="3493" t="s">
        <v>3624</v>
      </c>
      <c r="E45" s="3493" t="s">
        <v>3590</v>
      </c>
      <c r="F45" s="3494">
        <v>10232</v>
      </c>
      <c r="G45" s="3493" t="s">
        <v>3591</v>
      </c>
      <c r="H45" s="3493">
        <v>2022</v>
      </c>
      <c r="I45" s="3493" t="s">
        <v>3625</v>
      </c>
      <c r="J45" s="3493" t="s">
        <v>3626</v>
      </c>
      <c r="K45" s="3494">
        <v>657</v>
      </c>
      <c r="L45" s="3494">
        <v>64210</v>
      </c>
      <c r="M45" s="3493" t="s">
        <v>3594</v>
      </c>
    </row>
    <row r="46" spans="1:13" s="3495" customFormat="1" ht="15" hidden="1" customHeight="1">
      <c r="A46" s="3493">
        <v>44</v>
      </c>
      <c r="B46" s="3493" t="s">
        <v>3627</v>
      </c>
      <c r="C46" s="3493" t="s">
        <v>3588</v>
      </c>
      <c r="D46" s="3493" t="s">
        <v>3589</v>
      </c>
      <c r="E46" s="3493" t="s">
        <v>3618</v>
      </c>
      <c r="F46" s="3494">
        <v>33456</v>
      </c>
      <c r="G46" s="3493" t="s">
        <v>3591</v>
      </c>
      <c r="H46" s="3493">
        <v>2022</v>
      </c>
      <c r="I46" s="3493" t="s">
        <v>3628</v>
      </c>
      <c r="J46" s="3493" t="s">
        <v>3629</v>
      </c>
      <c r="K46" s="3494">
        <v>892</v>
      </c>
      <c r="L46" s="3494">
        <v>26700</v>
      </c>
      <c r="M46" s="3493" t="s">
        <v>3594</v>
      </c>
    </row>
    <row r="47" spans="1:13" s="3495" customFormat="1" ht="15" hidden="1" customHeight="1">
      <c r="A47" s="3493">
        <v>45</v>
      </c>
      <c r="B47" s="3493" t="s">
        <v>3630</v>
      </c>
      <c r="C47" s="3493" t="s">
        <v>3588</v>
      </c>
      <c r="D47" s="3493" t="s">
        <v>3611</v>
      </c>
      <c r="E47" s="3493" t="s">
        <v>3590</v>
      </c>
      <c r="F47" s="3494">
        <v>27427</v>
      </c>
      <c r="G47" s="3493" t="s">
        <v>3591</v>
      </c>
      <c r="H47" s="3493">
        <v>2022</v>
      </c>
      <c r="I47" s="3493" t="s">
        <v>3631</v>
      </c>
      <c r="J47" s="3493" t="s">
        <v>3632</v>
      </c>
      <c r="K47" s="3494">
        <v>1100</v>
      </c>
      <c r="L47" s="3494">
        <v>40106</v>
      </c>
      <c r="M47" s="3493" t="s">
        <v>3594</v>
      </c>
    </row>
    <row r="48" spans="1:13" s="3495" customFormat="1" ht="15" hidden="1" customHeight="1">
      <c r="A48" s="3493">
        <v>46</v>
      </c>
      <c r="B48" s="3493" t="s">
        <v>3633</v>
      </c>
      <c r="C48" s="3493" t="s">
        <v>3588</v>
      </c>
      <c r="D48" s="3493" t="s">
        <v>3589</v>
      </c>
      <c r="E48" s="3493" t="s">
        <v>3590</v>
      </c>
      <c r="F48" s="3494">
        <v>57318</v>
      </c>
      <c r="G48" s="3493" t="s">
        <v>3591</v>
      </c>
      <c r="H48" s="3493">
        <v>2022</v>
      </c>
      <c r="I48" s="3493" t="s">
        <v>3634</v>
      </c>
      <c r="J48" s="3493" t="s">
        <v>3635</v>
      </c>
      <c r="K48" s="3494">
        <v>2850</v>
      </c>
      <c r="L48" s="3494">
        <v>50595</v>
      </c>
      <c r="M48" s="3493" t="s">
        <v>3636</v>
      </c>
    </row>
    <row r="49" spans="1:13" s="3495" customFormat="1" ht="15" hidden="1" customHeight="1">
      <c r="A49" s="3493">
        <v>47</v>
      </c>
      <c r="B49" s="3493" t="s">
        <v>3637</v>
      </c>
      <c r="C49" s="3493" t="s">
        <v>3588</v>
      </c>
      <c r="D49" s="3493" t="s">
        <v>3638</v>
      </c>
      <c r="E49" s="3493" t="s">
        <v>3639</v>
      </c>
      <c r="F49" s="3494">
        <v>68433</v>
      </c>
      <c r="G49" s="3493" t="s">
        <v>3591</v>
      </c>
      <c r="H49" s="3493">
        <v>2022</v>
      </c>
      <c r="I49" s="3493" t="s">
        <v>3640</v>
      </c>
      <c r="J49" s="3493" t="s">
        <v>3641</v>
      </c>
      <c r="K49" s="3494">
        <v>411</v>
      </c>
      <c r="L49" s="3494">
        <v>6000</v>
      </c>
      <c r="M49" s="3493" t="s">
        <v>3636</v>
      </c>
    </row>
    <row r="50" spans="1:13" s="3495" customFormat="1" ht="15" hidden="1" customHeight="1">
      <c r="A50" s="3493">
        <v>48</v>
      </c>
      <c r="B50" s="3493" t="s">
        <v>3642</v>
      </c>
      <c r="C50" s="3493" t="s">
        <v>3588</v>
      </c>
      <c r="D50" s="3493" t="s">
        <v>3621</v>
      </c>
      <c r="E50" s="3493" t="s">
        <v>3590</v>
      </c>
      <c r="F50" s="3494">
        <v>34350</v>
      </c>
      <c r="G50" s="3493" t="s">
        <v>3591</v>
      </c>
      <c r="H50" s="3493">
        <v>2022</v>
      </c>
      <c r="I50" s="3493" t="s">
        <v>3643</v>
      </c>
      <c r="J50" s="3493" t="s">
        <v>3644</v>
      </c>
      <c r="K50" s="3494">
        <v>700</v>
      </c>
      <c r="L50" s="3494">
        <v>20378</v>
      </c>
      <c r="M50" s="3493" t="s">
        <v>3636</v>
      </c>
    </row>
    <row r="51" spans="1:13" s="3495" customFormat="1" ht="15" hidden="1" customHeight="1">
      <c r="A51" s="3493">
        <v>49</v>
      </c>
      <c r="B51" s="3493" t="s">
        <v>3645</v>
      </c>
      <c r="C51" s="3493" t="s">
        <v>3588</v>
      </c>
      <c r="D51" s="3493" t="s">
        <v>3611</v>
      </c>
      <c r="E51" s="3493" t="s">
        <v>3596</v>
      </c>
      <c r="F51" s="3494">
        <v>6002</v>
      </c>
      <c r="G51" s="3493" t="s">
        <v>3591</v>
      </c>
      <c r="H51" s="3493">
        <v>2022</v>
      </c>
      <c r="I51" s="3493" t="s">
        <v>3646</v>
      </c>
      <c r="J51" s="3493" t="s">
        <v>3647</v>
      </c>
      <c r="K51" s="3494">
        <v>120</v>
      </c>
      <c r="L51" s="3494">
        <v>19993</v>
      </c>
      <c r="M51" s="3493" t="s">
        <v>3594</v>
      </c>
    </row>
    <row r="52" spans="1:13" s="3495" customFormat="1" ht="15" hidden="1" customHeight="1">
      <c r="A52" s="3493">
        <v>50</v>
      </c>
      <c r="B52" s="3493" t="s">
        <v>3648</v>
      </c>
      <c r="C52" s="3493" t="s">
        <v>3588</v>
      </c>
      <c r="D52" s="3493" t="s">
        <v>3649</v>
      </c>
      <c r="E52" s="3493" t="s">
        <v>3650</v>
      </c>
      <c r="F52" s="3494">
        <v>13100</v>
      </c>
      <c r="G52" s="3493" t="s">
        <v>3591</v>
      </c>
      <c r="H52" s="3493">
        <v>2022</v>
      </c>
      <c r="I52" s="3493" t="s">
        <v>3651</v>
      </c>
      <c r="J52" s="3493" t="s">
        <v>3652</v>
      </c>
      <c r="K52" s="3494">
        <v>113</v>
      </c>
      <c r="L52" s="3494">
        <v>8626</v>
      </c>
      <c r="M52" s="3493" t="s">
        <v>3636</v>
      </c>
    </row>
    <row r="53" spans="1:13" s="3495" customFormat="1" ht="15" hidden="1" customHeight="1">
      <c r="A53" s="3493">
        <v>51</v>
      </c>
      <c r="B53" s="3493" t="s">
        <v>3653</v>
      </c>
      <c r="C53" s="3493" t="s">
        <v>3588</v>
      </c>
      <c r="D53" s="3493" t="s">
        <v>3589</v>
      </c>
      <c r="E53" s="3493" t="s">
        <v>3596</v>
      </c>
      <c r="F53" s="3494">
        <v>38149</v>
      </c>
      <c r="G53" s="3493" t="s">
        <v>3591</v>
      </c>
      <c r="H53" s="3493">
        <v>2022</v>
      </c>
      <c r="I53" s="3493" t="s">
        <v>3654</v>
      </c>
      <c r="J53" s="3493" t="s">
        <v>3655</v>
      </c>
      <c r="K53" s="3494">
        <v>420</v>
      </c>
      <c r="L53" s="3494">
        <v>11009</v>
      </c>
      <c r="M53" s="3493" t="s">
        <v>3636</v>
      </c>
    </row>
    <row r="54" spans="1:13" s="3495" customFormat="1" ht="15" hidden="1" customHeight="1">
      <c r="A54" s="3493">
        <v>52</v>
      </c>
      <c r="B54" s="3493" t="s">
        <v>3656</v>
      </c>
      <c r="C54" s="3493" t="s">
        <v>3588</v>
      </c>
      <c r="D54" s="3493" t="s">
        <v>3600</v>
      </c>
      <c r="E54" s="3493" t="s">
        <v>3590</v>
      </c>
      <c r="F54" s="3494">
        <v>5874</v>
      </c>
      <c r="G54" s="3493" t="s">
        <v>3657</v>
      </c>
      <c r="H54" s="3493">
        <v>2022</v>
      </c>
      <c r="I54" s="3493" t="s">
        <v>3658</v>
      </c>
      <c r="J54" s="3493" t="s">
        <v>3659</v>
      </c>
      <c r="K54" s="3494">
        <v>200</v>
      </c>
      <c r="L54" s="3494">
        <v>34048</v>
      </c>
      <c r="M54" s="3493" t="s">
        <v>3594</v>
      </c>
    </row>
    <row r="55" spans="1:13" s="3495" customFormat="1" ht="15" hidden="1" customHeight="1">
      <c r="A55" s="3493">
        <v>53</v>
      </c>
      <c r="B55" s="3493" t="s">
        <v>3660</v>
      </c>
      <c r="C55" s="3493" t="s">
        <v>3588</v>
      </c>
      <c r="D55" s="3493" t="s">
        <v>3606</v>
      </c>
      <c r="E55" s="3493" t="s">
        <v>3596</v>
      </c>
      <c r="F55" s="3494">
        <v>5135</v>
      </c>
      <c r="G55" s="3493" t="s">
        <v>3657</v>
      </c>
      <c r="H55" s="3493">
        <v>2022</v>
      </c>
      <c r="I55" s="3493" t="s">
        <v>3661</v>
      </c>
      <c r="J55" s="3493" t="s">
        <v>3662</v>
      </c>
      <c r="K55" s="3494">
        <v>200</v>
      </c>
      <c r="L55" s="3494">
        <v>39000</v>
      </c>
      <c r="M55" s="3493" t="s">
        <v>3594</v>
      </c>
    </row>
    <row r="56" spans="1:13" s="3495" customFormat="1" ht="15" hidden="1" customHeight="1">
      <c r="A56" s="3493">
        <v>54</v>
      </c>
      <c r="B56" s="3493" t="s">
        <v>3663</v>
      </c>
      <c r="C56" s="3493" t="s">
        <v>3588</v>
      </c>
      <c r="D56" s="3493" t="s">
        <v>3664</v>
      </c>
      <c r="E56" s="3493" t="s">
        <v>3596</v>
      </c>
      <c r="F56" s="3494">
        <v>79260</v>
      </c>
      <c r="G56" s="3493" t="s">
        <v>3657</v>
      </c>
      <c r="H56" s="3493">
        <v>2022</v>
      </c>
      <c r="I56" s="3493" t="s">
        <v>3665</v>
      </c>
      <c r="J56" s="3493" t="s">
        <v>3666</v>
      </c>
      <c r="K56" s="3494">
        <v>2753</v>
      </c>
      <c r="L56" s="3494">
        <v>34734</v>
      </c>
      <c r="M56" s="3493" t="s">
        <v>3667</v>
      </c>
    </row>
    <row r="57" spans="1:13" s="3495" customFormat="1" ht="15" hidden="1" customHeight="1">
      <c r="A57" s="3493">
        <v>55</v>
      </c>
      <c r="B57" s="3493" t="s">
        <v>3668</v>
      </c>
      <c r="C57" s="3493" t="s">
        <v>3588</v>
      </c>
      <c r="D57" s="3493" t="s">
        <v>3589</v>
      </c>
      <c r="E57" s="3493" t="s">
        <v>3639</v>
      </c>
      <c r="F57" s="3494">
        <v>29380</v>
      </c>
      <c r="G57" s="3493" t="s">
        <v>3657</v>
      </c>
      <c r="H57" s="3493">
        <v>2022</v>
      </c>
      <c r="I57" s="3493" t="s">
        <v>3669</v>
      </c>
      <c r="J57" s="3493" t="s">
        <v>3670</v>
      </c>
      <c r="K57" s="3494">
        <v>283</v>
      </c>
      <c r="L57" s="3494">
        <v>9632</v>
      </c>
      <c r="M57" s="3493" t="s">
        <v>3636</v>
      </c>
    </row>
    <row r="58" spans="1:13" s="3495" customFormat="1" ht="15" hidden="1" customHeight="1">
      <c r="A58" s="3493">
        <v>56</v>
      </c>
      <c r="B58" s="3493" t="s">
        <v>3671</v>
      </c>
      <c r="C58" s="3493" t="s">
        <v>3588</v>
      </c>
      <c r="D58" s="3493" t="s">
        <v>3672</v>
      </c>
      <c r="E58" s="3493" t="s">
        <v>3673</v>
      </c>
      <c r="F58" s="3494">
        <v>11427</v>
      </c>
      <c r="G58" s="3493" t="s">
        <v>3657</v>
      </c>
      <c r="H58" s="3493">
        <v>2022</v>
      </c>
      <c r="I58" s="3493" t="s">
        <v>3674</v>
      </c>
      <c r="J58" s="3493" t="s">
        <v>3675</v>
      </c>
      <c r="K58" s="3494">
        <v>253</v>
      </c>
      <c r="L58" s="3494">
        <v>22141</v>
      </c>
      <c r="M58" s="3493" t="s">
        <v>3636</v>
      </c>
    </row>
    <row r="59" spans="1:13" s="3495" customFormat="1" ht="15" hidden="1" customHeight="1">
      <c r="A59" s="3493">
        <v>57</v>
      </c>
      <c r="B59" s="3493" t="s">
        <v>3676</v>
      </c>
      <c r="C59" s="3493" t="s">
        <v>3588</v>
      </c>
      <c r="D59" s="3493" t="s">
        <v>3611</v>
      </c>
      <c r="E59" s="3493" t="s">
        <v>3673</v>
      </c>
      <c r="F59" s="3494">
        <v>3209</v>
      </c>
      <c r="G59" s="3493" t="s">
        <v>3657</v>
      </c>
      <c r="H59" s="3493">
        <v>2022</v>
      </c>
      <c r="I59" s="3493" t="s">
        <v>3677</v>
      </c>
      <c r="J59" s="3493" t="s">
        <v>3678</v>
      </c>
      <c r="K59" s="3494">
        <v>92</v>
      </c>
      <c r="L59" s="3494">
        <v>28669</v>
      </c>
      <c r="M59" s="3493" t="s">
        <v>3636</v>
      </c>
    </row>
    <row r="60" spans="1:13" s="3495" customFormat="1" ht="15" hidden="1" customHeight="1">
      <c r="A60" s="3493">
        <v>58</v>
      </c>
      <c r="B60" s="3493" t="s">
        <v>3679</v>
      </c>
      <c r="C60" s="3493" t="s">
        <v>3588</v>
      </c>
      <c r="D60" s="3493" t="s">
        <v>3589</v>
      </c>
      <c r="E60" s="3493" t="s">
        <v>3596</v>
      </c>
      <c r="F60" s="3494">
        <v>22073</v>
      </c>
      <c r="G60" s="3493" t="s">
        <v>3657</v>
      </c>
      <c r="H60" s="3493">
        <v>2022</v>
      </c>
      <c r="I60" s="3493" t="s">
        <v>3680</v>
      </c>
      <c r="J60" s="3493" t="s">
        <v>3681</v>
      </c>
      <c r="K60" s="3494">
        <v>580</v>
      </c>
      <c r="L60" s="3494">
        <v>26276</v>
      </c>
      <c r="M60" s="3493" t="s">
        <v>3636</v>
      </c>
    </row>
    <row r="61" spans="1:13" s="3495" customFormat="1" ht="15" hidden="1" customHeight="1">
      <c r="A61" s="3493">
        <v>59</v>
      </c>
      <c r="B61" s="3493" t="s">
        <v>3682</v>
      </c>
      <c r="C61" s="3493" t="s">
        <v>3588</v>
      </c>
      <c r="D61" s="3493" t="s">
        <v>3611</v>
      </c>
      <c r="E61" s="3493" t="s">
        <v>3618</v>
      </c>
      <c r="F61" s="3494">
        <v>4636</v>
      </c>
      <c r="G61" s="3493" t="s">
        <v>3657</v>
      </c>
      <c r="H61" s="3493">
        <v>2022</v>
      </c>
      <c r="I61" s="3493" t="s">
        <v>3683</v>
      </c>
      <c r="J61" s="3493" t="s">
        <v>3647</v>
      </c>
      <c r="K61" s="3494">
        <v>140</v>
      </c>
      <c r="L61" s="3494">
        <v>30198</v>
      </c>
      <c r="M61" s="3493" t="s">
        <v>3594</v>
      </c>
    </row>
    <row r="62" spans="1:13" s="3495" customFormat="1" ht="15" hidden="1" customHeight="1">
      <c r="A62" s="3493">
        <v>60</v>
      </c>
      <c r="B62" s="3493" t="s">
        <v>3684</v>
      </c>
      <c r="C62" s="3493" t="s">
        <v>3588</v>
      </c>
      <c r="D62" s="3493" t="s">
        <v>3589</v>
      </c>
      <c r="E62" s="3493" t="s">
        <v>3596</v>
      </c>
      <c r="F62" s="3494">
        <v>26755</v>
      </c>
      <c r="G62" s="3493" t="s">
        <v>3657</v>
      </c>
      <c r="H62" s="3493">
        <v>2022</v>
      </c>
      <c r="I62" s="3493" t="s">
        <v>3685</v>
      </c>
      <c r="J62" s="3493" t="s">
        <v>3686</v>
      </c>
      <c r="K62" s="3494">
        <v>1070</v>
      </c>
      <c r="L62" s="3494">
        <v>40000</v>
      </c>
      <c r="M62" s="3493" t="s">
        <v>3636</v>
      </c>
    </row>
    <row r="63" spans="1:13" s="3495" customFormat="1" ht="15" hidden="1" customHeight="1">
      <c r="A63" s="3493">
        <v>61</v>
      </c>
      <c r="B63" s="3493" t="s">
        <v>3687</v>
      </c>
      <c r="C63" s="3493" t="s">
        <v>3588</v>
      </c>
      <c r="D63" s="3493" t="s">
        <v>3688</v>
      </c>
      <c r="E63" s="3493" t="s">
        <v>3590</v>
      </c>
      <c r="F63" s="3494">
        <v>145642</v>
      </c>
      <c r="G63" s="3493" t="s">
        <v>3657</v>
      </c>
      <c r="H63" s="3493">
        <v>2022</v>
      </c>
      <c r="I63" s="3493" t="s">
        <v>3689</v>
      </c>
      <c r="J63" s="3493" t="s">
        <v>3690</v>
      </c>
      <c r="K63" s="3494">
        <v>7300</v>
      </c>
      <c r="L63" s="3494">
        <v>50123</v>
      </c>
      <c r="M63" s="3493" t="s">
        <v>3636</v>
      </c>
    </row>
    <row r="64" spans="1:13" s="3495" customFormat="1" ht="15" hidden="1" customHeight="1">
      <c r="A64" s="3493">
        <v>62</v>
      </c>
      <c r="B64" s="3493" t="s">
        <v>3691</v>
      </c>
      <c r="C64" s="3493" t="s">
        <v>3588</v>
      </c>
      <c r="D64" s="3493" t="s">
        <v>3600</v>
      </c>
      <c r="E64" s="3493" t="s">
        <v>3590</v>
      </c>
      <c r="F64" s="3494">
        <v>33702</v>
      </c>
      <c r="G64" s="3493" t="s">
        <v>3657</v>
      </c>
      <c r="H64" s="3493">
        <v>2022</v>
      </c>
      <c r="I64" s="3493" t="s">
        <v>3631</v>
      </c>
      <c r="J64" s="3493" t="s">
        <v>3692</v>
      </c>
      <c r="K64" s="3494">
        <v>1139</v>
      </c>
      <c r="L64" s="3494">
        <v>33796</v>
      </c>
      <c r="M64" s="3493" t="s">
        <v>3594</v>
      </c>
    </row>
    <row r="65" spans="1:13" s="3495" customFormat="1" ht="15" hidden="1" customHeight="1">
      <c r="A65" s="3493">
        <v>63</v>
      </c>
      <c r="B65" s="3493" t="s">
        <v>3693</v>
      </c>
      <c r="C65" s="3493" t="s">
        <v>3588</v>
      </c>
      <c r="D65" s="3493" t="s">
        <v>3624</v>
      </c>
      <c r="E65" s="3493" t="s">
        <v>3590</v>
      </c>
      <c r="F65" s="3494">
        <v>52998</v>
      </c>
      <c r="G65" s="3493" t="s">
        <v>3657</v>
      </c>
      <c r="H65" s="3493">
        <v>2022</v>
      </c>
      <c r="I65" s="3493" t="s">
        <v>3694</v>
      </c>
      <c r="J65" s="3493" t="s">
        <v>3695</v>
      </c>
      <c r="K65" s="3494">
        <v>3328</v>
      </c>
      <c r="L65" s="3494">
        <v>62795</v>
      </c>
      <c r="M65" s="3493" t="s">
        <v>3594</v>
      </c>
    </row>
    <row r="66" spans="1:13" s="3495" customFormat="1" ht="15" hidden="1" customHeight="1">
      <c r="A66" s="3493">
        <v>64</v>
      </c>
      <c r="B66" s="3493" t="s">
        <v>3696</v>
      </c>
      <c r="C66" s="3493" t="s">
        <v>3588</v>
      </c>
      <c r="D66" s="3493" t="s">
        <v>3624</v>
      </c>
      <c r="E66" s="3493" t="s">
        <v>3590</v>
      </c>
      <c r="F66" s="3494">
        <v>23778</v>
      </c>
      <c r="G66" s="3493" t="s">
        <v>3657</v>
      </c>
      <c r="H66" s="3493">
        <v>2022</v>
      </c>
      <c r="I66" s="3493" t="s">
        <v>3694</v>
      </c>
      <c r="J66" s="3493" t="s">
        <v>3697</v>
      </c>
      <c r="K66" s="3494">
        <v>1493</v>
      </c>
      <c r="L66" s="3494">
        <v>62800</v>
      </c>
      <c r="M66" s="3493" t="s">
        <v>3594</v>
      </c>
    </row>
    <row r="67" spans="1:13" s="3495" customFormat="1" ht="15" hidden="1" customHeight="1">
      <c r="A67" s="3493">
        <v>65</v>
      </c>
      <c r="B67" s="3493" t="s">
        <v>3698</v>
      </c>
      <c r="C67" s="3493" t="s">
        <v>3588</v>
      </c>
      <c r="D67" s="3493" t="s">
        <v>3589</v>
      </c>
      <c r="E67" s="3493" t="s">
        <v>3596</v>
      </c>
      <c r="F67" s="3494">
        <v>30406</v>
      </c>
      <c r="G67" s="3493" t="s">
        <v>3657</v>
      </c>
      <c r="H67" s="3493">
        <v>2022</v>
      </c>
      <c r="I67" s="3493" t="s">
        <v>3699</v>
      </c>
      <c r="J67" s="3493" t="s">
        <v>3700</v>
      </c>
      <c r="K67" s="3494">
        <v>979</v>
      </c>
      <c r="L67" s="3494">
        <v>32198</v>
      </c>
      <c r="M67" s="3493" t="s">
        <v>3594</v>
      </c>
    </row>
    <row r="68" spans="1:13" s="3495" customFormat="1" ht="15" hidden="1" customHeight="1">
      <c r="A68" s="3493">
        <v>66</v>
      </c>
      <c r="B68" s="3493" t="s">
        <v>3701</v>
      </c>
      <c r="C68" s="3493" t="s">
        <v>3588</v>
      </c>
      <c r="D68" s="3493" t="s">
        <v>3664</v>
      </c>
      <c r="E68" s="3493" t="s">
        <v>3590</v>
      </c>
      <c r="F68" s="3494">
        <v>4227</v>
      </c>
      <c r="G68" s="3493" t="s">
        <v>3657</v>
      </c>
      <c r="H68" s="3493">
        <v>2022</v>
      </c>
      <c r="I68" s="3493" t="s">
        <v>3702</v>
      </c>
      <c r="J68" s="3493" t="s">
        <v>3703</v>
      </c>
      <c r="K68" s="3494">
        <v>267</v>
      </c>
      <c r="L68" s="3494">
        <v>63165</v>
      </c>
      <c r="M68" s="3493" t="s">
        <v>3594</v>
      </c>
    </row>
    <row r="69" spans="1:13" s="3495" customFormat="1" ht="15" hidden="1" customHeight="1">
      <c r="A69" s="3493">
        <v>67</v>
      </c>
      <c r="B69" s="3493" t="s">
        <v>3704</v>
      </c>
      <c r="C69" s="3493" t="s">
        <v>3588</v>
      </c>
      <c r="D69" s="3493" t="s">
        <v>3621</v>
      </c>
      <c r="E69" s="3493" t="s">
        <v>3673</v>
      </c>
      <c r="F69" s="3494">
        <v>49112</v>
      </c>
      <c r="G69" s="3493" t="s">
        <v>3657</v>
      </c>
      <c r="H69" s="3493">
        <v>2022</v>
      </c>
      <c r="I69" s="3493" t="s">
        <v>3677</v>
      </c>
      <c r="J69" s="3493" t="s">
        <v>3675</v>
      </c>
      <c r="K69" s="3494">
        <v>263</v>
      </c>
      <c r="L69" s="3494">
        <v>21420</v>
      </c>
      <c r="M69" s="3493" t="s">
        <v>3636</v>
      </c>
    </row>
    <row r="70" spans="1:13" s="3495" customFormat="1" ht="15" hidden="1" customHeight="1">
      <c r="A70" s="3493">
        <v>68</v>
      </c>
      <c r="B70" s="3493" t="s">
        <v>3705</v>
      </c>
      <c r="C70" s="3493" t="s">
        <v>3588</v>
      </c>
      <c r="D70" s="3493" t="s">
        <v>3688</v>
      </c>
      <c r="E70" s="3493" t="s">
        <v>3590</v>
      </c>
      <c r="F70" s="3494">
        <v>23013</v>
      </c>
      <c r="G70" s="3493" t="s">
        <v>3657</v>
      </c>
      <c r="H70" s="3493">
        <v>2022</v>
      </c>
      <c r="I70" s="3493" t="s">
        <v>3706</v>
      </c>
      <c r="J70" s="3493" t="s">
        <v>3707</v>
      </c>
      <c r="K70" s="3494">
        <v>2640</v>
      </c>
      <c r="L70" s="3494">
        <v>115000</v>
      </c>
      <c r="M70" s="3493" t="s">
        <v>3594</v>
      </c>
    </row>
    <row r="71" spans="1:13" s="3495" customFormat="1" ht="15" hidden="1" customHeight="1">
      <c r="A71" s="3493">
        <v>69</v>
      </c>
      <c r="B71" s="3493" t="s">
        <v>3708</v>
      </c>
      <c r="C71" s="3493" t="s">
        <v>3588</v>
      </c>
      <c r="D71" s="3493" t="s">
        <v>3606</v>
      </c>
      <c r="E71" s="3493" t="s">
        <v>3639</v>
      </c>
      <c r="F71" s="3494">
        <v>29495</v>
      </c>
      <c r="G71" s="3493" t="s">
        <v>3657</v>
      </c>
      <c r="H71" s="3493">
        <v>2022</v>
      </c>
      <c r="I71" s="3493" t="s">
        <v>3709</v>
      </c>
      <c r="J71" s="3493" t="s">
        <v>3710</v>
      </c>
      <c r="K71" s="3494">
        <v>132</v>
      </c>
      <c r="L71" s="3494">
        <v>4478</v>
      </c>
      <c r="M71" s="3493" t="s">
        <v>3594</v>
      </c>
    </row>
    <row r="72" spans="1:13" s="3495" customFormat="1" ht="15" hidden="1" customHeight="1">
      <c r="A72" s="3493">
        <v>70</v>
      </c>
      <c r="B72" s="3493" t="s">
        <v>3711</v>
      </c>
      <c r="C72" s="3493" t="s">
        <v>3588</v>
      </c>
      <c r="D72" s="3493" t="s">
        <v>3688</v>
      </c>
      <c r="E72" s="3493" t="s">
        <v>3590</v>
      </c>
      <c r="F72" s="3494">
        <v>15600</v>
      </c>
      <c r="G72" s="3493" t="s">
        <v>3657</v>
      </c>
      <c r="H72" s="3493">
        <v>2022</v>
      </c>
      <c r="I72" s="3493" t="s">
        <v>3712</v>
      </c>
      <c r="J72" s="3493" t="s">
        <v>3713</v>
      </c>
      <c r="K72" s="3494">
        <v>505</v>
      </c>
      <c r="L72" s="3494">
        <v>32372</v>
      </c>
      <c r="M72" s="3493" t="s">
        <v>3594</v>
      </c>
    </row>
    <row r="73" spans="1:13" s="3495" customFormat="1" ht="15" hidden="1" customHeight="1">
      <c r="A73" s="3493">
        <v>71</v>
      </c>
      <c r="B73" s="3493" t="s">
        <v>3714</v>
      </c>
      <c r="C73" s="3493" t="s">
        <v>3715</v>
      </c>
      <c r="D73" s="3493" t="s">
        <v>3716</v>
      </c>
      <c r="E73" s="3493" t="s">
        <v>3590</v>
      </c>
      <c r="F73" s="3494">
        <v>6343</v>
      </c>
      <c r="G73" s="3493" t="s">
        <v>3717</v>
      </c>
      <c r="H73" s="3493">
        <v>2022</v>
      </c>
      <c r="I73" s="3493" t="s">
        <v>3718</v>
      </c>
      <c r="J73" s="3493" t="s">
        <v>3719</v>
      </c>
      <c r="K73" s="3494">
        <v>152</v>
      </c>
      <c r="L73" s="3494">
        <v>23963</v>
      </c>
      <c r="M73" s="3493" t="s">
        <v>3594</v>
      </c>
    </row>
    <row r="74" spans="1:13" s="3495" customFormat="1" ht="15" customHeight="1">
      <c r="A74" s="3493">
        <v>72</v>
      </c>
      <c r="B74" s="3493" t="s">
        <v>3720</v>
      </c>
      <c r="C74" s="3493" t="s">
        <v>3715</v>
      </c>
      <c r="D74" s="3493" t="s">
        <v>3721</v>
      </c>
      <c r="E74" s="3493" t="s">
        <v>3618</v>
      </c>
      <c r="F74" s="3494">
        <v>17265</v>
      </c>
      <c r="G74" s="3493" t="s">
        <v>3717</v>
      </c>
      <c r="H74" s="3493">
        <v>2022</v>
      </c>
      <c r="I74" s="3493" t="s">
        <v>3722</v>
      </c>
      <c r="J74" s="3493" t="s">
        <v>3723</v>
      </c>
      <c r="K74" s="3494">
        <v>163</v>
      </c>
      <c r="L74" s="3494">
        <v>9441</v>
      </c>
      <c r="M74" s="3493" t="s">
        <v>3594</v>
      </c>
    </row>
    <row r="75" spans="1:13" s="3502" customFormat="1" ht="15" customHeight="1">
      <c r="A75" s="3500">
        <v>73</v>
      </c>
      <c r="B75" s="3500" t="s">
        <v>4003</v>
      </c>
      <c r="C75" s="3500" t="s">
        <v>3725</v>
      </c>
      <c r="D75" s="3500" t="s">
        <v>3726</v>
      </c>
      <c r="E75" s="3500" t="s">
        <v>21</v>
      </c>
      <c r="F75" s="3501">
        <v>24165</v>
      </c>
      <c r="G75" s="3500" t="s">
        <v>3474</v>
      </c>
      <c r="H75" s="3500">
        <v>2022</v>
      </c>
      <c r="I75" s="3500" t="s">
        <v>3727</v>
      </c>
      <c r="J75" s="3500" t="s">
        <v>3728</v>
      </c>
      <c r="K75" s="3501">
        <v>750</v>
      </c>
      <c r="L75" s="3501">
        <v>31037</v>
      </c>
      <c r="M75" s="3500" t="s">
        <v>3729</v>
      </c>
    </row>
    <row r="76" spans="1:13" s="3495" customFormat="1" ht="15" customHeight="1">
      <c r="A76" s="3493">
        <v>74</v>
      </c>
      <c r="B76" s="3493" t="s">
        <v>3730</v>
      </c>
      <c r="C76" s="3493" t="s">
        <v>3715</v>
      </c>
      <c r="D76" s="3493" t="s">
        <v>3731</v>
      </c>
      <c r="E76" s="3493" t="s">
        <v>3673</v>
      </c>
      <c r="F76" s="3494">
        <v>96740</v>
      </c>
      <c r="G76" s="3493" t="s">
        <v>3717</v>
      </c>
      <c r="H76" s="3493">
        <v>2022</v>
      </c>
      <c r="I76" s="3493" t="s">
        <v>3732</v>
      </c>
      <c r="J76" s="3493" t="s">
        <v>3733</v>
      </c>
      <c r="K76" s="3494">
        <v>1870</v>
      </c>
      <c r="L76" s="3494">
        <v>19330</v>
      </c>
      <c r="M76" s="3493" t="s">
        <v>3594</v>
      </c>
    </row>
    <row r="77" spans="1:13" s="3521" customFormat="1" ht="15" customHeight="1">
      <c r="A77" s="3519">
        <v>75</v>
      </c>
      <c r="B77" s="3519" t="s">
        <v>3734</v>
      </c>
      <c r="C77" s="3519" t="s">
        <v>3715</v>
      </c>
      <c r="D77" s="3519" t="s">
        <v>3735</v>
      </c>
      <c r="E77" s="3519" t="s">
        <v>3590</v>
      </c>
      <c r="F77" s="3520">
        <v>119000</v>
      </c>
      <c r="G77" s="3519" t="s">
        <v>3736</v>
      </c>
      <c r="H77" s="3519">
        <v>2022</v>
      </c>
      <c r="I77" s="3519" t="s">
        <v>3737</v>
      </c>
      <c r="J77" s="3519" t="s">
        <v>3738</v>
      </c>
      <c r="K77" s="3520">
        <v>5015</v>
      </c>
      <c r="L77" s="3520">
        <v>42143</v>
      </c>
      <c r="M77" s="3519" t="s">
        <v>3739</v>
      </c>
    </row>
    <row r="78" spans="1:13" s="3495" customFormat="1" ht="15" customHeight="1">
      <c r="A78" s="3493">
        <v>76</v>
      </c>
      <c r="B78" s="3493" t="s">
        <v>3740</v>
      </c>
      <c r="C78" s="3493" t="s">
        <v>3715</v>
      </c>
      <c r="D78" s="3493" t="s">
        <v>3741</v>
      </c>
      <c r="E78" s="3493" t="s">
        <v>3742</v>
      </c>
      <c r="F78" s="3494">
        <v>30120</v>
      </c>
      <c r="G78" s="3493" t="s">
        <v>3736</v>
      </c>
      <c r="H78" s="3493">
        <v>2022</v>
      </c>
      <c r="I78" s="3493" t="s">
        <v>3743</v>
      </c>
      <c r="J78" s="3493" t="s">
        <v>3744</v>
      </c>
      <c r="K78" s="3494">
        <v>1080</v>
      </c>
      <c r="L78" s="3494">
        <v>35857</v>
      </c>
      <c r="M78" s="3493" t="s">
        <v>3739</v>
      </c>
    </row>
    <row r="79" spans="1:13" s="3498" customFormat="1" ht="15" customHeight="1">
      <c r="A79" s="3496">
        <v>77</v>
      </c>
      <c r="B79" s="3496" t="s">
        <v>3745</v>
      </c>
      <c r="C79" s="3496" t="s">
        <v>3725</v>
      </c>
      <c r="D79" s="3496" t="s">
        <v>3726</v>
      </c>
      <c r="E79" s="3496" t="s">
        <v>3538</v>
      </c>
      <c r="F79" s="3497">
        <v>175969</v>
      </c>
      <c r="G79" s="3496" t="s">
        <v>3545</v>
      </c>
      <c r="H79" s="3496">
        <v>2022</v>
      </c>
      <c r="I79" s="3496" t="s">
        <v>3746</v>
      </c>
      <c r="J79" s="3496" t="s">
        <v>3747</v>
      </c>
      <c r="K79" s="3497">
        <v>3000</v>
      </c>
      <c r="L79" s="3497">
        <v>34097</v>
      </c>
      <c r="M79" s="3496" t="s">
        <v>3729</v>
      </c>
    </row>
    <row r="80" spans="1:13" s="3495" customFormat="1" ht="15" customHeight="1">
      <c r="A80" s="3493">
        <v>78</v>
      </c>
      <c r="B80" s="3493" t="s">
        <v>3748</v>
      </c>
      <c r="C80" s="3493" t="s">
        <v>3715</v>
      </c>
      <c r="D80" s="3493" t="s">
        <v>3749</v>
      </c>
      <c r="E80" s="3493" t="s">
        <v>3673</v>
      </c>
      <c r="F80" s="3494">
        <v>13139</v>
      </c>
      <c r="G80" s="3493" t="s">
        <v>3736</v>
      </c>
      <c r="H80" s="3493">
        <v>2022</v>
      </c>
      <c r="I80" s="3493" t="s">
        <v>3750</v>
      </c>
      <c r="J80" s="3493" t="s">
        <v>3751</v>
      </c>
      <c r="K80" s="3494">
        <v>580</v>
      </c>
      <c r="L80" s="3494">
        <v>44143</v>
      </c>
      <c r="M80" s="3493" t="s">
        <v>3739</v>
      </c>
    </row>
    <row r="81" spans="1:13" s="3495" customFormat="1" ht="15" customHeight="1">
      <c r="A81" s="3493">
        <v>79</v>
      </c>
      <c r="B81" s="3493" t="s">
        <v>3752</v>
      </c>
      <c r="C81" s="3493" t="s">
        <v>3715</v>
      </c>
      <c r="D81" s="3493" t="s">
        <v>3716</v>
      </c>
      <c r="E81" s="3493" t="s">
        <v>3596</v>
      </c>
      <c r="F81" s="3494">
        <v>14585</v>
      </c>
      <c r="G81" s="3493" t="s">
        <v>3591</v>
      </c>
      <c r="H81" s="3493">
        <v>2022</v>
      </c>
      <c r="I81" s="3493" t="s">
        <v>3753</v>
      </c>
      <c r="J81" s="3493" t="s">
        <v>3754</v>
      </c>
      <c r="K81" s="3494">
        <v>294</v>
      </c>
      <c r="L81" s="3494">
        <v>20158</v>
      </c>
      <c r="M81" s="3493" t="s">
        <v>3594</v>
      </c>
    </row>
    <row r="82" spans="1:13" s="3495" customFormat="1" ht="15" customHeight="1">
      <c r="A82" s="3493">
        <v>80</v>
      </c>
      <c r="B82" s="3493" t="s">
        <v>3755</v>
      </c>
      <c r="C82" s="3493" t="s">
        <v>3715</v>
      </c>
      <c r="D82" s="3493" t="s">
        <v>3756</v>
      </c>
      <c r="E82" s="3493" t="s">
        <v>3742</v>
      </c>
      <c r="F82" s="3494">
        <v>12092</v>
      </c>
      <c r="G82" s="3493" t="s">
        <v>3591</v>
      </c>
      <c r="H82" s="3493">
        <v>2022</v>
      </c>
      <c r="I82" s="3493" t="s">
        <v>3757</v>
      </c>
      <c r="J82" s="3493" t="s">
        <v>3758</v>
      </c>
      <c r="K82" s="3494">
        <v>500</v>
      </c>
      <c r="L82" s="3494">
        <v>41350</v>
      </c>
      <c r="M82" s="3493" t="s">
        <v>3739</v>
      </c>
    </row>
    <row r="83" spans="1:13" s="3495" customFormat="1" ht="15" customHeight="1">
      <c r="A83" s="3493">
        <v>81</v>
      </c>
      <c r="B83" s="3493" t="s">
        <v>3759</v>
      </c>
      <c r="C83" s="3493" t="s">
        <v>3715</v>
      </c>
      <c r="D83" s="3493" t="s">
        <v>3731</v>
      </c>
      <c r="E83" s="3493" t="s">
        <v>3596</v>
      </c>
      <c r="F83" s="3494">
        <v>118997</v>
      </c>
      <c r="G83" s="3493" t="s">
        <v>3591</v>
      </c>
      <c r="H83" s="3493">
        <v>2022</v>
      </c>
      <c r="I83" s="3493" t="s">
        <v>3760</v>
      </c>
      <c r="J83" s="3493" t="s">
        <v>3761</v>
      </c>
      <c r="K83" s="3494">
        <v>1250</v>
      </c>
      <c r="L83" s="3494">
        <v>10500</v>
      </c>
      <c r="M83" s="3493" t="s">
        <v>3739</v>
      </c>
    </row>
    <row r="84" spans="1:13" s="3498" customFormat="1" ht="15" customHeight="1">
      <c r="A84" s="3496">
        <v>82</v>
      </c>
      <c r="B84" s="3496" t="s">
        <v>3995</v>
      </c>
      <c r="C84" s="3496" t="s">
        <v>3725</v>
      </c>
      <c r="D84" s="3496" t="s">
        <v>3726</v>
      </c>
      <c r="E84" s="3496" t="s">
        <v>21</v>
      </c>
      <c r="F84" s="3497">
        <v>40824</v>
      </c>
      <c r="G84" s="3496" t="s">
        <v>3572</v>
      </c>
      <c r="H84" s="3496">
        <v>2022</v>
      </c>
      <c r="I84" s="3496" t="s">
        <v>3762</v>
      </c>
      <c r="J84" s="3496" t="s">
        <v>3763</v>
      </c>
      <c r="K84" s="3497">
        <v>1342</v>
      </c>
      <c r="L84" s="3497">
        <v>70831</v>
      </c>
      <c r="M84" s="3496" t="s">
        <v>3729</v>
      </c>
    </row>
    <row r="85" spans="1:13" s="3495" customFormat="1" ht="15" customHeight="1">
      <c r="A85" s="3493">
        <v>83</v>
      </c>
      <c r="B85" s="3493" t="s">
        <v>3764</v>
      </c>
      <c r="C85" s="3493" t="s">
        <v>3715</v>
      </c>
      <c r="D85" s="3493" t="s">
        <v>3716</v>
      </c>
      <c r="E85" s="3493" t="s">
        <v>3596</v>
      </c>
      <c r="F85" s="3494">
        <v>11235</v>
      </c>
      <c r="G85" s="3493" t="s">
        <v>3591</v>
      </c>
      <c r="H85" s="3493">
        <v>2022</v>
      </c>
      <c r="I85" s="3493" t="s">
        <v>3765</v>
      </c>
      <c r="J85" s="3493" t="s">
        <v>3766</v>
      </c>
      <c r="K85" s="3494">
        <v>427</v>
      </c>
      <c r="L85" s="3494">
        <v>38000</v>
      </c>
      <c r="M85" s="3493" t="s">
        <v>3594</v>
      </c>
    </row>
    <row r="86" spans="1:13" s="3495" customFormat="1" ht="15" customHeight="1">
      <c r="A86" s="3493">
        <v>84</v>
      </c>
      <c r="B86" s="3493" t="s">
        <v>3767</v>
      </c>
      <c r="C86" s="3493" t="s">
        <v>3715</v>
      </c>
      <c r="D86" s="3493" t="s">
        <v>3735</v>
      </c>
      <c r="E86" s="3493" t="s">
        <v>3590</v>
      </c>
      <c r="F86" s="3494">
        <v>12500</v>
      </c>
      <c r="G86" s="3493" t="s">
        <v>3591</v>
      </c>
      <c r="H86" s="3493">
        <v>2022</v>
      </c>
      <c r="I86" s="3493" t="s">
        <v>3615</v>
      </c>
      <c r="J86" s="3493" t="s">
        <v>3768</v>
      </c>
      <c r="K86" s="3494">
        <v>550</v>
      </c>
      <c r="L86" s="3494">
        <v>44000</v>
      </c>
      <c r="M86" s="3493" t="s">
        <v>3594</v>
      </c>
    </row>
    <row r="87" spans="1:13" s="3495" customFormat="1" ht="15" hidden="1" customHeight="1">
      <c r="A87" s="3493">
        <v>85</v>
      </c>
      <c r="B87" s="3493" t="s">
        <v>3769</v>
      </c>
      <c r="C87" s="3493" t="s">
        <v>3715</v>
      </c>
      <c r="D87" s="3493" t="s">
        <v>3756</v>
      </c>
      <c r="E87" s="3493" t="s">
        <v>3618</v>
      </c>
      <c r="F87" s="3494">
        <v>6297</v>
      </c>
      <c r="G87" s="3493" t="s">
        <v>3591</v>
      </c>
      <c r="H87" s="3493">
        <v>2022</v>
      </c>
      <c r="I87" s="3493" t="s">
        <v>3612</v>
      </c>
      <c r="J87" s="3493" t="s">
        <v>3770</v>
      </c>
      <c r="K87" s="3494">
        <v>187</v>
      </c>
      <c r="L87" s="3494">
        <v>29697</v>
      </c>
      <c r="M87" s="3493" t="s">
        <v>3594</v>
      </c>
    </row>
    <row r="88" spans="1:13" s="3495" customFormat="1" ht="15" hidden="1" customHeight="1">
      <c r="A88" s="3493">
        <v>86</v>
      </c>
      <c r="B88" s="3493" t="s">
        <v>3771</v>
      </c>
      <c r="C88" s="3493" t="s">
        <v>3715</v>
      </c>
      <c r="D88" s="3493" t="s">
        <v>3735</v>
      </c>
      <c r="E88" s="3493" t="s">
        <v>3590</v>
      </c>
      <c r="F88" s="3494">
        <v>7618</v>
      </c>
      <c r="G88" s="3493" t="s">
        <v>3591</v>
      </c>
      <c r="H88" s="3493">
        <v>2022</v>
      </c>
      <c r="I88" s="3493" t="s">
        <v>3772</v>
      </c>
      <c r="J88" s="3493" t="s">
        <v>3773</v>
      </c>
      <c r="K88" s="3494">
        <v>433</v>
      </c>
      <c r="L88" s="3494">
        <v>56867</v>
      </c>
      <c r="M88" s="3493" t="s">
        <v>3594</v>
      </c>
    </row>
    <row r="89" spans="1:13" s="3502" customFormat="1" ht="15" customHeight="1">
      <c r="A89" s="3500">
        <v>87</v>
      </c>
      <c r="B89" s="3500" t="s">
        <v>3774</v>
      </c>
      <c r="C89" s="3500" t="s">
        <v>3725</v>
      </c>
      <c r="D89" s="3500" t="s">
        <v>3726</v>
      </c>
      <c r="E89" s="3500" t="s">
        <v>21</v>
      </c>
      <c r="F89" s="3501">
        <v>58239</v>
      </c>
      <c r="G89" s="3500" t="s">
        <v>3775</v>
      </c>
      <c r="H89" s="3500">
        <v>2022</v>
      </c>
      <c r="I89" s="3500" t="s">
        <v>3776</v>
      </c>
      <c r="J89" s="3500" t="s">
        <v>3777</v>
      </c>
      <c r="K89" s="3501">
        <v>2037</v>
      </c>
      <c r="L89" s="3501">
        <v>34977</v>
      </c>
      <c r="M89" s="3500" t="s">
        <v>3482</v>
      </c>
    </row>
    <row r="90" spans="1:13" s="3495" customFormat="1" ht="15" customHeight="1">
      <c r="A90" s="3493">
        <v>88</v>
      </c>
      <c r="B90" s="3493" t="s">
        <v>3778</v>
      </c>
      <c r="C90" s="3493" t="s">
        <v>3715</v>
      </c>
      <c r="D90" s="3493" t="s">
        <v>3756</v>
      </c>
      <c r="E90" s="3493" t="s">
        <v>3742</v>
      </c>
      <c r="F90" s="3494">
        <v>30530</v>
      </c>
      <c r="G90" s="3493" t="s">
        <v>3657</v>
      </c>
      <c r="H90" s="3493">
        <v>2022</v>
      </c>
      <c r="I90" s="3493" t="s">
        <v>3779</v>
      </c>
      <c r="J90" s="3493" t="s">
        <v>3780</v>
      </c>
      <c r="K90" s="3494">
        <v>849</v>
      </c>
      <c r="L90" s="3494">
        <v>27809</v>
      </c>
      <c r="M90" s="3493" t="s">
        <v>3594</v>
      </c>
    </row>
    <row r="91" spans="1:13" s="3495" customFormat="1" ht="15" hidden="1" customHeight="1">
      <c r="A91" s="3493">
        <v>89</v>
      </c>
      <c r="B91" s="3493" t="s">
        <v>3781</v>
      </c>
      <c r="C91" s="3493" t="s">
        <v>3715</v>
      </c>
      <c r="D91" s="3493" t="s">
        <v>3735</v>
      </c>
      <c r="E91" s="3493" t="s">
        <v>3590</v>
      </c>
      <c r="F91" s="3494">
        <v>6461</v>
      </c>
      <c r="G91" s="3493" t="s">
        <v>3657</v>
      </c>
      <c r="H91" s="3493">
        <v>2022</v>
      </c>
      <c r="I91" s="3493" t="s">
        <v>3782</v>
      </c>
      <c r="J91" s="3493" t="s">
        <v>3783</v>
      </c>
      <c r="K91" s="3494">
        <v>321</v>
      </c>
      <c r="L91" s="3494">
        <v>49683</v>
      </c>
      <c r="M91" s="3493" t="s">
        <v>3594</v>
      </c>
    </row>
    <row r="92" spans="1:13" s="3495" customFormat="1" ht="15" hidden="1" customHeight="1">
      <c r="A92" s="3493">
        <v>90</v>
      </c>
      <c r="B92" s="3493" t="s">
        <v>3784</v>
      </c>
      <c r="C92" s="3493" t="s">
        <v>3715</v>
      </c>
      <c r="D92" s="3493" t="s">
        <v>3735</v>
      </c>
      <c r="E92" s="3493" t="s">
        <v>3590</v>
      </c>
      <c r="F92" s="3494">
        <v>5000</v>
      </c>
      <c r="G92" s="3493" t="s">
        <v>3657</v>
      </c>
      <c r="H92" s="3493">
        <v>2022</v>
      </c>
      <c r="I92" s="3493" t="s">
        <v>3785</v>
      </c>
      <c r="J92" s="3493" t="s">
        <v>3786</v>
      </c>
      <c r="K92" s="3494">
        <v>425</v>
      </c>
      <c r="L92" s="3494">
        <v>85000</v>
      </c>
      <c r="M92" s="3493" t="s">
        <v>3594</v>
      </c>
    </row>
    <row r="93" spans="1:13" s="3495" customFormat="1" ht="15" customHeight="1">
      <c r="A93" s="3493">
        <v>91</v>
      </c>
      <c r="B93" s="3493" t="s">
        <v>3787</v>
      </c>
      <c r="C93" s="3493" t="s">
        <v>3715</v>
      </c>
      <c r="D93" s="3493" t="s">
        <v>3788</v>
      </c>
      <c r="E93" s="3493" t="s">
        <v>3742</v>
      </c>
      <c r="F93" s="3494">
        <v>43460</v>
      </c>
      <c r="G93" s="3493" t="s">
        <v>3657</v>
      </c>
      <c r="H93" s="3493">
        <v>2022</v>
      </c>
      <c r="I93" s="3493" t="s">
        <v>3789</v>
      </c>
      <c r="J93" s="3493" t="s">
        <v>3790</v>
      </c>
      <c r="K93" s="3494">
        <v>550</v>
      </c>
      <c r="L93" s="3494">
        <v>12655</v>
      </c>
      <c r="M93" s="3493" t="s">
        <v>3739</v>
      </c>
    </row>
    <row r="94" spans="1:13" s="3502" customFormat="1" ht="15" customHeight="1">
      <c r="A94" s="3500">
        <v>92</v>
      </c>
      <c r="B94" s="3500" t="s">
        <v>3996</v>
      </c>
      <c r="C94" s="3500" t="s">
        <v>3725</v>
      </c>
      <c r="D94" s="3500" t="s">
        <v>3997</v>
      </c>
      <c r="E94" s="3500" t="s">
        <v>3504</v>
      </c>
      <c r="F94" s="3501">
        <v>26584</v>
      </c>
      <c r="G94" s="3500" t="s">
        <v>3775</v>
      </c>
      <c r="H94" s="3500">
        <v>2022</v>
      </c>
      <c r="I94" s="3500" t="s">
        <v>3998</v>
      </c>
      <c r="J94" s="3500" t="s">
        <v>3999</v>
      </c>
      <c r="K94" s="3501">
        <v>906</v>
      </c>
      <c r="L94" s="3501">
        <v>34081</v>
      </c>
      <c r="M94" s="3500" t="s">
        <v>3482</v>
      </c>
    </row>
    <row r="95" spans="1:13" s="3495" customFormat="1" ht="15" customHeight="1">
      <c r="A95" s="3493">
        <v>93</v>
      </c>
      <c r="B95" s="3493" t="s">
        <v>3791</v>
      </c>
      <c r="C95" s="3493" t="s">
        <v>3715</v>
      </c>
      <c r="D95" s="3493" t="s">
        <v>3721</v>
      </c>
      <c r="E95" s="3493" t="s">
        <v>3590</v>
      </c>
      <c r="F95" s="3494">
        <v>53000</v>
      </c>
      <c r="G95" s="3493" t="s">
        <v>3657</v>
      </c>
      <c r="H95" s="3493">
        <v>2022</v>
      </c>
      <c r="I95" s="3493" t="s">
        <v>3789</v>
      </c>
      <c r="J95" s="3493" t="s">
        <v>3792</v>
      </c>
      <c r="K95" s="3494">
        <v>2650</v>
      </c>
      <c r="L95" s="3494">
        <v>50000</v>
      </c>
      <c r="M95" s="3493" t="s">
        <v>3594</v>
      </c>
    </row>
    <row r="96" spans="1:13" s="3495" customFormat="1" ht="15" customHeight="1">
      <c r="A96" s="3493">
        <v>94</v>
      </c>
      <c r="B96" s="3493" t="s">
        <v>3793</v>
      </c>
      <c r="C96" s="3493" t="s">
        <v>3715</v>
      </c>
      <c r="D96" s="3493" t="s">
        <v>3731</v>
      </c>
      <c r="E96" s="3493" t="s">
        <v>3673</v>
      </c>
      <c r="F96" s="3494">
        <v>31100</v>
      </c>
      <c r="G96" s="3493" t="s">
        <v>3657</v>
      </c>
      <c r="H96" s="3493">
        <v>2022</v>
      </c>
      <c r="I96" s="3493" t="s">
        <v>3794</v>
      </c>
      <c r="J96" s="3493" t="s">
        <v>3795</v>
      </c>
      <c r="K96" s="3494">
        <v>373</v>
      </c>
      <c r="L96" s="3494">
        <v>12000</v>
      </c>
      <c r="M96" s="3493" t="s">
        <v>3594</v>
      </c>
    </row>
    <row r="97" spans="1:13" s="3495" customFormat="1" ht="15" hidden="1" customHeight="1">
      <c r="A97" s="3493">
        <v>95</v>
      </c>
      <c r="B97" s="3493" t="s">
        <v>3796</v>
      </c>
      <c r="C97" s="3493" t="s">
        <v>3715</v>
      </c>
      <c r="D97" s="3493" t="s">
        <v>3731</v>
      </c>
      <c r="E97" s="3493" t="s">
        <v>3590</v>
      </c>
      <c r="F97" s="3494">
        <v>6747</v>
      </c>
      <c r="G97" s="3493" t="s">
        <v>3657</v>
      </c>
      <c r="H97" s="3493">
        <v>2022</v>
      </c>
      <c r="I97" s="3493" t="s">
        <v>3797</v>
      </c>
      <c r="J97" s="3493" t="s">
        <v>3798</v>
      </c>
      <c r="K97" s="3494">
        <v>324</v>
      </c>
      <c r="L97" s="3494">
        <v>48036</v>
      </c>
      <c r="M97" s="3493" t="s">
        <v>3594</v>
      </c>
    </row>
    <row r="98" spans="1:13" s="3495" customFormat="1" ht="15" customHeight="1">
      <c r="A98" s="3493">
        <v>96</v>
      </c>
      <c r="B98" s="3493" t="s">
        <v>3799</v>
      </c>
      <c r="C98" s="3493" t="s">
        <v>3715</v>
      </c>
      <c r="D98" s="3493" t="s">
        <v>3756</v>
      </c>
      <c r="E98" s="3493" t="s">
        <v>3596</v>
      </c>
      <c r="F98" s="3494">
        <v>25503</v>
      </c>
      <c r="G98" s="3493" t="s">
        <v>3657</v>
      </c>
      <c r="H98" s="3493">
        <v>2022</v>
      </c>
      <c r="I98" s="3493" t="s">
        <v>3800</v>
      </c>
      <c r="J98" s="3493" t="s">
        <v>3801</v>
      </c>
      <c r="K98" s="3494">
        <v>592</v>
      </c>
      <c r="L98" s="3494">
        <v>23204</v>
      </c>
      <c r="M98" s="3493" t="s">
        <v>3594</v>
      </c>
    </row>
    <row r="99" spans="1:13" s="3495" customFormat="1" ht="15" customHeight="1">
      <c r="A99" s="3493">
        <v>97</v>
      </c>
      <c r="B99" s="3493" t="s">
        <v>3802</v>
      </c>
      <c r="C99" s="3493" t="s">
        <v>3715</v>
      </c>
      <c r="D99" s="3493" t="s">
        <v>3735</v>
      </c>
      <c r="E99" s="3493" t="s">
        <v>3590</v>
      </c>
      <c r="F99" s="3494">
        <v>34999</v>
      </c>
      <c r="G99" s="3493" t="s">
        <v>3657</v>
      </c>
      <c r="H99" s="3493">
        <v>2022</v>
      </c>
      <c r="I99" s="3493" t="s">
        <v>3612</v>
      </c>
      <c r="J99" s="3493" t="s">
        <v>3803</v>
      </c>
      <c r="K99" s="3494">
        <v>1500</v>
      </c>
      <c r="L99" s="3494">
        <v>42858</v>
      </c>
      <c r="M99" s="3493" t="s">
        <v>3594</v>
      </c>
    </row>
    <row r="100" spans="1:13" s="3495" customFormat="1" ht="15" customHeight="1">
      <c r="A100" s="3493">
        <v>98</v>
      </c>
      <c r="B100" s="3493" t="s">
        <v>3804</v>
      </c>
      <c r="C100" s="3493" t="s">
        <v>3715</v>
      </c>
      <c r="D100" s="3493" t="s">
        <v>3735</v>
      </c>
      <c r="E100" s="3493" t="s">
        <v>3590</v>
      </c>
      <c r="F100" s="3494">
        <v>184914</v>
      </c>
      <c r="G100" s="3493" t="s">
        <v>3657</v>
      </c>
      <c r="H100" s="3493">
        <v>2022</v>
      </c>
      <c r="I100" s="3493" t="s">
        <v>3805</v>
      </c>
      <c r="J100" s="3493" t="s">
        <v>3806</v>
      </c>
      <c r="K100" s="3494">
        <v>6404</v>
      </c>
      <c r="L100" s="3494">
        <v>34611</v>
      </c>
      <c r="M100" s="3493" t="s">
        <v>3739</v>
      </c>
    </row>
    <row r="101" spans="1:13" s="3495" customFormat="1" ht="15" hidden="1" customHeight="1">
      <c r="A101" s="3493">
        <v>99</v>
      </c>
      <c r="B101" s="3493" t="s">
        <v>3807</v>
      </c>
      <c r="C101" s="3493" t="s">
        <v>3715</v>
      </c>
      <c r="D101" s="3493" t="s">
        <v>3788</v>
      </c>
      <c r="E101" s="3493" t="s">
        <v>3618</v>
      </c>
      <c r="F101" s="3494">
        <v>3300</v>
      </c>
      <c r="G101" s="3493" t="s">
        <v>3657</v>
      </c>
      <c r="H101" s="3493">
        <v>2022</v>
      </c>
      <c r="I101" s="3493" t="s">
        <v>3808</v>
      </c>
      <c r="J101" s="3493" t="s">
        <v>3647</v>
      </c>
      <c r="K101" s="3494">
        <v>149</v>
      </c>
      <c r="L101" s="3494">
        <v>45000</v>
      </c>
      <c r="M101" s="3493" t="s">
        <v>3594</v>
      </c>
    </row>
    <row r="102" spans="1:13" s="3495" customFormat="1" ht="15" hidden="1" customHeight="1">
      <c r="A102" s="3493">
        <v>100</v>
      </c>
      <c r="B102" s="3493" t="s">
        <v>3809</v>
      </c>
      <c r="C102" s="3493" t="s">
        <v>3715</v>
      </c>
      <c r="D102" s="3493" t="s">
        <v>3749</v>
      </c>
      <c r="E102" s="3493" t="s">
        <v>3590</v>
      </c>
      <c r="F102" s="3494">
        <v>6200</v>
      </c>
      <c r="G102" s="3493" t="s">
        <v>3657</v>
      </c>
      <c r="H102" s="3493">
        <v>2022</v>
      </c>
      <c r="I102" s="3493" t="s">
        <v>3810</v>
      </c>
      <c r="J102" s="3493" t="s">
        <v>3811</v>
      </c>
      <c r="K102" s="3494">
        <v>242</v>
      </c>
      <c r="L102" s="3494">
        <v>39000</v>
      </c>
      <c r="M102" s="3493" t="s">
        <v>3594</v>
      </c>
    </row>
    <row r="103" spans="1:13" s="3495" customFormat="1" ht="15" customHeight="1">
      <c r="A103" s="3493">
        <v>101</v>
      </c>
      <c r="B103" s="3493" t="s">
        <v>3812</v>
      </c>
      <c r="C103" s="3493" t="s">
        <v>3715</v>
      </c>
      <c r="D103" s="3493" t="s">
        <v>3735</v>
      </c>
      <c r="E103" s="3493" t="s">
        <v>3618</v>
      </c>
      <c r="F103" s="3494">
        <v>17000</v>
      </c>
      <c r="G103" s="3493" t="s">
        <v>3657</v>
      </c>
      <c r="H103" s="3493">
        <v>2022</v>
      </c>
      <c r="I103" s="3493" t="s">
        <v>3813</v>
      </c>
      <c r="J103" s="3493" t="s">
        <v>3814</v>
      </c>
      <c r="K103" s="3494">
        <v>230</v>
      </c>
      <c r="L103" s="3494">
        <v>13529</v>
      </c>
      <c r="M103" s="3493" t="s">
        <v>3739</v>
      </c>
    </row>
    <row r="104" spans="1:13" s="3495" customFormat="1" ht="15" hidden="1" customHeight="1">
      <c r="A104" s="3493">
        <v>102</v>
      </c>
      <c r="B104" s="3493" t="s">
        <v>3815</v>
      </c>
      <c r="C104" s="3493" t="s">
        <v>3816</v>
      </c>
      <c r="D104" s="3493" t="s">
        <v>3817</v>
      </c>
      <c r="E104" s="3493" t="s">
        <v>3590</v>
      </c>
      <c r="F104" s="3494">
        <v>2101</v>
      </c>
      <c r="G104" s="3493" t="s">
        <v>3717</v>
      </c>
      <c r="H104" s="3493">
        <v>2022</v>
      </c>
      <c r="I104" s="3493" t="s">
        <v>3818</v>
      </c>
      <c r="J104" s="3493" t="s">
        <v>3819</v>
      </c>
      <c r="K104" s="3494">
        <v>285</v>
      </c>
      <c r="L104" s="3494">
        <v>135600</v>
      </c>
      <c r="M104" s="3493" t="s">
        <v>3739</v>
      </c>
    </row>
    <row r="105" spans="1:13" s="3495" customFormat="1" ht="15" hidden="1" customHeight="1">
      <c r="A105" s="3493">
        <v>103</v>
      </c>
      <c r="B105" s="3493" t="s">
        <v>3820</v>
      </c>
      <c r="C105" s="3493" t="s">
        <v>3816</v>
      </c>
      <c r="D105" s="3493" t="s">
        <v>3821</v>
      </c>
      <c r="E105" s="3493" t="s">
        <v>3590</v>
      </c>
      <c r="F105" s="3494">
        <v>23322</v>
      </c>
      <c r="G105" s="3493" t="s">
        <v>3717</v>
      </c>
      <c r="H105" s="3493">
        <v>2022</v>
      </c>
      <c r="I105" s="3493" t="s">
        <v>3822</v>
      </c>
      <c r="J105" s="3493" t="s">
        <v>3823</v>
      </c>
      <c r="K105" s="3494">
        <v>500</v>
      </c>
      <c r="L105" s="3494">
        <v>21439</v>
      </c>
      <c r="M105" s="3493" t="s">
        <v>3739</v>
      </c>
    </row>
    <row r="106" spans="1:13" s="3495" customFormat="1" ht="15" hidden="1" customHeight="1">
      <c r="A106" s="3493">
        <v>104</v>
      </c>
      <c r="B106" s="3493" t="s">
        <v>3824</v>
      </c>
      <c r="C106" s="3493" t="s">
        <v>3816</v>
      </c>
      <c r="D106" s="3493" t="s">
        <v>3825</v>
      </c>
      <c r="E106" s="3493" t="s">
        <v>3826</v>
      </c>
      <c r="F106" s="3494">
        <v>36876</v>
      </c>
      <c r="G106" s="3493" t="s">
        <v>3736</v>
      </c>
      <c r="H106" s="3493">
        <v>2022</v>
      </c>
      <c r="I106" s="3493" t="s">
        <v>3827</v>
      </c>
      <c r="J106" s="3493" t="s">
        <v>3828</v>
      </c>
      <c r="K106" s="3494">
        <v>727</v>
      </c>
      <c r="L106" s="3494">
        <v>19715</v>
      </c>
      <c r="M106" s="3493" t="s">
        <v>3829</v>
      </c>
    </row>
    <row r="107" spans="1:13" s="3495" customFormat="1" ht="15" hidden="1" customHeight="1">
      <c r="A107" s="3493">
        <v>105</v>
      </c>
      <c r="B107" s="3493" t="s">
        <v>3830</v>
      </c>
      <c r="C107" s="3493" t="s">
        <v>3816</v>
      </c>
      <c r="D107" s="3493" t="s">
        <v>3831</v>
      </c>
      <c r="E107" s="3493" t="s">
        <v>3590</v>
      </c>
      <c r="F107" s="3494">
        <v>6000</v>
      </c>
      <c r="G107" s="3493" t="s">
        <v>3736</v>
      </c>
      <c r="H107" s="3493">
        <v>2022</v>
      </c>
      <c r="I107" s="3493" t="s">
        <v>3832</v>
      </c>
      <c r="J107" s="3493" t="s">
        <v>3833</v>
      </c>
      <c r="K107" s="3494">
        <v>450</v>
      </c>
      <c r="L107" s="3494">
        <v>75000</v>
      </c>
      <c r="M107" s="3493" t="s">
        <v>3594</v>
      </c>
    </row>
    <row r="108" spans="1:13" s="3495" customFormat="1" ht="15" hidden="1" customHeight="1">
      <c r="A108" s="3493">
        <v>106</v>
      </c>
      <c r="B108" s="3493" t="s">
        <v>3834</v>
      </c>
      <c r="C108" s="3493" t="s">
        <v>3816</v>
      </c>
      <c r="D108" s="3493" t="s">
        <v>3817</v>
      </c>
      <c r="E108" s="3493" t="s">
        <v>3596</v>
      </c>
      <c r="F108" s="3494">
        <v>10288</v>
      </c>
      <c r="G108" s="3493" t="s">
        <v>3736</v>
      </c>
      <c r="H108" s="3493">
        <v>2022</v>
      </c>
      <c r="I108" s="3493" t="s">
        <v>3835</v>
      </c>
      <c r="J108" s="3493" t="s">
        <v>3836</v>
      </c>
      <c r="K108" s="3494">
        <v>420</v>
      </c>
      <c r="L108" s="3494">
        <v>40824</v>
      </c>
      <c r="M108" s="3493" t="s">
        <v>3594</v>
      </c>
    </row>
    <row r="109" spans="1:13" s="3495" customFormat="1" ht="15" hidden="1" customHeight="1">
      <c r="A109" s="3493">
        <v>107</v>
      </c>
      <c r="B109" s="3493" t="s">
        <v>3837</v>
      </c>
      <c r="C109" s="3493" t="s">
        <v>3816</v>
      </c>
      <c r="D109" s="3493" t="s">
        <v>3831</v>
      </c>
      <c r="E109" s="3493" t="s">
        <v>3596</v>
      </c>
      <c r="F109" s="3494">
        <v>42750</v>
      </c>
      <c r="G109" s="3493" t="s">
        <v>3736</v>
      </c>
      <c r="H109" s="3493">
        <v>2022</v>
      </c>
      <c r="I109" s="3493" t="s">
        <v>3838</v>
      </c>
      <c r="J109" s="3493" t="s">
        <v>3839</v>
      </c>
      <c r="K109" s="3494">
        <v>1727</v>
      </c>
      <c r="L109" s="3494">
        <v>40398</v>
      </c>
      <c r="M109" s="3493" t="s">
        <v>3739</v>
      </c>
    </row>
    <row r="110" spans="1:13" s="3495" customFormat="1" ht="15" hidden="1" customHeight="1">
      <c r="A110" s="3493">
        <v>108</v>
      </c>
      <c r="B110" s="3493" t="s">
        <v>3840</v>
      </c>
      <c r="C110" s="3493" t="s">
        <v>3816</v>
      </c>
      <c r="D110" s="3493" t="s">
        <v>3821</v>
      </c>
      <c r="E110" s="3493" t="s">
        <v>3596</v>
      </c>
      <c r="F110" s="3494">
        <v>17000</v>
      </c>
      <c r="G110" s="3493" t="s">
        <v>3591</v>
      </c>
      <c r="H110" s="3493">
        <v>2022</v>
      </c>
      <c r="I110" s="3493" t="s">
        <v>3797</v>
      </c>
      <c r="J110" s="3493" t="s">
        <v>3841</v>
      </c>
      <c r="K110" s="3494">
        <v>465</v>
      </c>
      <c r="L110" s="3494">
        <v>27353</v>
      </c>
      <c r="M110" s="3493" t="s">
        <v>3594</v>
      </c>
    </row>
    <row r="111" spans="1:13" s="3495" customFormat="1" ht="15" hidden="1" customHeight="1">
      <c r="A111" s="3493">
        <v>109</v>
      </c>
      <c r="B111" s="3493" t="s">
        <v>3842</v>
      </c>
      <c r="C111" s="3493" t="s">
        <v>3816</v>
      </c>
      <c r="D111" s="3493" t="s">
        <v>3825</v>
      </c>
      <c r="E111" s="3493" t="s">
        <v>3843</v>
      </c>
      <c r="F111" s="3494">
        <v>14988</v>
      </c>
      <c r="G111" s="3493" t="s">
        <v>3591</v>
      </c>
      <c r="H111" s="3493">
        <v>2022</v>
      </c>
      <c r="I111" s="3493" t="s">
        <v>3844</v>
      </c>
      <c r="J111" s="3493" t="s">
        <v>3845</v>
      </c>
      <c r="K111" s="3494">
        <v>180</v>
      </c>
      <c r="L111" s="3494">
        <v>12010</v>
      </c>
      <c r="M111" s="3493" t="s">
        <v>3594</v>
      </c>
    </row>
    <row r="112" spans="1:13" s="3495" customFormat="1" ht="15" hidden="1" customHeight="1">
      <c r="A112" s="3493">
        <v>110</v>
      </c>
      <c r="B112" s="3493" t="s">
        <v>3846</v>
      </c>
      <c r="C112" s="3493" t="s">
        <v>3816</v>
      </c>
      <c r="D112" s="3493" t="s">
        <v>3847</v>
      </c>
      <c r="E112" s="3493" t="s">
        <v>3590</v>
      </c>
      <c r="F112" s="3494">
        <v>40306</v>
      </c>
      <c r="G112" s="3493" t="s">
        <v>3591</v>
      </c>
      <c r="H112" s="3493">
        <v>2022</v>
      </c>
      <c r="I112" s="3493" t="s">
        <v>3848</v>
      </c>
      <c r="J112" s="3493" t="s">
        <v>3849</v>
      </c>
      <c r="K112" s="3494">
        <v>1505</v>
      </c>
      <c r="L112" s="3494" t="s">
        <v>3850</v>
      </c>
      <c r="M112" s="3493" t="s">
        <v>3594</v>
      </c>
    </row>
    <row r="113" spans="1:13" s="3495" customFormat="1" ht="15" hidden="1" customHeight="1">
      <c r="A113" s="3493">
        <v>111</v>
      </c>
      <c r="B113" s="3493" t="s">
        <v>3851</v>
      </c>
      <c r="C113" s="3493" t="s">
        <v>3816</v>
      </c>
      <c r="D113" s="3493" t="s">
        <v>3852</v>
      </c>
      <c r="E113" s="3493" t="s">
        <v>3590</v>
      </c>
      <c r="F113" s="3494">
        <v>22444</v>
      </c>
      <c r="G113" s="3493" t="s">
        <v>3591</v>
      </c>
      <c r="H113" s="3493">
        <v>2022</v>
      </c>
      <c r="I113" s="3493" t="s">
        <v>3853</v>
      </c>
      <c r="J113" s="3493" t="s">
        <v>3854</v>
      </c>
      <c r="K113" s="3494">
        <v>637</v>
      </c>
      <c r="L113" s="3494" t="s">
        <v>3850</v>
      </c>
      <c r="M113" s="3493" t="s">
        <v>3594</v>
      </c>
    </row>
    <row r="114" spans="1:13" s="3495" customFormat="1" ht="15" hidden="1" customHeight="1">
      <c r="A114" s="3493">
        <v>112</v>
      </c>
      <c r="B114" s="3493" t="s">
        <v>3855</v>
      </c>
      <c r="C114" s="3493" t="s">
        <v>3816</v>
      </c>
      <c r="D114" s="3493" t="s">
        <v>3817</v>
      </c>
      <c r="E114" s="3493" t="s">
        <v>3596</v>
      </c>
      <c r="F114" s="3494">
        <v>43861</v>
      </c>
      <c r="G114" s="3493" t="s">
        <v>3657</v>
      </c>
      <c r="H114" s="3493">
        <v>2022</v>
      </c>
      <c r="I114" s="3493" t="s">
        <v>3856</v>
      </c>
      <c r="J114" s="3493" t="s">
        <v>3857</v>
      </c>
      <c r="K114" s="3494">
        <v>1886</v>
      </c>
      <c r="L114" s="3494">
        <v>42999</v>
      </c>
      <c r="M114" s="3493" t="s">
        <v>3594</v>
      </c>
    </row>
    <row r="115" spans="1:13" s="3495" customFormat="1" ht="15" hidden="1" customHeight="1">
      <c r="A115" s="3493">
        <v>113</v>
      </c>
      <c r="B115" s="3493" t="s">
        <v>3858</v>
      </c>
      <c r="C115" s="3493" t="s">
        <v>3816</v>
      </c>
      <c r="D115" s="3493" t="s">
        <v>3847</v>
      </c>
      <c r="E115" s="3493" t="s">
        <v>3590</v>
      </c>
      <c r="F115" s="3494">
        <v>6486</v>
      </c>
      <c r="G115" s="3493" t="s">
        <v>3657</v>
      </c>
      <c r="H115" s="3493">
        <v>2022</v>
      </c>
      <c r="I115" s="3493" t="s">
        <v>3859</v>
      </c>
      <c r="J115" s="3493" t="s">
        <v>3860</v>
      </c>
      <c r="K115" s="3494">
        <v>462</v>
      </c>
      <c r="L115" s="3494">
        <v>71230</v>
      </c>
      <c r="M115" s="3493" t="s">
        <v>3594</v>
      </c>
    </row>
    <row r="116" spans="1:13" s="3495" customFormat="1" ht="15" hidden="1" customHeight="1">
      <c r="A116" s="3493">
        <v>114</v>
      </c>
      <c r="B116" s="3493" t="s">
        <v>3861</v>
      </c>
      <c r="C116" s="3493" t="s">
        <v>3816</v>
      </c>
      <c r="D116" s="3493" t="s">
        <v>3821</v>
      </c>
      <c r="E116" s="3493" t="s">
        <v>3816</v>
      </c>
      <c r="F116" s="3494">
        <v>45507</v>
      </c>
      <c r="G116" s="3493" t="s">
        <v>3657</v>
      </c>
      <c r="H116" s="3493">
        <v>2022</v>
      </c>
      <c r="I116" s="3493" t="s">
        <v>3862</v>
      </c>
      <c r="J116" s="3493" t="s">
        <v>3863</v>
      </c>
      <c r="K116" s="3494">
        <v>2600</v>
      </c>
      <c r="L116" s="3494">
        <v>57134</v>
      </c>
      <c r="M116" s="3493" t="s">
        <v>3594</v>
      </c>
    </row>
    <row r="117" spans="1:13" s="3495" customFormat="1" ht="15" hidden="1" customHeight="1">
      <c r="A117" s="3493">
        <v>115</v>
      </c>
      <c r="B117" s="3493" t="s">
        <v>3864</v>
      </c>
      <c r="C117" s="3493" t="s">
        <v>3865</v>
      </c>
      <c r="D117" s="3493" t="s">
        <v>3866</v>
      </c>
      <c r="E117" s="3493" t="s">
        <v>3867</v>
      </c>
      <c r="F117" s="3494">
        <v>23000</v>
      </c>
      <c r="G117" s="3493" t="s">
        <v>3717</v>
      </c>
      <c r="H117" s="3493">
        <v>2022</v>
      </c>
      <c r="I117" s="3493" t="s">
        <v>3868</v>
      </c>
      <c r="J117" s="3493" t="s">
        <v>3869</v>
      </c>
      <c r="K117" s="3494">
        <v>250</v>
      </c>
      <c r="L117" s="3494">
        <v>10870</v>
      </c>
      <c r="M117" s="3493" t="s">
        <v>3870</v>
      </c>
    </row>
    <row r="118" spans="1:13" s="3495" customFormat="1" ht="15" hidden="1" customHeight="1">
      <c r="A118" s="3493">
        <v>116</v>
      </c>
      <c r="B118" s="3493" t="s">
        <v>3871</v>
      </c>
      <c r="C118" s="3493" t="s">
        <v>3865</v>
      </c>
      <c r="D118" s="3493" t="s">
        <v>3866</v>
      </c>
      <c r="E118" s="3493" t="s">
        <v>3590</v>
      </c>
      <c r="F118" s="3494">
        <v>12000</v>
      </c>
      <c r="G118" s="3493" t="s">
        <v>3717</v>
      </c>
      <c r="H118" s="3493">
        <v>2022</v>
      </c>
      <c r="I118" s="3493" t="s">
        <v>3872</v>
      </c>
      <c r="J118" s="3493" t="s">
        <v>3873</v>
      </c>
      <c r="K118" s="3494">
        <v>300</v>
      </c>
      <c r="L118" s="3494">
        <v>25000</v>
      </c>
      <c r="M118" s="3493" t="s">
        <v>3739</v>
      </c>
    </row>
    <row r="119" spans="1:13" s="3495" customFormat="1" ht="15" hidden="1" customHeight="1">
      <c r="A119" s="3493">
        <v>117</v>
      </c>
      <c r="B119" s="3493" t="s">
        <v>3874</v>
      </c>
      <c r="C119" s="3493" t="s">
        <v>3865</v>
      </c>
      <c r="D119" s="3493" t="s">
        <v>3875</v>
      </c>
      <c r="E119" s="3493" t="s">
        <v>3590</v>
      </c>
      <c r="F119" s="3494">
        <v>23793</v>
      </c>
      <c r="G119" s="3493" t="s">
        <v>3736</v>
      </c>
      <c r="H119" s="3493">
        <v>2022</v>
      </c>
      <c r="I119" s="3493" t="s">
        <v>3876</v>
      </c>
      <c r="J119" s="3493" t="s">
        <v>3877</v>
      </c>
      <c r="K119" s="3494">
        <v>1146</v>
      </c>
      <c r="L119" s="3494">
        <v>48165</v>
      </c>
      <c r="M119" s="3493" t="s">
        <v>3594</v>
      </c>
    </row>
    <row r="120" spans="1:13" s="3495" customFormat="1" ht="15" hidden="1" customHeight="1">
      <c r="A120" s="3493">
        <v>118</v>
      </c>
      <c r="B120" s="3493" t="s">
        <v>3878</v>
      </c>
      <c r="C120" s="3493" t="s">
        <v>3865</v>
      </c>
      <c r="D120" s="3493" t="s">
        <v>3879</v>
      </c>
      <c r="E120" s="3493" t="s">
        <v>3590</v>
      </c>
      <c r="F120" s="3494">
        <v>68966</v>
      </c>
      <c r="G120" s="3493" t="s">
        <v>3736</v>
      </c>
      <c r="H120" s="3493">
        <v>2022</v>
      </c>
      <c r="I120" s="3493" t="s">
        <v>3880</v>
      </c>
      <c r="J120" s="3493" t="s">
        <v>3881</v>
      </c>
      <c r="K120" s="3494">
        <v>3491</v>
      </c>
      <c r="L120" s="3494">
        <v>50619</v>
      </c>
      <c r="M120" s="3493" t="s">
        <v>3594</v>
      </c>
    </row>
    <row r="121" spans="1:13" s="3495" customFormat="1" ht="15" hidden="1" customHeight="1">
      <c r="A121" s="3493">
        <v>119</v>
      </c>
      <c r="B121" s="3493" t="s">
        <v>3882</v>
      </c>
      <c r="C121" s="3493" t="s">
        <v>3865</v>
      </c>
      <c r="D121" s="3493" t="s">
        <v>3866</v>
      </c>
      <c r="E121" s="3493" t="s">
        <v>3618</v>
      </c>
      <c r="F121" s="3494">
        <v>33530</v>
      </c>
      <c r="G121" s="3493" t="s">
        <v>3736</v>
      </c>
      <c r="H121" s="3493">
        <v>2022</v>
      </c>
      <c r="I121" s="3493" t="s">
        <v>3883</v>
      </c>
      <c r="J121" s="3493" t="s">
        <v>3884</v>
      </c>
      <c r="K121" s="3494">
        <v>714</v>
      </c>
      <c r="L121" s="3494">
        <v>21300</v>
      </c>
      <c r="M121" s="3493" t="s">
        <v>3594</v>
      </c>
    </row>
    <row r="122" spans="1:13" s="3495" customFormat="1" ht="15" hidden="1" customHeight="1">
      <c r="A122" s="3493">
        <v>120</v>
      </c>
      <c r="B122" s="3493" t="s">
        <v>3885</v>
      </c>
      <c r="C122" s="3493" t="s">
        <v>3865</v>
      </c>
      <c r="D122" s="3493" t="s">
        <v>3866</v>
      </c>
      <c r="E122" s="3493" t="s">
        <v>3826</v>
      </c>
      <c r="F122" s="3494">
        <v>799700</v>
      </c>
      <c r="G122" s="3493" t="s">
        <v>3736</v>
      </c>
      <c r="H122" s="3493">
        <v>2022</v>
      </c>
      <c r="I122" s="3493" t="s">
        <v>3886</v>
      </c>
      <c r="J122" s="3493" t="s">
        <v>3887</v>
      </c>
      <c r="K122" s="3494">
        <v>4617</v>
      </c>
      <c r="L122" s="3494">
        <v>10832</v>
      </c>
      <c r="M122" s="3493" t="s">
        <v>3739</v>
      </c>
    </row>
    <row r="123" spans="1:13" s="3495" customFormat="1" ht="15" hidden="1" customHeight="1">
      <c r="A123" s="3493">
        <v>121</v>
      </c>
      <c r="B123" s="3493" t="s">
        <v>3888</v>
      </c>
      <c r="C123" s="3493" t="s">
        <v>3865</v>
      </c>
      <c r="D123" s="3493" t="s">
        <v>3879</v>
      </c>
      <c r="E123" s="3493" t="s">
        <v>3596</v>
      </c>
      <c r="F123" s="3494">
        <v>30886</v>
      </c>
      <c r="G123" s="3493" t="s">
        <v>3736</v>
      </c>
      <c r="H123" s="3493">
        <v>2022</v>
      </c>
      <c r="I123" s="3493" t="s">
        <v>3889</v>
      </c>
      <c r="J123" s="3493" t="s">
        <v>3890</v>
      </c>
      <c r="K123" s="3494">
        <v>530</v>
      </c>
      <c r="L123" s="3494">
        <v>17160</v>
      </c>
      <c r="M123" s="3493" t="s">
        <v>3739</v>
      </c>
    </row>
    <row r="124" spans="1:13" s="3495" customFormat="1" ht="15" hidden="1" customHeight="1">
      <c r="A124" s="3493">
        <v>122</v>
      </c>
      <c r="B124" s="3493" t="s">
        <v>3891</v>
      </c>
      <c r="C124" s="3493" t="s">
        <v>3865</v>
      </c>
      <c r="D124" s="3493" t="s">
        <v>3879</v>
      </c>
      <c r="E124" s="3493" t="s">
        <v>3590</v>
      </c>
      <c r="F124" s="3494">
        <v>19585</v>
      </c>
      <c r="G124" s="3493" t="s">
        <v>3591</v>
      </c>
      <c r="H124" s="3493">
        <v>2022</v>
      </c>
      <c r="I124" s="3493" t="s">
        <v>3892</v>
      </c>
      <c r="J124" s="3493" t="s">
        <v>3893</v>
      </c>
      <c r="K124" s="3494">
        <v>881</v>
      </c>
      <c r="L124" s="3494">
        <v>45000</v>
      </c>
      <c r="M124" s="3493" t="s">
        <v>3594</v>
      </c>
    </row>
    <row r="125" spans="1:13" s="3495" customFormat="1" ht="15" hidden="1" customHeight="1">
      <c r="A125" s="3493">
        <v>123</v>
      </c>
      <c r="B125" s="3493" t="s">
        <v>3894</v>
      </c>
      <c r="C125" s="3493" t="s">
        <v>3865</v>
      </c>
      <c r="D125" s="3493" t="s">
        <v>3895</v>
      </c>
      <c r="E125" s="3493" t="s">
        <v>3596</v>
      </c>
      <c r="F125" s="3494">
        <v>22000</v>
      </c>
      <c r="G125" s="3493" t="s">
        <v>3657</v>
      </c>
      <c r="H125" s="3493">
        <v>2022</v>
      </c>
      <c r="I125" s="3493" t="s">
        <v>3797</v>
      </c>
      <c r="J125" s="3493" t="s">
        <v>3896</v>
      </c>
      <c r="K125" s="3494">
        <v>400</v>
      </c>
      <c r="L125" s="3494">
        <v>18000</v>
      </c>
      <c r="M125" s="3493" t="s">
        <v>3636</v>
      </c>
    </row>
    <row r="126" spans="1:13" s="3495" customFormat="1" ht="15" hidden="1" customHeight="1">
      <c r="A126" s="3493">
        <v>124</v>
      </c>
      <c r="B126" s="3493" t="s">
        <v>3897</v>
      </c>
      <c r="C126" s="3493" t="s">
        <v>3865</v>
      </c>
      <c r="D126" s="3493" t="s">
        <v>3895</v>
      </c>
      <c r="E126" s="3493" t="s">
        <v>3596</v>
      </c>
      <c r="F126" s="3494">
        <v>95126</v>
      </c>
      <c r="G126" s="3493" t="s">
        <v>3657</v>
      </c>
      <c r="H126" s="3493">
        <v>2022</v>
      </c>
      <c r="I126" s="3493" t="s">
        <v>3898</v>
      </c>
      <c r="J126" s="3493" t="s">
        <v>3899</v>
      </c>
      <c r="K126" s="3494">
        <v>1428</v>
      </c>
      <c r="L126" s="3494">
        <v>15012</v>
      </c>
      <c r="M126" s="3493" t="s">
        <v>3594</v>
      </c>
    </row>
    <row r="127" spans="1:13" s="3495" customFormat="1" ht="15" hidden="1" customHeight="1">
      <c r="A127" s="3493">
        <v>125</v>
      </c>
      <c r="B127" s="3493" t="s">
        <v>3900</v>
      </c>
      <c r="C127" s="3493" t="s">
        <v>3901</v>
      </c>
      <c r="D127" s="3493" t="s">
        <v>3902</v>
      </c>
      <c r="E127" s="3493" t="s">
        <v>3590</v>
      </c>
      <c r="F127" s="3494">
        <v>52970</v>
      </c>
      <c r="G127" s="3493" t="s">
        <v>3717</v>
      </c>
      <c r="H127" s="3493">
        <v>2022</v>
      </c>
      <c r="I127" s="3493" t="s">
        <v>3903</v>
      </c>
      <c r="J127" s="3493" t="s">
        <v>3904</v>
      </c>
      <c r="K127" s="3494">
        <v>870</v>
      </c>
      <c r="L127" s="3494">
        <v>16424</v>
      </c>
      <c r="M127" s="3493" t="s">
        <v>3739</v>
      </c>
    </row>
    <row r="128" spans="1:13" s="3495" customFormat="1" ht="15" hidden="1" customHeight="1">
      <c r="A128" s="3493">
        <v>126</v>
      </c>
      <c r="B128" s="3493" t="s">
        <v>3905</v>
      </c>
      <c r="C128" s="3493" t="s">
        <v>3901</v>
      </c>
      <c r="D128" s="3493" t="s">
        <v>3906</v>
      </c>
      <c r="E128" s="3493" t="s">
        <v>3590</v>
      </c>
      <c r="F128" s="3494">
        <v>16000</v>
      </c>
      <c r="G128" s="3493" t="s">
        <v>3717</v>
      </c>
      <c r="H128" s="3493">
        <v>2022</v>
      </c>
      <c r="I128" s="3493" t="s">
        <v>3907</v>
      </c>
      <c r="J128" s="3493" t="s">
        <v>3908</v>
      </c>
      <c r="K128" s="3494">
        <v>288</v>
      </c>
      <c r="L128" s="3494">
        <v>18000</v>
      </c>
      <c r="M128" s="3493" t="s">
        <v>3594</v>
      </c>
    </row>
    <row r="129" spans="1:13" s="3495" customFormat="1" ht="15" hidden="1" customHeight="1">
      <c r="A129" s="3493">
        <v>127</v>
      </c>
      <c r="B129" s="3493" t="s">
        <v>3909</v>
      </c>
      <c r="C129" s="3493" t="s">
        <v>3901</v>
      </c>
      <c r="D129" s="3493" t="s">
        <v>3910</v>
      </c>
      <c r="E129" s="3493" t="s">
        <v>3590</v>
      </c>
      <c r="F129" s="3494">
        <v>20583</v>
      </c>
      <c r="G129" s="3493" t="s">
        <v>3717</v>
      </c>
      <c r="H129" s="3493">
        <v>2022</v>
      </c>
      <c r="I129" s="3493" t="s">
        <v>3911</v>
      </c>
      <c r="J129" s="3493" t="s">
        <v>3912</v>
      </c>
      <c r="K129" s="3494">
        <v>322</v>
      </c>
      <c r="L129" s="3494">
        <v>15644</v>
      </c>
      <c r="M129" s="3493" t="s">
        <v>3594</v>
      </c>
    </row>
    <row r="130" spans="1:13" s="3495" customFormat="1" ht="15" hidden="1" customHeight="1">
      <c r="A130" s="3493">
        <v>128</v>
      </c>
      <c r="B130" s="3493" t="s">
        <v>3913</v>
      </c>
      <c r="C130" s="3493" t="s">
        <v>3914</v>
      </c>
      <c r="D130" s="3493" t="s">
        <v>3915</v>
      </c>
      <c r="E130" s="3493" t="s">
        <v>3590</v>
      </c>
      <c r="F130" s="3494">
        <v>51892</v>
      </c>
      <c r="G130" s="3493" t="s">
        <v>3591</v>
      </c>
      <c r="H130" s="3493">
        <v>2022</v>
      </c>
      <c r="I130" s="3493" t="s">
        <v>3913</v>
      </c>
      <c r="J130" s="3493" t="s">
        <v>3916</v>
      </c>
      <c r="K130" s="3494">
        <v>488</v>
      </c>
      <c r="L130" s="3494">
        <v>9400</v>
      </c>
      <c r="M130" s="3493" t="s">
        <v>3739</v>
      </c>
    </row>
    <row r="131" spans="1:13" s="3495" customFormat="1" ht="15" hidden="1" customHeight="1">
      <c r="A131" s="3493">
        <v>129</v>
      </c>
      <c r="B131" s="3493" t="s">
        <v>3917</v>
      </c>
      <c r="C131" s="3493" t="s">
        <v>3901</v>
      </c>
      <c r="D131" s="3493" t="s">
        <v>3918</v>
      </c>
      <c r="E131" s="3493" t="s">
        <v>3618</v>
      </c>
      <c r="F131" s="3494">
        <v>6271</v>
      </c>
      <c r="G131" s="3493" t="s">
        <v>3591</v>
      </c>
      <c r="H131" s="3493">
        <v>2022</v>
      </c>
      <c r="I131" s="3493" t="s">
        <v>3919</v>
      </c>
      <c r="J131" s="3493" t="s">
        <v>3760</v>
      </c>
      <c r="K131" s="3494">
        <v>145</v>
      </c>
      <c r="L131" s="3494">
        <v>23122</v>
      </c>
      <c r="M131" s="3493" t="s">
        <v>3594</v>
      </c>
    </row>
    <row r="132" spans="1:13" s="3495" customFormat="1" ht="15" hidden="1" customHeight="1">
      <c r="A132" s="3493">
        <v>130</v>
      </c>
      <c r="B132" s="3493" t="s">
        <v>3920</v>
      </c>
      <c r="C132" s="3493" t="s">
        <v>3901</v>
      </c>
      <c r="D132" s="3493" t="s">
        <v>3910</v>
      </c>
      <c r="E132" s="3493" t="s">
        <v>3826</v>
      </c>
      <c r="F132" s="3494">
        <v>213000</v>
      </c>
      <c r="G132" s="3493" t="s">
        <v>3657</v>
      </c>
      <c r="H132" s="3493">
        <v>2022</v>
      </c>
      <c r="I132" s="3493" t="s">
        <v>3921</v>
      </c>
      <c r="J132" s="3493" t="s">
        <v>3922</v>
      </c>
      <c r="K132" s="3494">
        <v>371</v>
      </c>
      <c r="L132" s="3494">
        <v>3484</v>
      </c>
      <c r="M132" s="3493" t="s">
        <v>3739</v>
      </c>
    </row>
    <row r="133" spans="1:13" s="3495" customFormat="1" ht="15" hidden="1" customHeight="1">
      <c r="A133" s="3493">
        <v>131</v>
      </c>
      <c r="B133" s="3493" t="s">
        <v>3923</v>
      </c>
      <c r="C133" s="3493" t="s">
        <v>3914</v>
      </c>
      <c r="D133" s="3493" t="s">
        <v>3924</v>
      </c>
      <c r="E133" s="3493" t="s">
        <v>3590</v>
      </c>
      <c r="F133" s="3494">
        <v>16000</v>
      </c>
      <c r="G133" s="3493" t="s">
        <v>3591</v>
      </c>
      <c r="H133" s="3493">
        <v>2022</v>
      </c>
      <c r="I133" s="3493" t="s">
        <v>3925</v>
      </c>
      <c r="J133" s="3493" t="s">
        <v>3926</v>
      </c>
      <c r="K133" s="3494">
        <v>180</v>
      </c>
      <c r="L133" s="3494">
        <v>11250</v>
      </c>
      <c r="M133" s="3493" t="s">
        <v>3594</v>
      </c>
    </row>
    <row r="134" spans="1:13" s="3495" customFormat="1" ht="15" hidden="1" customHeight="1">
      <c r="A134" s="3493">
        <v>132</v>
      </c>
      <c r="B134" s="3493" t="s">
        <v>3927</v>
      </c>
      <c r="C134" s="3493" t="s">
        <v>3914</v>
      </c>
      <c r="D134" s="3493" t="s">
        <v>3928</v>
      </c>
      <c r="E134" s="3493" t="s">
        <v>3673</v>
      </c>
      <c r="F134" s="3494">
        <v>54435</v>
      </c>
      <c r="G134" s="3493" t="s">
        <v>3591</v>
      </c>
      <c r="H134" s="3493">
        <v>2022</v>
      </c>
      <c r="I134" s="3493" t="s">
        <v>3929</v>
      </c>
      <c r="J134" s="3493" t="s">
        <v>3930</v>
      </c>
      <c r="K134" s="3494">
        <v>403</v>
      </c>
      <c r="L134" s="3494">
        <v>7400</v>
      </c>
      <c r="M134" s="3493" t="s">
        <v>3594</v>
      </c>
    </row>
    <row r="135" spans="1:13" s="3495" customFormat="1" ht="15" hidden="1" customHeight="1">
      <c r="A135" s="3493">
        <v>133</v>
      </c>
      <c r="B135" s="3493" t="s">
        <v>3931</v>
      </c>
      <c r="C135" s="3493" t="s">
        <v>3914</v>
      </c>
      <c r="D135" s="3493" t="s">
        <v>3932</v>
      </c>
      <c r="E135" s="3493" t="s">
        <v>3673</v>
      </c>
      <c r="F135" s="3494">
        <v>11836</v>
      </c>
      <c r="G135" s="3493" t="s">
        <v>3591</v>
      </c>
      <c r="H135" s="3493">
        <v>2022</v>
      </c>
      <c r="I135" s="3493" t="s">
        <v>3933</v>
      </c>
      <c r="J135" s="3493" t="s">
        <v>3930</v>
      </c>
      <c r="K135" s="3494">
        <v>128</v>
      </c>
      <c r="L135" s="3494">
        <v>10800</v>
      </c>
      <c r="M135" s="3493" t="s">
        <v>3594</v>
      </c>
    </row>
    <row r="136" spans="1:13" s="3495" customFormat="1" ht="15" hidden="1" customHeight="1">
      <c r="A136" s="3493">
        <v>134</v>
      </c>
      <c r="B136" s="3493" t="s">
        <v>3934</v>
      </c>
      <c r="C136" s="3493" t="s">
        <v>3914</v>
      </c>
      <c r="D136" s="3493" t="s">
        <v>3928</v>
      </c>
      <c r="E136" s="3493" t="s">
        <v>3673</v>
      </c>
      <c r="F136" s="3494">
        <v>76000</v>
      </c>
      <c r="G136" s="3493" t="s">
        <v>3591</v>
      </c>
      <c r="H136" s="3493">
        <v>2022</v>
      </c>
      <c r="I136" s="3493" t="s">
        <v>3935</v>
      </c>
      <c r="J136" s="3493" t="s">
        <v>3930</v>
      </c>
      <c r="K136" s="3494">
        <v>566</v>
      </c>
      <c r="L136" s="3494">
        <v>7448</v>
      </c>
      <c r="M136" s="3493" t="s">
        <v>3594</v>
      </c>
    </row>
    <row r="137" spans="1:13" s="3495" customFormat="1" ht="15" hidden="1" customHeight="1">
      <c r="A137" s="3493">
        <v>135</v>
      </c>
      <c r="B137" s="3493" t="s">
        <v>3936</v>
      </c>
      <c r="C137" s="3493" t="s">
        <v>3914</v>
      </c>
      <c r="D137" s="3493" t="s">
        <v>3924</v>
      </c>
      <c r="E137" s="3493" t="s">
        <v>3673</v>
      </c>
      <c r="F137" s="3494">
        <v>47219</v>
      </c>
      <c r="G137" s="3493" t="s">
        <v>3591</v>
      </c>
      <c r="H137" s="3493">
        <v>2022</v>
      </c>
      <c r="I137" s="3493" t="s">
        <v>3937</v>
      </c>
      <c r="J137" s="3493" t="s">
        <v>3930</v>
      </c>
      <c r="K137" s="3494">
        <v>552</v>
      </c>
      <c r="L137" s="3494">
        <v>11700</v>
      </c>
      <c r="M137" s="3493" t="s">
        <v>3594</v>
      </c>
    </row>
    <row r="138" spans="1:13" s="3495" customFormat="1" ht="15" hidden="1" customHeight="1">
      <c r="A138" s="3493">
        <v>136</v>
      </c>
      <c r="B138" s="3493" t="s">
        <v>3938</v>
      </c>
      <c r="C138" s="3493" t="s">
        <v>3914</v>
      </c>
      <c r="D138" s="3493" t="s">
        <v>3915</v>
      </c>
      <c r="E138" s="3493" t="s">
        <v>3673</v>
      </c>
      <c r="F138" s="3494">
        <v>81000</v>
      </c>
      <c r="G138" s="3493" t="s">
        <v>3591</v>
      </c>
      <c r="H138" s="3493">
        <v>2022</v>
      </c>
      <c r="I138" s="3493" t="s">
        <v>3939</v>
      </c>
      <c r="J138" s="3493" t="s">
        <v>3930</v>
      </c>
      <c r="K138" s="3494">
        <v>810</v>
      </c>
      <c r="L138" s="3494">
        <v>10000</v>
      </c>
      <c r="M138" s="3493" t="s">
        <v>3594</v>
      </c>
    </row>
    <row r="139" spans="1:13" s="3495" customFormat="1" ht="15" hidden="1" customHeight="1">
      <c r="A139" s="3493">
        <v>137</v>
      </c>
      <c r="B139" s="3493" t="s">
        <v>3940</v>
      </c>
      <c r="C139" s="3493" t="s">
        <v>3914</v>
      </c>
      <c r="D139" s="3493" t="s">
        <v>3915</v>
      </c>
      <c r="E139" s="3493" t="s">
        <v>3673</v>
      </c>
      <c r="F139" s="3494">
        <v>6134</v>
      </c>
      <c r="G139" s="3493" t="s">
        <v>3591</v>
      </c>
      <c r="H139" s="3493">
        <v>2022</v>
      </c>
      <c r="I139" s="3493" t="s">
        <v>3941</v>
      </c>
      <c r="J139" s="3493" t="s">
        <v>3930</v>
      </c>
      <c r="K139" s="3494">
        <v>66</v>
      </c>
      <c r="L139" s="3494">
        <v>10760</v>
      </c>
      <c r="M139" s="3493" t="s">
        <v>3594</v>
      </c>
    </row>
    <row r="140" spans="1:13" s="3495" customFormat="1" ht="15" hidden="1" customHeight="1">
      <c r="A140" s="3493">
        <v>138</v>
      </c>
      <c r="B140" s="3493" t="s">
        <v>3942</v>
      </c>
      <c r="C140" s="3493" t="s">
        <v>3914</v>
      </c>
      <c r="D140" s="3493" t="s">
        <v>3915</v>
      </c>
      <c r="E140" s="3493" t="s">
        <v>3673</v>
      </c>
      <c r="F140" s="3494">
        <v>28398</v>
      </c>
      <c r="G140" s="3493" t="s">
        <v>3591</v>
      </c>
      <c r="H140" s="3493">
        <v>2022</v>
      </c>
      <c r="I140" s="3493" t="s">
        <v>3612</v>
      </c>
      <c r="J140" s="3493" t="s">
        <v>3930</v>
      </c>
      <c r="K140" s="3494">
        <v>284</v>
      </c>
      <c r="L140" s="3494">
        <v>10000</v>
      </c>
      <c r="M140" s="3493" t="s">
        <v>3594</v>
      </c>
    </row>
    <row r="141" spans="1:13" s="3495" customFormat="1" ht="15" hidden="1" customHeight="1">
      <c r="A141" s="3493">
        <v>139</v>
      </c>
      <c r="B141" s="3493" t="s">
        <v>3943</v>
      </c>
      <c r="C141" s="3493" t="s">
        <v>3914</v>
      </c>
      <c r="D141" s="3493" t="s">
        <v>3944</v>
      </c>
      <c r="E141" s="3493" t="s">
        <v>3673</v>
      </c>
      <c r="F141" s="3494">
        <v>7097</v>
      </c>
      <c r="G141" s="3493" t="s">
        <v>3591</v>
      </c>
      <c r="H141" s="3493">
        <v>2022</v>
      </c>
      <c r="I141" s="3493" t="s">
        <v>3945</v>
      </c>
      <c r="J141" s="3493" t="s">
        <v>3930</v>
      </c>
      <c r="K141" s="3494">
        <v>59</v>
      </c>
      <c r="L141" s="3494">
        <v>8280</v>
      </c>
      <c r="M141" s="3493" t="s">
        <v>3594</v>
      </c>
    </row>
    <row r="142" spans="1:13" s="3495" customFormat="1" ht="15" hidden="1" customHeight="1">
      <c r="A142" s="3493">
        <v>140</v>
      </c>
      <c r="B142" s="3493" t="s">
        <v>3946</v>
      </c>
      <c r="C142" s="3493" t="s">
        <v>3914</v>
      </c>
      <c r="D142" s="3493" t="s">
        <v>3944</v>
      </c>
      <c r="E142" s="3493" t="s">
        <v>3673</v>
      </c>
      <c r="F142" s="3494">
        <v>30000</v>
      </c>
      <c r="G142" s="3493" t="s">
        <v>3591</v>
      </c>
      <c r="H142" s="3493">
        <v>2022</v>
      </c>
      <c r="I142" s="3493" t="s">
        <v>3683</v>
      </c>
      <c r="J142" s="3493" t="s">
        <v>3930</v>
      </c>
      <c r="K142" s="3494">
        <v>238</v>
      </c>
      <c r="L142" s="3494">
        <v>7933</v>
      </c>
      <c r="M142" s="3493" t="s">
        <v>3594</v>
      </c>
    </row>
    <row r="143" spans="1:13" s="3495" customFormat="1" ht="15" hidden="1" customHeight="1">
      <c r="A143" s="3493">
        <v>141</v>
      </c>
      <c r="B143" s="3493" t="s">
        <v>3947</v>
      </c>
      <c r="C143" s="3493" t="s">
        <v>3914</v>
      </c>
      <c r="D143" s="3493" t="s">
        <v>3915</v>
      </c>
      <c r="E143" s="3493" t="s">
        <v>3673</v>
      </c>
      <c r="F143" s="3494">
        <v>85000</v>
      </c>
      <c r="G143" s="3493" t="s">
        <v>3591</v>
      </c>
      <c r="H143" s="3493">
        <v>2022</v>
      </c>
      <c r="I143" s="3493" t="s">
        <v>3948</v>
      </c>
      <c r="J143" s="3493" t="s">
        <v>3930</v>
      </c>
      <c r="K143" s="3494">
        <v>765</v>
      </c>
      <c r="L143" s="3494">
        <v>9000</v>
      </c>
      <c r="M143" s="3493" t="s">
        <v>3594</v>
      </c>
    </row>
  </sheetData>
  <autoFilter ref="A2:N143">
    <filterColumn colId="2">
      <filters>
        <filter val="北京"/>
      </filters>
    </filterColumn>
    <filterColumn colId="5">
      <customFilters>
        <customFilter operator="greaterThan" val="10000"/>
      </customFilters>
    </filterColumn>
  </autoFilter>
  <phoneticPr fontId="13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4:V239"/>
  <sheetViews>
    <sheetView topLeftCell="A91" zoomScale="85" zoomScaleNormal="85" workbookViewId="0">
      <selection activeCell="K27" sqref="K27"/>
    </sheetView>
  </sheetViews>
  <sheetFormatPr defaultRowHeight="13.5"/>
  <cols>
    <col min="11" max="11" width="20.5" bestFit="1" customWidth="1"/>
    <col min="14" max="14" width="11.625" bestFit="1" customWidth="1"/>
    <col min="22" max="22" width="11.625" bestFit="1" customWidth="1"/>
  </cols>
  <sheetData>
    <row r="4" spans="12:16">
      <c r="L4" s="3488" t="s">
        <v>4004</v>
      </c>
      <c r="M4">
        <v>147400</v>
      </c>
      <c r="N4">
        <f>50.15*100000000</f>
        <v>5015000000</v>
      </c>
      <c r="O4">
        <f>ROUND(N4/M4,0)</f>
        <v>34023</v>
      </c>
      <c r="P4" t="s">
        <v>4007</v>
      </c>
    </row>
    <row r="19" spans="1:22">
      <c r="V19" s="3524">
        <v>42095</v>
      </c>
    </row>
    <row r="20" spans="1:22">
      <c r="V20" s="3525">
        <v>44926</v>
      </c>
    </row>
    <row r="21" spans="1:22">
      <c r="V21" s="3526">
        <f>(V20-V19)/365</f>
        <v>7.7561643835616438</v>
      </c>
    </row>
    <row r="22" spans="1:22">
      <c r="V22" s="3527">
        <f>50-V21</f>
        <v>42.243835616438353</v>
      </c>
    </row>
    <row r="27" spans="1:22">
      <c r="A27" s="3489"/>
      <c r="B27" s="3489"/>
      <c r="C27" s="3489">
        <v>2012</v>
      </c>
      <c r="D27" s="3489">
        <f>2022-C27</f>
        <v>10</v>
      </c>
      <c r="E27" s="3489"/>
      <c r="F27" s="3489"/>
      <c r="G27" s="3489"/>
    </row>
    <row r="28" spans="1:22">
      <c r="A28" s="3503" t="s">
        <v>3950</v>
      </c>
      <c r="B28" s="3489"/>
      <c r="C28" s="3505">
        <v>56259</v>
      </c>
      <c r="D28" s="3506">
        <v>44926</v>
      </c>
      <c r="E28" s="3507">
        <f>(C28-D28)/365</f>
        <v>31.049315068493151</v>
      </c>
      <c r="F28" s="3522" t="s">
        <v>4000</v>
      </c>
      <c r="G28" s="3515">
        <f>(60-D27)/60</f>
        <v>0.83333333333333337</v>
      </c>
    </row>
    <row r="68" spans="1:9">
      <c r="A68" s="3500" t="s">
        <v>3724</v>
      </c>
      <c r="B68" s="3489" t="s">
        <v>3957</v>
      </c>
      <c r="C68" s="3503" t="s">
        <v>3958</v>
      </c>
      <c r="D68" s="3489"/>
      <c r="E68" s="3489"/>
      <c r="F68" s="3489"/>
      <c r="G68" s="3489">
        <f>7.5*100000000</f>
        <v>750000000</v>
      </c>
      <c r="H68" s="3489">
        <v>28504.51</v>
      </c>
      <c r="I68">
        <f>ROUND(G68/H68,0)</f>
        <v>26312</v>
      </c>
    </row>
    <row r="114" spans="1:1">
      <c r="A114" t="s">
        <v>4010</v>
      </c>
    </row>
    <row r="137" spans="10:11">
      <c r="J137">
        <f>41197.78+7948.93+27210.73+5984.13</f>
        <v>82341.570000000007</v>
      </c>
      <c r="K137" s="3526">
        <v>1645003736</v>
      </c>
    </row>
    <row r="138" spans="10:11">
      <c r="K138" s="3527">
        <f>K137/J137</f>
        <v>19977.803872333257</v>
      </c>
    </row>
    <row r="167" spans="1:1">
      <c r="A167" t="s">
        <v>4016</v>
      </c>
    </row>
    <row r="193" spans="1:11">
      <c r="A193" s="3488" t="s">
        <v>4017</v>
      </c>
    </row>
    <row r="202" spans="1:11">
      <c r="K202">
        <v>229500</v>
      </c>
    </row>
    <row r="203" spans="1:11">
      <c r="J203" s="3488" t="s">
        <v>4018</v>
      </c>
    </row>
    <row r="204" spans="1:11">
      <c r="J204" s="3488" t="s">
        <v>4019</v>
      </c>
    </row>
    <row r="205" spans="1:11">
      <c r="J205" s="3488" t="s">
        <v>4020</v>
      </c>
    </row>
    <row r="206" spans="1:11">
      <c r="J206" s="3488" t="s">
        <v>4021</v>
      </c>
    </row>
    <row r="207" spans="1:11">
      <c r="J207" s="3488" t="s">
        <v>4022</v>
      </c>
      <c r="K207">
        <v>20000</v>
      </c>
    </row>
    <row r="230" spans="1:11">
      <c r="A230" t="s">
        <v>4023</v>
      </c>
    </row>
    <row r="233" spans="1:11">
      <c r="K233">
        <f>31886.78+6880.68</f>
        <v>38767.46</v>
      </c>
    </row>
    <row r="235" spans="1:11">
      <c r="K235">
        <v>1575000000</v>
      </c>
    </row>
    <row r="236" spans="1:11">
      <c r="K236">
        <f>ROUND(K235/K233,0)</f>
        <v>40627</v>
      </c>
    </row>
    <row r="237" spans="1:11">
      <c r="K237" s="3530" t="s">
        <v>4027</v>
      </c>
    </row>
    <row r="238" spans="1:11">
      <c r="K238" s="3488">
        <f>2022-2005</f>
        <v>17</v>
      </c>
    </row>
    <row r="239" spans="1:11">
      <c r="K239">
        <f>50-K238</f>
        <v>33</v>
      </c>
    </row>
  </sheetData>
  <phoneticPr fontId="134" type="noConversion"/>
  <hyperlinks>
    <hyperlink ref="F28" r:id="rId1"/>
  </hyperlinks>
  <pageMargins left="0.7" right="0.7" top="0.75" bottom="0.75" header="0.3" footer="0.3"/>
  <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3340</v>
      </c>
      <c r="C1" s="1224" t="s">
        <v>1662</v>
      </c>
      <c r="D1" s="1225"/>
      <c r="E1" s="3432"/>
      <c r="F1" s="1879"/>
      <c r="G1" s="1227" t="s">
        <v>1767</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3"/>
      <c r="M2" s="2734"/>
      <c r="N2" s="2734"/>
      <c r="O2" s="2734"/>
      <c r="P2" s="1165"/>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3"/>
      <c r="M3" s="2734" t="e">
        <f ca="1">IF(C2="——",IF(B37="元/平方米",ROUND(C39*D3/10000,0),ROUND(F3*C39/10000,0)),IF(B37="元/平方米",ROUND(C39*D3/10000,0),ROUND(F3*C39/10000,0))-D2)</f>
        <v>#DIV/0!</v>
      </c>
      <c r="N3" s="2734"/>
      <c r="O3" s="2734"/>
      <c r="P3" s="1165"/>
      <c r="Q3" s="699"/>
      <c r="R3" s="699"/>
      <c r="S3" s="699"/>
      <c r="T3" s="699"/>
      <c r="U3" s="699"/>
      <c r="V3" s="699"/>
      <c r="W3" s="699"/>
      <c r="X3" s="699"/>
      <c r="Y3" s="699"/>
      <c r="Z3" s="699"/>
      <c r="AA3" s="699"/>
      <c r="AB3" s="716"/>
      <c r="AC3" s="713"/>
    </row>
    <row r="4" spans="1:29" ht="15">
      <c r="A4" s="355" t="s">
        <v>1769</v>
      </c>
      <c r="B4" s="356"/>
      <c r="C4" s="3810" t="s">
        <v>1770</v>
      </c>
      <c r="D4" s="3811"/>
      <c r="E4" s="3812" t="s">
        <v>1771</v>
      </c>
      <c r="F4" s="3813"/>
      <c r="G4" s="3810" t="s">
        <v>1772</v>
      </c>
      <c r="H4" s="3811"/>
      <c r="I4" s="3810" t="s">
        <v>1773</v>
      </c>
      <c r="J4" s="3811"/>
      <c r="K4" s="559" t="s">
        <v>1774</v>
      </c>
      <c r="L4" s="2714"/>
      <c r="M4" s="2715"/>
      <c r="N4" s="2715"/>
      <c r="O4" s="2715"/>
      <c r="P4" s="3814" t="s">
        <v>1775</v>
      </c>
      <c r="Q4" s="3815"/>
      <c r="R4" s="3797" t="s">
        <v>1771</v>
      </c>
      <c r="S4" s="3798"/>
      <c r="T4" s="3797" t="s">
        <v>1772</v>
      </c>
      <c r="U4" s="3798"/>
      <c r="V4" s="3822" t="s">
        <v>1773</v>
      </c>
      <c r="W4" s="3822"/>
      <c r="X4" s="1355"/>
      <c r="Y4" s="3797" t="s">
        <v>1775</v>
      </c>
      <c r="Z4" s="3798"/>
      <c r="AA4" s="3792" t="s">
        <v>1771</v>
      </c>
      <c r="AB4" s="3793" t="s">
        <v>1772</v>
      </c>
      <c r="AC4" s="3792" t="s">
        <v>1773</v>
      </c>
    </row>
    <row r="5" spans="1:29" ht="15">
      <c r="A5" s="358"/>
      <c r="B5" s="359"/>
      <c r="C5" s="3803" t="s">
        <v>1673</v>
      </c>
      <c r="D5" s="3804"/>
      <c r="E5" s="3801" t="s">
        <v>1674</v>
      </c>
      <c r="F5" s="3802"/>
      <c r="G5" s="3803" t="s">
        <v>1675</v>
      </c>
      <c r="H5" s="3804"/>
      <c r="I5" s="3803" t="s">
        <v>1676</v>
      </c>
      <c r="J5" s="3804"/>
      <c r="K5" s="559"/>
      <c r="L5" s="2714"/>
      <c r="M5" s="2715"/>
      <c r="N5" s="2715"/>
      <c r="O5" s="2715"/>
      <c r="P5" s="3816"/>
      <c r="Q5" s="3817"/>
      <c r="R5" s="3799"/>
      <c r="S5" s="3800"/>
      <c r="T5" s="3799"/>
      <c r="U5" s="3800"/>
      <c r="V5" s="3822"/>
      <c r="W5" s="3822"/>
      <c r="X5" s="1355"/>
      <c r="Y5" s="3799"/>
      <c r="Z5" s="3800"/>
      <c r="AA5" s="3793"/>
      <c r="AB5" s="3793"/>
      <c r="AC5" s="3793"/>
    </row>
    <row r="6" spans="1:29" ht="15.75" thickBot="1">
      <c r="A6" s="360"/>
      <c r="B6" s="361"/>
      <c r="C6" s="3805" t="s">
        <v>1677</v>
      </c>
      <c r="D6" s="3806"/>
      <c r="E6" s="3807" t="s">
        <v>1677</v>
      </c>
      <c r="F6" s="3808"/>
      <c r="G6" s="3805" t="s">
        <v>1677</v>
      </c>
      <c r="H6" s="3806"/>
      <c r="I6" s="3805" t="s">
        <v>1677</v>
      </c>
      <c r="J6" s="3806"/>
      <c r="K6" s="559" t="s">
        <v>1678</v>
      </c>
      <c r="L6" s="2714"/>
      <c r="M6" s="2715"/>
      <c r="N6" s="2715"/>
      <c r="O6" s="2715"/>
      <c r="P6" s="3818"/>
      <c r="Q6" s="3819"/>
      <c r="R6" s="3799"/>
      <c r="S6" s="3800"/>
      <c r="T6" s="3820"/>
      <c r="U6" s="3821"/>
      <c r="V6" s="3822"/>
      <c r="W6" s="3822"/>
      <c r="X6" s="1355"/>
      <c r="Y6" s="3820"/>
      <c r="Z6" s="3821"/>
      <c r="AA6" s="3794"/>
      <c r="AB6" s="3794"/>
      <c r="AC6" s="3794"/>
    </row>
    <row r="7" spans="1:29" s="108" customFormat="1" ht="15.75" thickBot="1">
      <c r="A7" s="362" t="s">
        <v>1679</v>
      </c>
      <c r="B7" s="363"/>
      <c r="C7" s="364">
        <f>'数据-取费表'!B2</f>
        <v>44926</v>
      </c>
      <c r="D7" s="365">
        <v>100</v>
      </c>
      <c r="E7" s="366"/>
      <c r="F7" s="367">
        <f>SUMIF(48:48,YEAR(E7)&amp;"-"&amp;MONTH(E7),49:49)</f>
        <v>0</v>
      </c>
      <c r="G7" s="366"/>
      <c r="H7" s="365">
        <f>SUMIF(48:48,YEAR(G7)&amp;"-"&amp;MONTH(G7),49:49)</f>
        <v>0</v>
      </c>
      <c r="I7" s="366"/>
      <c r="J7" s="365">
        <f>SUMIF(48:48,YEAR(I7)&amp;"-"&amp;MONTH(I7),49:49)</f>
        <v>0</v>
      </c>
      <c r="K7" s="560"/>
      <c r="L7" s="2716"/>
      <c r="M7" s="2717"/>
      <c r="N7" s="2717"/>
      <c r="O7" s="2717"/>
      <c r="P7" s="3795" t="s">
        <v>1680</v>
      </c>
      <c r="Q7" s="3823"/>
      <c r="R7" s="701" t="s">
        <v>14</v>
      </c>
      <c r="S7" s="702">
        <f t="shared" ref="S7:S14" si="0">F7</f>
        <v>0</v>
      </c>
      <c r="T7" s="701" t="s">
        <v>14</v>
      </c>
      <c r="U7" s="702">
        <f t="shared" ref="U7:U14" si="1">H7</f>
        <v>0</v>
      </c>
      <c r="V7" s="701" t="s">
        <v>14</v>
      </c>
      <c r="W7" s="702">
        <f t="shared" ref="W7:W14" si="2">J7</f>
        <v>0</v>
      </c>
      <c r="X7" s="703"/>
      <c r="Y7" s="3795" t="s">
        <v>1680</v>
      </c>
      <c r="Z7" s="3796"/>
      <c r="AA7" s="704" t="e">
        <f>D7/F7</f>
        <v>#DIV/0!</v>
      </c>
      <c r="AB7" s="704" t="e">
        <f>D7/H7</f>
        <v>#DIV/0!</v>
      </c>
      <c r="AC7" s="704"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6"/>
      <c r="M8" s="2717"/>
      <c r="N8" s="2717"/>
      <c r="O8" s="2717"/>
      <c r="P8" s="3795" t="s">
        <v>1683</v>
      </c>
      <c r="Q8" s="3796"/>
      <c r="R8" s="701" t="s">
        <v>14</v>
      </c>
      <c r="S8" s="702">
        <f t="shared" si="0"/>
        <v>100</v>
      </c>
      <c r="T8" s="701" t="s">
        <v>14</v>
      </c>
      <c r="U8" s="702">
        <f t="shared" si="1"/>
        <v>100</v>
      </c>
      <c r="V8" s="701" t="s">
        <v>14</v>
      </c>
      <c r="W8" s="702">
        <f t="shared" si="2"/>
        <v>100</v>
      </c>
      <c r="X8" s="703"/>
      <c r="Y8" s="3795" t="s">
        <v>1683</v>
      </c>
      <c r="Z8" s="3796"/>
      <c r="AA8" s="704">
        <f t="shared" ref="AA8:AA36" si="3">D8/F8</f>
        <v>1</v>
      </c>
      <c r="AB8" s="704">
        <f t="shared" ref="AB8:AB36" si="4">D8/H8</f>
        <v>1</v>
      </c>
      <c r="AC8" s="704">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6"/>
      <c r="M9" s="2717"/>
      <c r="N9" s="2717"/>
      <c r="O9" s="2717"/>
      <c r="P9" s="3827" t="s">
        <v>1686</v>
      </c>
      <c r="Q9" s="1343" t="str">
        <f t="shared" ref="Q9:Q14" si="6">B9</f>
        <v>用途</v>
      </c>
      <c r="R9" s="701" t="s">
        <v>14</v>
      </c>
      <c r="S9" s="702">
        <f t="shared" si="0"/>
        <v>100</v>
      </c>
      <c r="T9" s="701" t="s">
        <v>14</v>
      </c>
      <c r="U9" s="702">
        <f t="shared" si="1"/>
        <v>100</v>
      </c>
      <c r="V9" s="701" t="s">
        <v>14</v>
      </c>
      <c r="W9" s="702">
        <f t="shared" si="2"/>
        <v>100</v>
      </c>
      <c r="X9" s="703"/>
      <c r="Y9" s="3720" t="s">
        <v>1687</v>
      </c>
      <c r="Z9" s="52" t="str">
        <f t="shared" ref="Z9:Z14" si="7">Q9</f>
        <v>用途</v>
      </c>
      <c r="AA9" s="704">
        <f t="shared" si="3"/>
        <v>1</v>
      </c>
      <c r="AB9" s="704">
        <f t="shared" si="4"/>
        <v>1</v>
      </c>
      <c r="AC9" s="704">
        <f t="shared" si="5"/>
        <v>1</v>
      </c>
    </row>
    <row r="10" spans="1:29" s="378" customFormat="1" ht="27">
      <c r="A10" s="589"/>
      <c r="B10" s="590" t="s">
        <v>1688</v>
      </c>
      <c r="C10" s="3433"/>
      <c r="D10" s="127">
        <v>100</v>
      </c>
      <c r="E10" s="3433"/>
      <c r="F10" s="127">
        <f>SUMIF(55:55,E10,56:56)-SUMIF(55:55,C10,56:56)+100</f>
        <v>100</v>
      </c>
      <c r="G10" s="3434"/>
      <c r="H10" s="127">
        <f>SUMIF(55:55,G10,56:56)-SUMIF(55:55,C10,56:56)+100</f>
        <v>100</v>
      </c>
      <c r="I10" s="3433"/>
      <c r="J10" s="127">
        <f>SUMIF(55:55,I10,56:56)-SUMIF(55:55,C10,56:56)+100</f>
        <v>100</v>
      </c>
      <c r="K10" s="560"/>
      <c r="L10" s="2718"/>
      <c r="M10" s="2719"/>
      <c r="N10" s="2719"/>
      <c r="O10" s="2719"/>
      <c r="P10" s="3827"/>
      <c r="Q10" s="1343" t="str">
        <f t="shared" si="6"/>
        <v>土地使用年限（年）</v>
      </c>
      <c r="R10" s="701" t="s">
        <v>14</v>
      </c>
      <c r="S10" s="702">
        <f t="shared" si="0"/>
        <v>100</v>
      </c>
      <c r="T10" s="701" t="s">
        <v>14</v>
      </c>
      <c r="U10" s="702">
        <f t="shared" si="1"/>
        <v>100</v>
      </c>
      <c r="V10" s="701" t="s">
        <v>14</v>
      </c>
      <c r="W10" s="702">
        <f t="shared" si="2"/>
        <v>100</v>
      </c>
      <c r="X10" s="703"/>
      <c r="Y10" s="3720"/>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20"/>
      <c r="M11" s="2715"/>
      <c r="N11" s="2715"/>
      <c r="O11" s="2715"/>
      <c r="P11" s="3827"/>
      <c r="Q11" s="1343">
        <f t="shared" si="6"/>
        <v>111</v>
      </c>
      <c r="R11" s="701" t="s">
        <v>14</v>
      </c>
      <c r="S11" s="702">
        <f t="shared" si="0"/>
        <v>100</v>
      </c>
      <c r="T11" s="701" t="s">
        <v>14</v>
      </c>
      <c r="U11" s="702">
        <f t="shared" si="1"/>
        <v>100</v>
      </c>
      <c r="V11" s="701" t="s">
        <v>14</v>
      </c>
      <c r="W11" s="702">
        <f t="shared" si="2"/>
        <v>100</v>
      </c>
      <c r="X11" s="703"/>
      <c r="Y11" s="3720"/>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6"/>
      <c r="M12" s="2717"/>
      <c r="N12" s="2717"/>
      <c r="O12" s="2717"/>
      <c r="P12" s="3827"/>
      <c r="Q12" s="1343">
        <f t="shared" si="6"/>
        <v>111</v>
      </c>
      <c r="R12" s="701" t="s">
        <v>14</v>
      </c>
      <c r="S12" s="702">
        <f t="shared" si="0"/>
        <v>100</v>
      </c>
      <c r="T12" s="701" t="s">
        <v>14</v>
      </c>
      <c r="U12" s="702">
        <f t="shared" si="1"/>
        <v>100</v>
      </c>
      <c r="V12" s="701" t="s">
        <v>14</v>
      </c>
      <c r="W12" s="702">
        <f t="shared" si="2"/>
        <v>100</v>
      </c>
      <c r="X12" s="703"/>
      <c r="Y12" s="3720"/>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1"/>
      <c r="M13" s="2715"/>
      <c r="N13" s="2715"/>
      <c r="O13" s="2715"/>
      <c r="P13" s="3827"/>
      <c r="Q13" s="1343">
        <f t="shared" si="6"/>
        <v>111</v>
      </c>
      <c r="R13" s="701" t="s">
        <v>14</v>
      </c>
      <c r="S13" s="702">
        <f t="shared" si="0"/>
        <v>100</v>
      </c>
      <c r="T13" s="701" t="s">
        <v>14</v>
      </c>
      <c r="U13" s="702">
        <f t="shared" si="1"/>
        <v>100</v>
      </c>
      <c r="V13" s="701" t="s">
        <v>14</v>
      </c>
      <c r="W13" s="702">
        <f t="shared" si="2"/>
        <v>100</v>
      </c>
      <c r="X13" s="703"/>
      <c r="Y13" s="3720"/>
      <c r="Z13" s="52">
        <f t="shared" si="7"/>
        <v>111</v>
      </c>
      <c r="AA13" s="704">
        <f t="shared" si="3"/>
        <v>1</v>
      </c>
      <c r="AB13" s="704">
        <f t="shared" si="4"/>
        <v>1</v>
      </c>
      <c r="AC13" s="704">
        <f t="shared" si="5"/>
        <v>1</v>
      </c>
    </row>
    <row r="14" spans="1:29" ht="15">
      <c r="A14" s="355" t="s">
        <v>1690</v>
      </c>
      <c r="B14" s="577" t="s">
        <v>1833</v>
      </c>
      <c r="C14" s="1971" t="str">
        <f>IF(B1="工业",估价对象房地状况!G4,估价对象房地状况!C6)</f>
        <v>光熙门536米</v>
      </c>
      <c r="D14" s="392">
        <v>100</v>
      </c>
      <c r="E14" s="393"/>
      <c r="F14" s="394">
        <f>SUMIF(63:63,E15,64:64)-SUMIF(63:63,C15,64:64)+100</f>
        <v>100</v>
      </c>
      <c r="G14" s="395"/>
      <c r="H14" s="392">
        <f>SUMIF(63:63,G15,64:64)-SUMIF(63:63,C15,64:64)+100</f>
        <v>100</v>
      </c>
      <c r="I14" s="393"/>
      <c r="J14" s="392">
        <f>SUMIF(63:63,I15,64:64)-SUMIF(63:63,C15,64:64)+100</f>
        <v>100</v>
      </c>
      <c r="K14" s="563"/>
      <c r="L14" s="2721"/>
      <c r="M14" s="2715"/>
      <c r="N14" s="2715"/>
      <c r="O14" s="2715"/>
      <c r="P14" s="3829" t="s">
        <v>1691</v>
      </c>
      <c r="Q14" s="1352" t="str">
        <f t="shared" si="6"/>
        <v>交通便捷度</v>
      </c>
      <c r="R14" s="705" t="s">
        <v>14</v>
      </c>
      <c r="S14" s="706">
        <f t="shared" si="0"/>
        <v>100</v>
      </c>
      <c r="T14" s="705" t="s">
        <v>14</v>
      </c>
      <c r="U14" s="706">
        <f t="shared" si="1"/>
        <v>100</v>
      </c>
      <c r="V14" s="705" t="s">
        <v>14</v>
      </c>
      <c r="W14" s="706">
        <f t="shared" si="2"/>
        <v>100</v>
      </c>
      <c r="X14" s="1355"/>
      <c r="Y14" s="3829" t="s">
        <v>1691</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21"/>
      <c r="M15" s="2715"/>
      <c r="N15" s="2715"/>
      <c r="O15" s="2715"/>
      <c r="P15" s="3830"/>
      <c r="Q15" s="1352"/>
      <c r="R15" s="705"/>
      <c r="S15" s="706"/>
      <c r="T15" s="705"/>
      <c r="U15" s="706"/>
      <c r="V15" s="705"/>
      <c r="W15" s="706"/>
      <c r="X15" s="1355"/>
      <c r="Y15" s="3830"/>
      <c r="Z15" s="1356"/>
      <c r="AA15" s="1353">
        <v>1</v>
      </c>
      <c r="AB15" s="1353">
        <v>1</v>
      </c>
      <c r="AC15" s="1353">
        <v>1</v>
      </c>
    </row>
    <row r="16" spans="1:29" ht="42.75">
      <c r="A16" s="358"/>
      <c r="B16" s="579" t="s">
        <v>1812</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1"/>
      <c r="M16" s="2715"/>
      <c r="N16" s="2715"/>
      <c r="O16" s="2715"/>
      <c r="P16" s="3830"/>
      <c r="Q16" s="1352" t="str">
        <f>B16</f>
        <v>公共配套设施</v>
      </c>
      <c r="R16" s="705" t="s">
        <v>14</v>
      </c>
      <c r="S16" s="706">
        <f>F16</f>
        <v>100</v>
      </c>
      <c r="T16" s="705" t="s">
        <v>14</v>
      </c>
      <c r="U16" s="706">
        <f>H16</f>
        <v>100</v>
      </c>
      <c r="V16" s="705" t="s">
        <v>14</v>
      </c>
      <c r="W16" s="706">
        <f>J16</f>
        <v>100</v>
      </c>
      <c r="X16" s="1355"/>
      <c r="Y16" s="3830"/>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21"/>
      <c r="M17" s="2715"/>
      <c r="N17" s="2715"/>
      <c r="O17" s="2715"/>
      <c r="P17" s="3830"/>
      <c r="Q17" s="1352"/>
      <c r="R17" s="705"/>
      <c r="S17" s="706"/>
      <c r="T17" s="705"/>
      <c r="U17" s="706"/>
      <c r="V17" s="705"/>
      <c r="W17" s="706"/>
      <c r="X17" s="1355"/>
      <c r="Y17" s="3830"/>
      <c r="Z17" s="1356"/>
      <c r="AA17" s="1353">
        <v>1</v>
      </c>
      <c r="AB17" s="1353">
        <v>1</v>
      </c>
      <c r="AC17" s="1353">
        <v>1</v>
      </c>
    </row>
    <row r="18" spans="1:29" ht="28.5">
      <c r="A18" s="358"/>
      <c r="B18" s="581" t="s">
        <v>1813</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1"/>
      <c r="M18" s="2715"/>
      <c r="N18" s="2715"/>
      <c r="O18" s="2715"/>
      <c r="P18" s="3830"/>
      <c r="Q18" s="1352" t="str">
        <f>B18</f>
        <v>基础设施水平</v>
      </c>
      <c r="R18" s="705" t="s">
        <v>14</v>
      </c>
      <c r="S18" s="706">
        <f>F18</f>
        <v>100</v>
      </c>
      <c r="T18" s="705" t="s">
        <v>14</v>
      </c>
      <c r="U18" s="706">
        <f>H18</f>
        <v>100</v>
      </c>
      <c r="V18" s="705" t="s">
        <v>14</v>
      </c>
      <c r="W18" s="706">
        <f>J18</f>
        <v>100</v>
      </c>
      <c r="X18" s="1355"/>
      <c r="Y18" s="3830"/>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21"/>
      <c r="M19" s="2715"/>
      <c r="N19" s="2715"/>
      <c r="O19" s="2715"/>
      <c r="P19" s="3830"/>
      <c r="Q19" s="1352"/>
      <c r="R19" s="705"/>
      <c r="S19" s="706"/>
      <c r="T19" s="705"/>
      <c r="U19" s="706"/>
      <c r="V19" s="705"/>
      <c r="W19" s="706"/>
      <c r="X19" s="1355"/>
      <c r="Y19" s="3830"/>
      <c r="Z19" s="1356"/>
      <c r="AA19" s="1353">
        <v>1</v>
      </c>
      <c r="AB19" s="1353">
        <v>1</v>
      </c>
      <c r="AC19" s="1353">
        <v>1</v>
      </c>
    </row>
    <row r="20" spans="1:29" ht="57">
      <c r="A20" s="358"/>
      <c r="B20" s="579" t="s">
        <v>1834</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1"/>
      <c r="M20" s="2715"/>
      <c r="N20" s="2715"/>
      <c r="O20" s="2715"/>
      <c r="P20" s="3830"/>
      <c r="Q20" s="1352" t="str">
        <f>B20</f>
        <v>自然及人文环境</v>
      </c>
      <c r="R20" s="705" t="s">
        <v>14</v>
      </c>
      <c r="S20" s="706">
        <f>F20</f>
        <v>100</v>
      </c>
      <c r="T20" s="705" t="s">
        <v>14</v>
      </c>
      <c r="U20" s="706">
        <f>H20</f>
        <v>100</v>
      </c>
      <c r="V20" s="705" t="s">
        <v>14</v>
      </c>
      <c r="W20" s="706">
        <f>J20</f>
        <v>100</v>
      </c>
      <c r="X20" s="1355"/>
      <c r="Y20" s="3830"/>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21"/>
      <c r="M21" s="2715"/>
      <c r="N21" s="2715"/>
      <c r="O21" s="2715"/>
      <c r="P21" s="3830"/>
      <c r="Q21" s="1352"/>
      <c r="R21" s="705"/>
      <c r="S21" s="706"/>
      <c r="T21" s="705"/>
      <c r="U21" s="706"/>
      <c r="V21" s="705"/>
      <c r="W21" s="706"/>
      <c r="X21" s="1355"/>
      <c r="Y21" s="3830"/>
      <c r="Z21" s="1356"/>
      <c r="AA21" s="1353">
        <v>1</v>
      </c>
      <c r="AB21" s="1353">
        <v>1</v>
      </c>
      <c r="AC21" s="1353">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21"/>
      <c r="M22" s="2715"/>
      <c r="N22" s="2715"/>
      <c r="O22" s="2715"/>
      <c r="P22" s="3830"/>
      <c r="Q22" s="1352" t="str">
        <f>B22</f>
        <v>楼层</v>
      </c>
      <c r="R22" s="705" t="s">
        <v>14</v>
      </c>
      <c r="S22" s="706">
        <f>F22</f>
        <v>100</v>
      </c>
      <c r="T22" s="705" t="s">
        <v>14</v>
      </c>
      <c r="U22" s="706">
        <f>H22</f>
        <v>100</v>
      </c>
      <c r="V22" s="705" t="s">
        <v>14</v>
      </c>
      <c r="W22" s="706">
        <f>J22</f>
        <v>100</v>
      </c>
      <c r="X22" s="1355"/>
      <c r="Y22" s="3830"/>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1"/>
      <c r="M23" s="2715"/>
      <c r="N23" s="2715"/>
      <c r="O23" s="2715"/>
      <c r="P23" s="3830"/>
      <c r="Q23" s="1352">
        <f>B23</f>
        <v>111</v>
      </c>
      <c r="R23" s="705" t="s">
        <v>14</v>
      </c>
      <c r="S23" s="706">
        <f>F23</f>
        <v>100</v>
      </c>
      <c r="T23" s="705" t="s">
        <v>14</v>
      </c>
      <c r="U23" s="706">
        <f>H23</f>
        <v>100</v>
      </c>
      <c r="V23" s="705" t="s">
        <v>14</v>
      </c>
      <c r="W23" s="706">
        <f>J23</f>
        <v>100</v>
      </c>
      <c r="X23" s="1355"/>
      <c r="Y23" s="3830"/>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1"/>
      <c r="M24" s="2715"/>
      <c r="N24" s="2715"/>
      <c r="O24" s="2715"/>
      <c r="P24" s="3830"/>
      <c r="Q24" s="1352">
        <f t="shared" ref="Q24:Q36" si="11">B24</f>
        <v>111</v>
      </c>
      <c r="R24" s="705" t="s">
        <v>14</v>
      </c>
      <c r="S24" s="706">
        <f>F24</f>
        <v>100</v>
      </c>
      <c r="T24" s="705" t="s">
        <v>14</v>
      </c>
      <c r="U24" s="706">
        <f>H24</f>
        <v>100</v>
      </c>
      <c r="V24" s="705" t="s">
        <v>14</v>
      </c>
      <c r="W24" s="706">
        <f>J24</f>
        <v>100</v>
      </c>
      <c r="X24" s="1355"/>
      <c r="Y24" s="3830"/>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6"/>
      <c r="M25" s="2717"/>
      <c r="N25" s="2717"/>
      <c r="O25" s="2717"/>
      <c r="P25" s="3830"/>
      <c r="Q25" s="1343">
        <f t="shared" si="11"/>
        <v>111</v>
      </c>
      <c r="R25" s="701" t="s">
        <v>14</v>
      </c>
      <c r="S25" s="702">
        <f>F25</f>
        <v>100</v>
      </c>
      <c r="T25" s="701" t="s">
        <v>14</v>
      </c>
      <c r="U25" s="702">
        <f>H25</f>
        <v>100</v>
      </c>
      <c r="V25" s="701" t="s">
        <v>14</v>
      </c>
      <c r="W25" s="702">
        <f>J25</f>
        <v>100</v>
      </c>
      <c r="X25" s="703"/>
      <c r="Y25" s="3830"/>
      <c r="Z25" s="52">
        <f>Q25</f>
        <v>111</v>
      </c>
      <c r="AA25" s="1353">
        <f>D25/F25</f>
        <v>1</v>
      </c>
      <c r="AB25" s="1353">
        <f>D25/H25</f>
        <v>1</v>
      </c>
      <c r="AC25" s="1353">
        <f>D25/J25</f>
        <v>1</v>
      </c>
    </row>
    <row r="26" spans="1:29" ht="28.5">
      <c r="A26" s="600" t="s">
        <v>1694</v>
      </c>
      <c r="B26" s="62" t="s">
        <v>1836</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21"/>
      <c r="M26" s="2715"/>
      <c r="N26" s="2715"/>
      <c r="O26" s="2715"/>
      <c r="P26" s="3856" t="s">
        <v>1696</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834" t="s">
        <v>1696</v>
      </c>
      <c r="Z26" s="1356" t="str">
        <f t="shared" ref="Z26:Z36" si="15">Q26</f>
        <v>配套类型</v>
      </c>
      <c r="AA26" s="1353" t="e">
        <f t="shared" si="3"/>
        <v>#DIV/0!</v>
      </c>
      <c r="AB26" s="1353" t="e">
        <f t="shared" si="4"/>
        <v>#DIV/0!</v>
      </c>
      <c r="AC26" s="1353"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20"/>
      <c r="M27" s="2722"/>
      <c r="N27" s="2722"/>
      <c r="O27" s="2722"/>
      <c r="P27" s="3834"/>
      <c r="Q27" s="707" t="str">
        <f t="shared" si="11"/>
        <v>项目停车位配比</v>
      </c>
      <c r="R27" s="708" t="s">
        <v>14</v>
      </c>
      <c r="S27" s="709">
        <f t="shared" si="12"/>
        <v>100</v>
      </c>
      <c r="T27" s="708" t="s">
        <v>14</v>
      </c>
      <c r="U27" s="709">
        <f t="shared" si="13"/>
        <v>100</v>
      </c>
      <c r="V27" s="708" t="s">
        <v>14</v>
      </c>
      <c r="W27" s="709">
        <f t="shared" si="14"/>
        <v>100</v>
      </c>
      <c r="X27" s="710"/>
      <c r="Y27" s="3834"/>
      <c r="Z27" s="711" t="str">
        <f t="shared" si="15"/>
        <v>项目停车位配比</v>
      </c>
      <c r="AA27" s="1353">
        <f t="shared" si="3"/>
        <v>1</v>
      </c>
      <c r="AB27" s="1353">
        <f t="shared" si="4"/>
        <v>1</v>
      </c>
      <c r="AC27" s="1353">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21"/>
      <c r="M28" s="2715"/>
      <c r="N28" s="2715"/>
      <c r="O28" s="2715"/>
      <c r="P28" s="3834"/>
      <c r="Q28" s="1352" t="str">
        <f t="shared" si="11"/>
        <v>公共部分装修</v>
      </c>
      <c r="R28" s="705" t="s">
        <v>14</v>
      </c>
      <c r="S28" s="706">
        <f t="shared" si="12"/>
        <v>100</v>
      </c>
      <c r="T28" s="705" t="s">
        <v>14</v>
      </c>
      <c r="U28" s="706">
        <f t="shared" si="13"/>
        <v>100</v>
      </c>
      <c r="V28" s="705" t="s">
        <v>14</v>
      </c>
      <c r="W28" s="706">
        <f t="shared" si="14"/>
        <v>100</v>
      </c>
      <c r="X28" s="1355"/>
      <c r="Y28" s="3834"/>
      <c r="Z28" s="1356" t="str">
        <f t="shared" si="15"/>
        <v>公共部分装修</v>
      </c>
      <c r="AA28" s="1353">
        <f t="shared" si="3"/>
        <v>1</v>
      </c>
      <c r="AB28" s="1353">
        <f t="shared" si="4"/>
        <v>1</v>
      </c>
      <c r="AC28" s="1353">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1"/>
      <c r="M29" s="2715"/>
      <c r="N29" s="2715"/>
      <c r="O29" s="2715"/>
      <c r="P29" s="3834"/>
      <c r="Q29" s="1352" t="str">
        <f t="shared" si="11"/>
        <v>成新率</v>
      </c>
      <c r="R29" s="705" t="s">
        <v>14</v>
      </c>
      <c r="S29" s="706" t="e">
        <f t="shared" si="12"/>
        <v>#N/A</v>
      </c>
      <c r="T29" s="705" t="s">
        <v>14</v>
      </c>
      <c r="U29" s="706" t="e">
        <f t="shared" si="13"/>
        <v>#N/A</v>
      </c>
      <c r="V29" s="705" t="s">
        <v>14</v>
      </c>
      <c r="W29" s="706" t="e">
        <f t="shared" si="14"/>
        <v>#N/A</v>
      </c>
      <c r="X29" s="1355"/>
      <c r="Y29" s="3834"/>
      <c r="Z29" s="1356" t="str">
        <f t="shared" si="15"/>
        <v>成新率</v>
      </c>
      <c r="AA29" s="1353" t="e">
        <f t="shared" si="3"/>
        <v>#N/A</v>
      </c>
      <c r="AB29" s="1353" t="e">
        <f t="shared" si="4"/>
        <v>#N/A</v>
      </c>
      <c r="AC29" s="1353"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21"/>
      <c r="M30" s="2715"/>
      <c r="N30" s="2715"/>
      <c r="O30" s="2715"/>
      <c r="P30" s="3834"/>
      <c r="Q30" s="1352" t="str">
        <f t="shared" si="11"/>
        <v>物业等级</v>
      </c>
      <c r="R30" s="705" t="s">
        <v>14</v>
      </c>
      <c r="S30" s="706">
        <f t="shared" si="12"/>
        <v>100</v>
      </c>
      <c r="T30" s="705" t="s">
        <v>14</v>
      </c>
      <c r="U30" s="706">
        <f t="shared" si="13"/>
        <v>100</v>
      </c>
      <c r="V30" s="705" t="s">
        <v>14</v>
      </c>
      <c r="W30" s="706">
        <f t="shared" si="14"/>
        <v>100</v>
      </c>
      <c r="X30" s="1355"/>
      <c r="Y30" s="3834"/>
      <c r="Z30" s="1356" t="str">
        <f t="shared" si="15"/>
        <v>物业等级</v>
      </c>
      <c r="AA30" s="1353">
        <f t="shared" si="3"/>
        <v>1</v>
      </c>
      <c r="AB30" s="1353">
        <f t="shared" si="4"/>
        <v>1</v>
      </c>
      <c r="AC30" s="1353">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6"/>
      <c r="M31" s="2717"/>
      <c r="N31" s="2717"/>
      <c r="O31" s="2717"/>
      <c r="P31" s="3834"/>
      <c r="Q31" s="1343" t="str">
        <f t="shared" si="11"/>
        <v>停车位面积</v>
      </c>
      <c r="R31" s="701" t="s">
        <v>14</v>
      </c>
      <c r="S31" s="702" t="e">
        <f t="shared" si="12"/>
        <v>#N/A</v>
      </c>
      <c r="T31" s="701" t="s">
        <v>14</v>
      </c>
      <c r="U31" s="702" t="e">
        <f t="shared" si="13"/>
        <v>#N/A</v>
      </c>
      <c r="V31" s="701" t="s">
        <v>14</v>
      </c>
      <c r="W31" s="702" t="e">
        <f t="shared" si="14"/>
        <v>#N/A</v>
      </c>
      <c r="X31" s="703"/>
      <c r="Y31" s="3834"/>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21"/>
      <c r="M32" s="2715"/>
      <c r="N32" s="2715"/>
      <c r="O32" s="2715"/>
      <c r="P32" s="3834" t="s">
        <v>1696</v>
      </c>
      <c r="Q32" s="1352" t="str">
        <f t="shared" si="11"/>
        <v>车位类型</v>
      </c>
      <c r="R32" s="705" t="s">
        <v>14</v>
      </c>
      <c r="S32" s="706">
        <f t="shared" si="12"/>
        <v>100</v>
      </c>
      <c r="T32" s="705" t="s">
        <v>14</v>
      </c>
      <c r="U32" s="706">
        <f t="shared" si="13"/>
        <v>100</v>
      </c>
      <c r="V32" s="705" t="s">
        <v>14</v>
      </c>
      <c r="W32" s="706">
        <f t="shared" si="14"/>
        <v>100</v>
      </c>
      <c r="X32" s="1355"/>
      <c r="Y32" s="3834" t="s">
        <v>1696</v>
      </c>
      <c r="Z32" s="1356" t="str">
        <f t="shared" si="15"/>
        <v>车位类型</v>
      </c>
      <c r="AA32" s="1353">
        <f t="shared" si="3"/>
        <v>1</v>
      </c>
      <c r="AB32" s="1353">
        <f t="shared" si="4"/>
        <v>1</v>
      </c>
      <c r="AC32" s="1353">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21"/>
      <c r="M33" s="2715"/>
      <c r="N33" s="2715"/>
      <c r="O33" s="2715"/>
      <c r="P33" s="3834"/>
      <c r="Q33" s="1352" t="str">
        <f t="shared" si="11"/>
        <v>是否直接入户</v>
      </c>
      <c r="R33" s="705" t="s">
        <v>14</v>
      </c>
      <c r="S33" s="706">
        <f t="shared" si="12"/>
        <v>100</v>
      </c>
      <c r="T33" s="705" t="s">
        <v>14</v>
      </c>
      <c r="U33" s="706">
        <f t="shared" si="13"/>
        <v>100</v>
      </c>
      <c r="V33" s="705" t="s">
        <v>14</v>
      </c>
      <c r="W33" s="706">
        <f t="shared" si="14"/>
        <v>100</v>
      </c>
      <c r="X33" s="1355"/>
      <c r="Y33" s="3834"/>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1"/>
      <c r="M34" s="2715"/>
      <c r="N34" s="2715"/>
      <c r="O34" s="2715"/>
      <c r="P34" s="3834"/>
      <c r="Q34" s="1352">
        <f t="shared" si="11"/>
        <v>111</v>
      </c>
      <c r="R34" s="705" t="s">
        <v>14</v>
      </c>
      <c r="S34" s="706">
        <f t="shared" si="12"/>
        <v>100</v>
      </c>
      <c r="T34" s="705" t="s">
        <v>14</v>
      </c>
      <c r="U34" s="706">
        <f t="shared" si="13"/>
        <v>100</v>
      </c>
      <c r="V34" s="705" t="s">
        <v>14</v>
      </c>
      <c r="W34" s="706">
        <f t="shared" si="14"/>
        <v>100</v>
      </c>
      <c r="X34" s="1355"/>
      <c r="Y34" s="3834"/>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0"/>
      <c r="M35" s="2722"/>
      <c r="N35" s="2722"/>
      <c r="O35" s="2722"/>
      <c r="P35" s="3834"/>
      <c r="Q35" s="707">
        <f t="shared" si="11"/>
        <v>111</v>
      </c>
      <c r="R35" s="708" t="s">
        <v>14</v>
      </c>
      <c r="S35" s="709">
        <f t="shared" si="12"/>
        <v>100</v>
      </c>
      <c r="T35" s="708" t="s">
        <v>14</v>
      </c>
      <c r="U35" s="709">
        <f t="shared" si="13"/>
        <v>100</v>
      </c>
      <c r="V35" s="708" t="s">
        <v>14</v>
      </c>
      <c r="W35" s="709">
        <f t="shared" si="14"/>
        <v>100</v>
      </c>
      <c r="X35" s="710"/>
      <c r="Y35" s="3834"/>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1"/>
      <c r="M36" s="2715"/>
      <c r="N36" s="2715"/>
      <c r="O36" s="2715"/>
      <c r="P36" s="3834"/>
      <c r="Q36" s="1352">
        <f t="shared" si="11"/>
        <v>111</v>
      </c>
      <c r="R36" s="705" t="s">
        <v>14</v>
      </c>
      <c r="S36" s="706">
        <f t="shared" si="12"/>
        <v>100</v>
      </c>
      <c r="T36" s="705" t="s">
        <v>14</v>
      </c>
      <c r="U36" s="706">
        <f t="shared" si="13"/>
        <v>100</v>
      </c>
      <c r="V36" s="705" t="s">
        <v>14</v>
      </c>
      <c r="W36" s="706">
        <f t="shared" si="14"/>
        <v>100</v>
      </c>
      <c r="X36" s="1355"/>
      <c r="Y36" s="3834"/>
      <c r="Z36" s="1356">
        <f t="shared" si="15"/>
        <v>111</v>
      </c>
      <c r="AA36" s="1353">
        <f t="shared" si="3"/>
        <v>1</v>
      </c>
      <c r="AB36" s="1353">
        <f t="shared" si="4"/>
        <v>1</v>
      </c>
      <c r="AC36" s="1353">
        <f t="shared" si="5"/>
        <v>1</v>
      </c>
    </row>
    <row r="37" spans="1:29" ht="15">
      <c r="A37" s="430" t="s">
        <v>1844</v>
      </c>
      <c r="B37" s="1973" t="s">
        <v>3360</v>
      </c>
      <c r="C37" s="1154" t="s">
        <v>0</v>
      </c>
      <c r="D37" s="1155"/>
      <c r="E37" s="1156"/>
      <c r="F37" s="1157"/>
      <c r="G37" s="1158"/>
      <c r="H37" s="1159"/>
      <c r="I37" s="1156"/>
      <c r="J37" s="1159"/>
      <c r="K37" s="568"/>
      <c r="L37" s="2723"/>
      <c r="M37" s="2724"/>
      <c r="N37" s="2715"/>
      <c r="O37" s="2724"/>
      <c r="P37" s="3827" t="str">
        <f>A37</f>
        <v>成交单价</v>
      </c>
      <c r="Q37" s="3827"/>
      <c r="R37" s="3828">
        <f>E37</f>
        <v>0</v>
      </c>
      <c r="S37" s="3828"/>
      <c r="T37" s="3828">
        <f>G37</f>
        <v>0</v>
      </c>
      <c r="U37" s="3828"/>
      <c r="V37" s="3828">
        <f>I37</f>
        <v>0</v>
      </c>
      <c r="W37" s="3828"/>
      <c r="X37" s="690"/>
      <c r="Y37" s="712"/>
      <c r="Z37" s="690"/>
      <c r="AA37" s="690"/>
      <c r="AB37" s="690"/>
      <c r="AC37" s="690"/>
    </row>
    <row r="38" spans="1:29" ht="15.75" thickBot="1">
      <c r="A38" s="437" t="s">
        <v>1845</v>
      </c>
      <c r="B38" s="438" t="str">
        <f>B37</f>
        <v>元/平方米</v>
      </c>
      <c r="C38" s="1160" t="e">
        <f>R39</f>
        <v>#DIV/0!</v>
      </c>
      <c r="D38" s="2317" t="s">
        <v>2138</v>
      </c>
      <c r="E38" s="1161" t="e">
        <f>R38</f>
        <v>#DIV/0!</v>
      </c>
      <c r="F38" s="2318"/>
      <c r="G38" s="1160" t="e">
        <f>T38</f>
        <v>#DIV/0!</v>
      </c>
      <c r="H38" s="2318"/>
      <c r="I38" s="1161" t="e">
        <f>V38</f>
        <v>#DIV/0!</v>
      </c>
      <c r="J38" s="2318"/>
      <c r="K38" s="2320">
        <f>F38+H38+J38</f>
        <v>0</v>
      </c>
      <c r="L38" s="2723"/>
      <c r="M38" s="2724"/>
      <c r="N38" s="2724"/>
      <c r="O38" s="2724"/>
      <c r="P38" s="3827" t="str">
        <f>A38</f>
        <v>比较价值（元/平方米）</v>
      </c>
      <c r="Q38" s="3827"/>
      <c r="R38" s="3828" t="e">
        <f>IF(F1="售价",ROUND(PRODUCT(R37,AA7:AA36),0),ROUND(PRODUCT(R37,AA7:AA36),1))</f>
        <v>#DIV/0!</v>
      </c>
      <c r="S38" s="3828"/>
      <c r="T38" s="3828" t="e">
        <f>IF(F1="售价",ROUND(PRODUCT(T37,AB7:AB36),0),ROUND(PRODUCT(T37,AB7:AB36),1))</f>
        <v>#DIV/0!</v>
      </c>
      <c r="U38" s="3828"/>
      <c r="V38" s="3828" t="e">
        <f>IF(F1="售价",ROUND(PRODUCT(V37,AC7:AC36),0),ROUND(PRODUCT(V37,AC7:AC36),1))</f>
        <v>#DIV/0!</v>
      </c>
      <c r="W38" s="3828"/>
      <c r="X38" s="690"/>
      <c r="Y38" s="690"/>
      <c r="Z38" s="690"/>
      <c r="AA38" s="690"/>
      <c r="AB38" s="690"/>
      <c r="AC38" s="690"/>
    </row>
    <row r="39" spans="1:29" ht="15.75" thickBot="1">
      <c r="A39" s="441" t="s">
        <v>1846</v>
      </c>
      <c r="B39" s="442"/>
      <c r="C39" s="1163" t="e">
        <f>R39</f>
        <v>#DIV/0!</v>
      </c>
      <c r="D39" s="1163"/>
      <c r="E39" s="1163"/>
      <c r="F39" s="1163"/>
      <c r="G39" s="1163"/>
      <c r="H39" s="1163"/>
      <c r="I39" s="1163"/>
      <c r="J39" s="1163"/>
      <c r="K39" s="569"/>
      <c r="L39" s="2723"/>
      <c r="M39" s="2724"/>
      <c r="N39" s="2724"/>
      <c r="O39" s="2724"/>
      <c r="P39" s="3824" t="str">
        <f>A39</f>
        <v>估价对象XX用房的比较价值（楼面单价，元/平方米）</v>
      </c>
      <c r="Q39" s="3825"/>
      <c r="R39" s="3857" t="e">
        <f>IF(F1="售价",ROUND(IF(D38="简单平均",AVERAGE(R38:W38),R38*F38+T38*H38+V38*J38),0),ROUND(IF(D38="简单平均",AVERAGE(R38:V38),R38*F38+T38*H38+V38*J38),1))</f>
        <v>#DIV/0!</v>
      </c>
      <c r="S39" s="3857"/>
      <c r="T39" s="3857"/>
      <c r="U39" s="3857"/>
      <c r="V39" s="3857"/>
      <c r="W39" s="3857"/>
      <c r="X39" s="690"/>
      <c r="Y39" s="690"/>
      <c r="Z39" s="690"/>
      <c r="AA39" s="690"/>
      <c r="AB39" s="690"/>
      <c r="AC39" s="690"/>
    </row>
    <row r="40" spans="1:29">
      <c r="A40" s="2724"/>
      <c r="B40" s="2724"/>
      <c r="C40" s="2724"/>
      <c r="D40" s="2724"/>
      <c r="E40" s="2724"/>
      <c r="F40" s="2724"/>
      <c r="G40" s="2728"/>
      <c r="H40" s="2724"/>
      <c r="I40" s="2724"/>
      <c r="J40" s="2724"/>
      <c r="K40" s="2729"/>
      <c r="L40" s="2725"/>
      <c r="M40" s="2724"/>
      <c r="N40" s="2724"/>
      <c r="O40" s="2724"/>
      <c r="P40" s="2755"/>
      <c r="Q40" s="2724"/>
      <c r="R40" s="2724"/>
      <c r="S40" s="2724"/>
      <c r="T40" s="2724"/>
      <c r="U40" s="2724"/>
      <c r="V40" s="2724"/>
      <c r="W40" s="2724"/>
      <c r="X40" s="2724"/>
      <c r="Y40" s="2724"/>
      <c r="Z40" s="2724"/>
      <c r="AA40" s="2724"/>
      <c r="AB40" s="2724"/>
      <c r="AC40" s="2724"/>
    </row>
    <row r="41" spans="1:29">
      <c r="A41" s="2724"/>
      <c r="B41" s="2724"/>
      <c r="C41" s="2724"/>
      <c r="D41" s="2724"/>
      <c r="E41" s="2724"/>
      <c r="F41" s="2724"/>
      <c r="G41" s="2724"/>
      <c r="H41" s="2724"/>
      <c r="I41" s="2724"/>
      <c r="J41" s="2724"/>
      <c r="K41" s="2729"/>
      <c r="L41" s="2725"/>
      <c r="M41" s="2724"/>
      <c r="N41" s="2724"/>
      <c r="O41" s="2724"/>
      <c r="P41" s="2755"/>
      <c r="Q41" s="2724"/>
      <c r="R41" s="2724"/>
      <c r="S41" s="2724"/>
      <c r="T41" s="2724"/>
      <c r="U41" s="2724"/>
      <c r="V41" s="2724"/>
      <c r="W41" s="2724"/>
      <c r="X41" s="2724"/>
      <c r="Y41" s="2724"/>
      <c r="Z41" s="2724"/>
      <c r="AA41" s="2724"/>
      <c r="AB41" s="2724"/>
      <c r="AC41" s="2724"/>
    </row>
    <row r="42" spans="1:29" ht="13.5" customHeight="1">
      <c r="A42" s="2724"/>
      <c r="B42" s="2724"/>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9"/>
      <c r="L42" s="2725"/>
      <c r="M42" s="2724"/>
      <c r="N42" s="2724"/>
      <c r="O42" s="2724"/>
      <c r="P42" s="2755"/>
      <c r="Q42" s="2724"/>
      <c r="R42" s="2724"/>
      <c r="S42" s="2724"/>
      <c r="T42" s="2724"/>
      <c r="U42" s="2724"/>
      <c r="V42" s="2724"/>
      <c r="W42" s="2724"/>
      <c r="X42" s="2724"/>
      <c r="Y42" s="2724"/>
      <c r="Z42" s="2724"/>
      <c r="AA42" s="2724"/>
      <c r="AB42" s="2724"/>
      <c r="AC42" s="2724"/>
    </row>
    <row r="43" spans="1:29" ht="13.5" customHeight="1">
      <c r="A43" s="2724"/>
      <c r="B43" s="2724"/>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9"/>
      <c r="L43" s="2725"/>
      <c r="M43" s="2724"/>
      <c r="N43" s="2724"/>
      <c r="O43" s="2724"/>
      <c r="P43" s="2755"/>
      <c r="Q43" s="2724"/>
      <c r="R43" s="2724"/>
      <c r="S43" s="2724"/>
      <c r="T43" s="2724"/>
      <c r="U43" s="2724"/>
      <c r="V43" s="2724"/>
      <c r="W43" s="2724"/>
      <c r="X43" s="2724"/>
      <c r="Y43" s="2724"/>
      <c r="Z43" s="2724"/>
      <c r="AA43" s="2724"/>
      <c r="AB43" s="2724"/>
      <c r="AC43" s="2724"/>
    </row>
    <row r="44" spans="1:29" s="451" customFormat="1" ht="13.5" customHeight="1">
      <c r="A44" s="2727"/>
      <c r="B44" s="2727"/>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2"/>
      <c r="L44" s="2726"/>
      <c r="M44" s="2727"/>
      <c r="N44" s="2727"/>
      <c r="O44" s="2727"/>
      <c r="P44" s="2756"/>
      <c r="Q44" s="2727"/>
      <c r="R44" s="2727"/>
      <c r="S44" s="2727"/>
      <c r="T44" s="2727"/>
      <c r="U44" s="2727"/>
      <c r="V44" s="2727"/>
      <c r="W44" s="2727"/>
      <c r="X44" s="2727"/>
      <c r="Y44" s="2727"/>
      <c r="Z44" s="2727"/>
      <c r="AA44" s="2727"/>
      <c r="AB44" s="2727"/>
      <c r="AC44" s="2727"/>
    </row>
    <row r="45" spans="1:29" s="451" customFormat="1">
      <c r="A45" s="2727"/>
      <c r="B45" s="2730"/>
      <c r="C45" s="2731"/>
      <c r="D45" s="2727"/>
      <c r="E45" s="2727"/>
      <c r="F45" s="2727"/>
      <c r="G45" s="2727"/>
      <c r="H45" s="2727"/>
      <c r="I45" s="2727"/>
      <c r="J45" s="2727"/>
      <c r="K45" s="2732"/>
      <c r="L45" s="2726"/>
      <c r="M45" s="2727"/>
      <c r="N45" s="2727"/>
      <c r="O45" s="2727"/>
      <c r="P45" s="2756"/>
      <c r="Q45" s="2727"/>
      <c r="R45" s="2727"/>
      <c r="S45" s="2727"/>
      <c r="T45" s="2727"/>
      <c r="U45" s="2727"/>
      <c r="V45" s="2727"/>
      <c r="W45" s="2727"/>
      <c r="X45" s="2727"/>
      <c r="Y45" s="2727"/>
      <c r="Z45" s="2727"/>
      <c r="AA45" s="2727"/>
      <c r="AB45" s="2727"/>
      <c r="AC45" s="2727"/>
    </row>
    <row r="46" spans="1:29">
      <c r="A46" s="2724"/>
      <c r="B46" s="2730"/>
      <c r="C46" s="2731"/>
      <c r="D46" s="2724"/>
      <c r="E46" s="2724"/>
      <c r="F46" s="2724"/>
      <c r="G46" s="2724"/>
      <c r="H46" s="2724"/>
      <c r="I46" s="2724"/>
      <c r="J46" s="2724"/>
      <c r="K46" s="2729"/>
      <c r="L46" s="2725"/>
      <c r="M46" s="2724"/>
      <c r="N46" s="2724"/>
      <c r="O46" s="2724"/>
      <c r="P46" s="2755"/>
      <c r="Q46" s="2724"/>
      <c r="R46" s="2724"/>
      <c r="S46" s="2724"/>
      <c r="T46" s="2724"/>
      <c r="U46" s="2724"/>
      <c r="V46" s="2724"/>
      <c r="W46" s="2724"/>
      <c r="X46" s="2724"/>
      <c r="Y46" s="2724"/>
      <c r="Z46" s="2724"/>
      <c r="AA46" s="2724"/>
      <c r="AB46" s="2724"/>
      <c r="AC46" s="2724"/>
    </row>
    <row r="47" spans="1:29" ht="21.75" thickBot="1">
      <c r="A47" s="1166" t="s">
        <v>1850</v>
      </c>
      <c r="B47" s="927"/>
      <c r="C47" s="940"/>
      <c r="D47" s="940"/>
      <c r="E47" s="940"/>
      <c r="F47" s="1167"/>
      <c r="G47" s="1167"/>
      <c r="H47" s="940"/>
      <c r="I47" s="940"/>
      <c r="J47" s="940"/>
      <c r="K47" s="941"/>
      <c r="L47" s="942"/>
      <c r="M47" s="940"/>
      <c r="N47" s="2768"/>
      <c r="O47" s="2768"/>
      <c r="P47" s="2757"/>
      <c r="Q47" s="2738"/>
      <c r="R47" s="2724"/>
      <c r="S47" s="2724"/>
      <c r="T47" s="2724"/>
      <c r="U47" s="2724"/>
      <c r="V47" s="2724"/>
      <c r="W47" s="2724"/>
      <c r="X47" s="2724"/>
      <c r="Y47" s="2724"/>
      <c r="Z47" s="2724"/>
      <c r="AA47" s="2724"/>
      <c r="AB47" s="2724"/>
      <c r="AC47" s="2724"/>
    </row>
    <row r="48" spans="1:29" s="457" customFormat="1" ht="15">
      <c r="A48" s="454" t="s">
        <v>1851</v>
      </c>
      <c r="B48" s="455"/>
      <c r="C48" s="1184" t="str">
        <f>YEAR(C7)&amp;"-"&amp;MONTH(C7)</f>
        <v>2022-12</v>
      </c>
      <c r="D48" s="1185">
        <f>EDATE(C48,-1)</f>
        <v>44866</v>
      </c>
      <c r="E48" s="1185">
        <f t="shared" ref="E48:O48" si="16">EDATE(D48,-1)</f>
        <v>44835</v>
      </c>
      <c r="F48" s="1185">
        <f t="shared" si="16"/>
        <v>44805</v>
      </c>
      <c r="G48" s="1185">
        <f t="shared" si="16"/>
        <v>44774</v>
      </c>
      <c r="H48" s="1185">
        <f t="shared" si="16"/>
        <v>44743</v>
      </c>
      <c r="I48" s="1185">
        <f t="shared" si="16"/>
        <v>44713</v>
      </c>
      <c r="J48" s="1185">
        <f t="shared" si="16"/>
        <v>44682</v>
      </c>
      <c r="K48" s="1185">
        <f t="shared" si="16"/>
        <v>44652</v>
      </c>
      <c r="L48" s="1185">
        <f t="shared" si="16"/>
        <v>44621</v>
      </c>
      <c r="M48" s="1185">
        <f t="shared" si="16"/>
        <v>44593</v>
      </c>
      <c r="N48" s="1185">
        <f t="shared" si="16"/>
        <v>44562</v>
      </c>
      <c r="O48" s="1185">
        <f t="shared" si="16"/>
        <v>44531</v>
      </c>
      <c r="P48" s="2758"/>
      <c r="Q48" s="2740"/>
      <c r="R48" s="2740"/>
      <c r="S48" s="2740"/>
      <c r="T48" s="2740"/>
      <c r="U48" s="2740"/>
      <c r="V48" s="2740"/>
      <c r="W48" s="2740"/>
      <c r="X48" s="2740"/>
      <c r="Y48" s="2740"/>
      <c r="Z48" s="2740"/>
      <c r="AA48" s="2740"/>
      <c r="AB48" s="2740"/>
      <c r="AC48" s="2740"/>
    </row>
    <row r="49" spans="1:29" s="108" customFormat="1" ht="15">
      <c r="A49" s="458"/>
      <c r="B49" s="459"/>
      <c r="C49" s="1177">
        <v>100</v>
      </c>
      <c r="D49" s="461"/>
      <c r="E49" s="461"/>
      <c r="F49" s="461"/>
      <c r="G49" s="461"/>
      <c r="H49" s="461"/>
      <c r="I49" s="461"/>
      <c r="J49" s="461"/>
      <c r="K49" s="461"/>
      <c r="L49" s="461"/>
      <c r="M49" s="462"/>
      <c r="N49" s="461"/>
      <c r="O49" s="462"/>
      <c r="P49" s="2759"/>
      <c r="Q49" s="2660"/>
      <c r="R49" s="2660"/>
      <c r="S49" s="2660"/>
      <c r="T49" s="2660"/>
      <c r="U49" s="2660"/>
      <c r="V49" s="2660"/>
      <c r="W49" s="2660"/>
      <c r="X49" s="2660"/>
      <c r="Y49" s="2660"/>
      <c r="Z49" s="2660"/>
      <c r="AA49" s="2660"/>
      <c r="AB49" s="2660"/>
      <c r="AC49" s="2660"/>
    </row>
    <row r="50" spans="1:29" s="108" customFormat="1" ht="15.75" thickBot="1">
      <c r="A50" s="464" t="s">
        <v>1716</v>
      </c>
      <c r="B50" s="465"/>
      <c r="C50" s="466"/>
      <c r="D50" s="467"/>
      <c r="E50" s="467"/>
      <c r="F50" s="467"/>
      <c r="G50" s="467"/>
      <c r="H50" s="467"/>
      <c r="I50" s="467"/>
      <c r="J50" s="467"/>
      <c r="K50" s="467"/>
      <c r="L50" s="467"/>
      <c r="M50" s="468"/>
      <c r="N50" s="467"/>
      <c r="O50" s="468"/>
      <c r="P50" s="2759"/>
      <c r="Q50" s="2738"/>
      <c r="R50" s="2660"/>
      <c r="S50" s="2660"/>
      <c r="T50" s="2660"/>
      <c r="U50" s="2660"/>
      <c r="V50" s="2660"/>
      <c r="W50" s="2660"/>
      <c r="X50" s="2660"/>
      <c r="Y50" s="2660"/>
      <c r="Z50" s="2660"/>
      <c r="AA50" s="2660"/>
      <c r="AB50" s="2660"/>
      <c r="AC50" s="2660"/>
    </row>
    <row r="51" spans="1:29" s="108" customFormat="1" ht="15">
      <c r="A51" s="470" t="s">
        <v>1681</v>
      </c>
      <c r="B51" s="459"/>
      <c r="C51" s="471" t="s">
        <v>1776</v>
      </c>
      <c r="D51" s="472"/>
      <c r="E51" s="472"/>
      <c r="F51" s="472"/>
      <c r="G51" s="472"/>
      <c r="H51" s="472"/>
      <c r="I51" s="472"/>
      <c r="J51" s="472"/>
      <c r="K51" s="472"/>
      <c r="L51" s="473"/>
      <c r="M51" s="474"/>
      <c r="N51" s="2751"/>
      <c r="O51" s="2751"/>
      <c r="P51" s="2760"/>
      <c r="Q51" s="2738"/>
      <c r="R51" s="2660"/>
      <c r="S51" s="2660"/>
      <c r="T51" s="2660"/>
      <c r="U51" s="2660"/>
      <c r="V51" s="2660"/>
      <c r="W51" s="2660"/>
      <c r="X51" s="2660"/>
      <c r="Y51" s="2660"/>
      <c r="Z51" s="2660"/>
      <c r="AA51" s="2660"/>
      <c r="AB51" s="2660"/>
      <c r="AC51" s="2660"/>
    </row>
    <row r="52" spans="1:29" s="108" customFormat="1" ht="15.75" thickBot="1">
      <c r="A52" s="470"/>
      <c r="B52" s="459"/>
      <c r="C52" s="587">
        <v>100</v>
      </c>
      <c r="D52" s="461"/>
      <c r="E52" s="461"/>
      <c r="F52" s="461"/>
      <c r="G52" s="461"/>
      <c r="H52" s="461"/>
      <c r="I52" s="461"/>
      <c r="J52" s="461"/>
      <c r="K52" s="461"/>
      <c r="L52" s="461"/>
      <c r="M52" s="463"/>
      <c r="N52" s="2751"/>
      <c r="O52" s="2751"/>
      <c r="P52" s="2759"/>
      <c r="Q52" s="2738"/>
      <c r="R52" s="2660"/>
      <c r="S52" s="2660"/>
      <c r="T52" s="2660"/>
      <c r="U52" s="2660"/>
      <c r="V52" s="2660"/>
      <c r="W52" s="2660"/>
      <c r="X52" s="2660"/>
      <c r="Y52" s="2660"/>
      <c r="Z52" s="2660"/>
      <c r="AA52" s="2660"/>
      <c r="AB52" s="2660"/>
      <c r="AC52" s="2660"/>
    </row>
    <row r="53" spans="1:29">
      <c r="A53" s="476" t="s">
        <v>1719</v>
      </c>
      <c r="B53" s="477" t="s">
        <v>1685</v>
      </c>
      <c r="C53" s="478">
        <f>C9</f>
        <v>0</v>
      </c>
      <c r="D53" s="479"/>
      <c r="E53" s="479"/>
      <c r="F53" s="479"/>
      <c r="G53" s="479"/>
      <c r="H53" s="479"/>
      <c r="I53" s="479"/>
      <c r="J53" s="479"/>
      <c r="K53" s="480"/>
      <c r="L53" s="481"/>
      <c r="M53" s="482"/>
      <c r="N53" s="2752"/>
      <c r="O53" s="2752"/>
      <c r="P53" s="2761"/>
      <c r="Q53" s="2738"/>
      <c r="R53" s="2724"/>
      <c r="S53" s="2724"/>
      <c r="T53" s="2724"/>
      <c r="U53" s="2724"/>
      <c r="V53" s="2724"/>
      <c r="W53" s="2724"/>
      <c r="X53" s="2724"/>
      <c r="Y53" s="2724"/>
      <c r="Z53" s="2724"/>
      <c r="AA53" s="2724"/>
      <c r="AB53" s="2724"/>
      <c r="AC53" s="2724"/>
    </row>
    <row r="54" spans="1:29" ht="15.75" thickBot="1">
      <c r="A54" s="483"/>
      <c r="B54" s="484"/>
      <c r="C54" s="485">
        <v>100</v>
      </c>
      <c r="D54" s="485"/>
      <c r="E54" s="485"/>
      <c r="F54" s="485"/>
      <c r="G54" s="485"/>
      <c r="H54" s="485"/>
      <c r="I54" s="485"/>
      <c r="J54" s="485"/>
      <c r="K54" s="485"/>
      <c r="L54" s="485"/>
      <c r="M54" s="486"/>
      <c r="N54" s="2753"/>
      <c r="O54" s="2753"/>
      <c r="P54" s="2761"/>
      <c r="Q54" s="2738"/>
      <c r="R54" s="2724"/>
      <c r="S54" s="2724"/>
      <c r="T54" s="2724"/>
      <c r="U54" s="2724"/>
      <c r="V54" s="2724"/>
      <c r="W54" s="2724"/>
      <c r="X54" s="2724"/>
      <c r="Y54" s="2724"/>
      <c r="Z54" s="2724"/>
      <c r="AA54" s="2724"/>
      <c r="AB54" s="2724"/>
      <c r="AC54" s="2724"/>
    </row>
    <row r="55" spans="1:29" ht="27.75" thickTop="1">
      <c r="A55" s="483"/>
      <c r="B55" s="487" t="s">
        <v>1688</v>
      </c>
      <c r="C55" s="532"/>
      <c r="D55" s="532"/>
      <c r="E55" s="532"/>
      <c r="F55" s="532"/>
      <c r="G55" s="532"/>
      <c r="H55" s="532"/>
      <c r="I55" s="532"/>
      <c r="J55" s="532"/>
      <c r="K55" s="533"/>
      <c r="L55" s="534"/>
      <c r="M55" s="535"/>
      <c r="N55" s="2752"/>
      <c r="O55" s="2752"/>
      <c r="P55" s="2761"/>
      <c r="Q55" s="2738"/>
      <c r="R55" s="2724"/>
      <c r="S55" s="2724"/>
      <c r="T55" s="2724"/>
      <c r="U55" s="2724"/>
      <c r="V55" s="2724"/>
      <c r="W55" s="2724"/>
      <c r="X55" s="2724"/>
      <c r="Y55" s="2724"/>
      <c r="Z55" s="2724"/>
      <c r="AA55" s="2724"/>
      <c r="AB55" s="2724"/>
      <c r="AC55" s="2724"/>
    </row>
    <row r="56" spans="1:29" ht="15.75" thickBot="1">
      <c r="A56" s="483"/>
      <c r="B56" s="492"/>
      <c r="C56" s="485"/>
      <c r="D56" s="485"/>
      <c r="E56" s="485"/>
      <c r="F56" s="485"/>
      <c r="G56" s="485"/>
      <c r="H56" s="485"/>
      <c r="I56" s="485"/>
      <c r="J56" s="485"/>
      <c r="K56" s="485"/>
      <c r="L56" s="485"/>
      <c r="M56" s="486"/>
      <c r="N56" s="2753"/>
      <c r="O56" s="2753"/>
      <c r="P56" s="2761"/>
      <c r="Q56" s="2738"/>
      <c r="R56" s="2724"/>
      <c r="S56" s="2724"/>
      <c r="T56" s="2724"/>
      <c r="U56" s="2724"/>
      <c r="V56" s="2724"/>
      <c r="W56" s="2724"/>
      <c r="X56" s="2724"/>
      <c r="Y56" s="2724"/>
      <c r="Z56" s="2724"/>
      <c r="AA56" s="2724"/>
      <c r="AB56" s="2724"/>
      <c r="AC56" s="2724"/>
    </row>
    <row r="57" spans="1:29" ht="15.75" thickTop="1">
      <c r="A57" s="483"/>
      <c r="B57" s="608">
        <f>B11</f>
        <v>111</v>
      </c>
      <c r="C57" s="498"/>
      <c r="D57" s="498"/>
      <c r="E57" s="498"/>
      <c r="F57" s="498"/>
      <c r="G57" s="498"/>
      <c r="H57" s="498"/>
      <c r="I57" s="498"/>
      <c r="J57" s="498"/>
      <c r="K57" s="499"/>
      <c r="L57" s="500"/>
      <c r="M57" s="501"/>
      <c r="N57" s="2752"/>
      <c r="O57" s="2752"/>
      <c r="P57" s="2761"/>
      <c r="Q57" s="2738"/>
      <c r="R57" s="2724"/>
      <c r="S57" s="2724"/>
      <c r="T57" s="2724"/>
      <c r="U57" s="2724"/>
      <c r="V57" s="2724"/>
      <c r="W57" s="2724"/>
      <c r="X57" s="2724"/>
      <c r="Y57" s="2724"/>
      <c r="Z57" s="2724"/>
      <c r="AA57" s="2724"/>
      <c r="AB57" s="2724"/>
      <c r="AC57" s="2724"/>
    </row>
    <row r="58" spans="1:29" ht="15.75" thickBot="1">
      <c r="A58" s="483"/>
      <c r="B58" s="484"/>
      <c r="C58" s="509"/>
      <c r="D58" s="485"/>
      <c r="E58" s="485"/>
      <c r="F58" s="485"/>
      <c r="G58" s="485"/>
      <c r="H58" s="485"/>
      <c r="I58" s="485"/>
      <c r="J58" s="485"/>
      <c r="K58" s="485"/>
      <c r="L58" s="485"/>
      <c r="M58" s="486"/>
      <c r="N58" s="2753"/>
      <c r="O58" s="2753"/>
      <c r="P58" s="2761"/>
      <c r="Q58" s="2738"/>
      <c r="R58" s="2724"/>
      <c r="S58" s="2724"/>
      <c r="T58" s="2724"/>
      <c r="U58" s="2724"/>
      <c r="V58" s="2724"/>
      <c r="W58" s="2724"/>
      <c r="X58" s="2724"/>
      <c r="Y58" s="2724"/>
      <c r="Z58" s="2724"/>
      <c r="AA58" s="2724"/>
      <c r="AB58" s="2724"/>
      <c r="AC58" s="2724"/>
    </row>
    <row r="59" spans="1:29" s="422" customFormat="1" ht="15.75" thickTop="1">
      <c r="A59" s="502"/>
      <c r="B59" s="487">
        <f>B12</f>
        <v>111</v>
      </c>
      <c r="C59" s="498"/>
      <c r="D59" s="498"/>
      <c r="E59" s="498"/>
      <c r="F59" s="498"/>
      <c r="G59" s="503"/>
      <c r="H59" s="504"/>
      <c r="I59" s="504"/>
      <c r="J59" s="504"/>
      <c r="K59" s="504"/>
      <c r="L59" s="505"/>
      <c r="M59" s="506"/>
      <c r="N59" s="2754"/>
      <c r="O59" s="2754"/>
      <c r="P59" s="2762"/>
      <c r="Q59" s="2745"/>
      <c r="R59" s="2746"/>
      <c r="S59" s="2746"/>
      <c r="T59" s="2746"/>
      <c r="U59" s="2746"/>
      <c r="V59" s="2746"/>
      <c r="W59" s="2746"/>
      <c r="X59" s="2746"/>
      <c r="Y59" s="2746"/>
      <c r="Z59" s="2746"/>
      <c r="AA59" s="2746"/>
      <c r="AB59" s="2746"/>
      <c r="AC59" s="2746"/>
    </row>
    <row r="60" spans="1:29" s="422" customFormat="1" ht="15.75" thickBot="1">
      <c r="A60" s="502"/>
      <c r="B60" s="492"/>
      <c r="C60" s="509"/>
      <c r="D60" s="485"/>
      <c r="E60" s="485"/>
      <c r="F60" s="485"/>
      <c r="G60" s="485"/>
      <c r="H60" s="485"/>
      <c r="I60" s="485"/>
      <c r="J60" s="485"/>
      <c r="K60" s="485"/>
      <c r="L60" s="485"/>
      <c r="M60" s="486"/>
      <c r="N60" s="2753"/>
      <c r="O60" s="2753"/>
      <c r="P60" s="2762"/>
      <c r="Q60" s="2745"/>
      <c r="R60" s="2746"/>
      <c r="S60" s="2746"/>
      <c r="T60" s="2746"/>
      <c r="U60" s="2746"/>
      <c r="V60" s="2746"/>
      <c r="W60" s="2746"/>
      <c r="X60" s="2746"/>
      <c r="Y60" s="2746"/>
      <c r="Z60" s="2746"/>
      <c r="AA60" s="2746"/>
      <c r="AB60" s="2746"/>
      <c r="AC60" s="2746"/>
    </row>
    <row r="61" spans="1:29" s="422" customFormat="1" ht="15.75" thickTop="1">
      <c r="A61" s="502"/>
      <c r="B61" s="487">
        <f>B13</f>
        <v>111</v>
      </c>
      <c r="C61" s="503"/>
      <c r="D61" s="503"/>
      <c r="E61" s="503"/>
      <c r="F61" s="503"/>
      <c r="G61" s="503"/>
      <c r="H61" s="504"/>
      <c r="I61" s="504"/>
      <c r="J61" s="504"/>
      <c r="K61" s="504"/>
      <c r="L61" s="505"/>
      <c r="M61" s="506"/>
      <c r="N61" s="2754"/>
      <c r="O61" s="2754"/>
      <c r="P61" s="2763"/>
      <c r="Q61" s="2748"/>
      <c r="R61" s="2746"/>
      <c r="S61" s="2746"/>
      <c r="T61" s="2746"/>
      <c r="U61" s="2746"/>
      <c r="V61" s="2746"/>
      <c r="W61" s="2746"/>
      <c r="X61" s="2746"/>
      <c r="Y61" s="2746"/>
      <c r="Z61" s="2746"/>
      <c r="AA61" s="2746"/>
      <c r="AB61" s="2746"/>
      <c r="AC61" s="2746"/>
    </row>
    <row r="62" spans="1:29" s="422" customFormat="1" ht="15.75" thickBot="1">
      <c r="A62" s="502"/>
      <c r="B62" s="492"/>
      <c r="C62" s="509"/>
      <c r="D62" s="509"/>
      <c r="E62" s="509"/>
      <c r="F62" s="509"/>
      <c r="G62" s="509"/>
      <c r="H62" s="511"/>
      <c r="I62" s="511"/>
      <c r="J62" s="511"/>
      <c r="K62" s="511"/>
      <c r="L62" s="511"/>
      <c r="M62" s="512"/>
      <c r="N62" s="2754"/>
      <c r="O62" s="2754"/>
      <c r="P62" s="2762"/>
      <c r="Q62" s="2745"/>
      <c r="R62" s="2746"/>
      <c r="S62" s="2746"/>
      <c r="T62" s="2746"/>
      <c r="U62" s="2746"/>
      <c r="V62" s="2746"/>
      <c r="W62" s="2746"/>
      <c r="X62" s="2746"/>
      <c r="Y62" s="2746"/>
      <c r="Z62" s="2746"/>
      <c r="AA62" s="2746"/>
      <c r="AB62" s="2746"/>
      <c r="AC62" s="2746"/>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2"/>
      <c r="O63" s="2752"/>
      <c r="P63" s="2765"/>
      <c r="Q63" s="2738"/>
      <c r="R63" s="2724"/>
      <c r="S63" s="2724"/>
      <c r="T63" s="2724"/>
      <c r="U63" s="2724"/>
      <c r="V63" s="2724"/>
      <c r="W63" s="2724"/>
      <c r="X63" s="2724"/>
      <c r="Y63" s="2724"/>
      <c r="Z63" s="2724"/>
      <c r="AA63" s="2724"/>
      <c r="AB63" s="2724"/>
      <c r="AC63" s="2724"/>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3"/>
      <c r="O64" s="2753"/>
      <c r="P64" s="2761"/>
      <c r="Q64" s="2738"/>
      <c r="R64" s="2724"/>
      <c r="S64" s="2724"/>
      <c r="T64" s="2724"/>
      <c r="U64" s="2724"/>
      <c r="V64" s="2724"/>
      <c r="W64" s="2724"/>
      <c r="X64" s="2724"/>
      <c r="Y64" s="2724"/>
      <c r="Z64" s="2724"/>
      <c r="AA64" s="2724"/>
      <c r="AB64" s="2724"/>
      <c r="AC64" s="2724"/>
    </row>
    <row r="65" spans="1:29" ht="15.75" thickTop="1">
      <c r="A65" s="483"/>
      <c r="B65" s="487" t="s">
        <v>1727</v>
      </c>
      <c r="C65" s="527" t="s">
        <v>1721</v>
      </c>
      <c r="D65" s="527" t="s">
        <v>1722</v>
      </c>
      <c r="E65" s="527" t="s">
        <v>1723</v>
      </c>
      <c r="F65" s="527" t="s">
        <v>1724</v>
      </c>
      <c r="G65" s="527" t="s">
        <v>1725</v>
      </c>
      <c r="H65" s="488"/>
      <c r="I65" s="488"/>
      <c r="J65" s="488"/>
      <c r="K65" s="489"/>
      <c r="L65" s="490"/>
      <c r="M65" s="491"/>
      <c r="N65" s="2752"/>
      <c r="O65" s="2752"/>
      <c r="P65" s="2761"/>
      <c r="Q65" s="2738"/>
      <c r="R65" s="2724"/>
      <c r="S65" s="2724"/>
      <c r="T65" s="2724"/>
      <c r="U65" s="2724"/>
      <c r="V65" s="2724"/>
      <c r="W65" s="2724"/>
      <c r="X65" s="2724"/>
      <c r="Y65" s="2724"/>
      <c r="Z65" s="2724"/>
      <c r="AA65" s="2724"/>
      <c r="AB65" s="2724"/>
      <c r="AC65" s="2724"/>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3"/>
      <c r="O66" s="2753"/>
      <c r="P66" s="2761"/>
      <c r="Q66" s="2738"/>
      <c r="R66" s="2724"/>
      <c r="S66" s="2724"/>
      <c r="T66" s="2724"/>
      <c r="U66" s="2724"/>
      <c r="V66" s="2724"/>
      <c r="W66" s="2724"/>
      <c r="X66" s="2724"/>
      <c r="Y66" s="2724"/>
      <c r="Z66" s="2724"/>
      <c r="AA66" s="2724"/>
      <c r="AB66" s="2724"/>
      <c r="AC66" s="2724"/>
    </row>
    <row r="67" spans="1:29" ht="15.75" thickTop="1">
      <c r="A67" s="483"/>
      <c r="B67" s="495" t="s">
        <v>1813</v>
      </c>
      <c r="C67" s="608" t="s">
        <v>1799</v>
      </c>
      <c r="D67" s="608" t="s">
        <v>1800</v>
      </c>
      <c r="E67" s="608" t="s">
        <v>1801</v>
      </c>
      <c r="F67" s="608" t="s">
        <v>1802</v>
      </c>
      <c r="G67" s="608" t="s">
        <v>1803</v>
      </c>
      <c r="H67" s="488"/>
      <c r="I67" s="488"/>
      <c r="J67" s="488"/>
      <c r="K67" s="488"/>
      <c r="L67" s="488"/>
      <c r="M67" s="1129"/>
      <c r="N67" s="2753"/>
      <c r="O67" s="2753"/>
      <c r="P67" s="2761"/>
      <c r="Q67" s="2738"/>
      <c r="R67" s="2724"/>
      <c r="S67" s="2724"/>
      <c r="T67" s="2724"/>
      <c r="U67" s="2724"/>
      <c r="V67" s="2724"/>
      <c r="W67" s="2724"/>
      <c r="X67" s="2724"/>
      <c r="Y67" s="2724"/>
      <c r="Z67" s="2724"/>
      <c r="AA67" s="2724"/>
      <c r="AB67" s="2724"/>
      <c r="AC67" s="2724"/>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3"/>
      <c r="O68" s="2753"/>
      <c r="P68" s="2761"/>
      <c r="Q68" s="2738"/>
      <c r="R68" s="2724"/>
      <c r="S68" s="2724"/>
      <c r="T68" s="2724"/>
      <c r="U68" s="2724"/>
      <c r="V68" s="2724"/>
      <c r="W68" s="2724"/>
      <c r="X68" s="2724"/>
      <c r="Y68" s="2724"/>
      <c r="Z68" s="2724"/>
      <c r="AA68" s="2724"/>
      <c r="AB68" s="2724"/>
      <c r="AC68" s="2724"/>
    </row>
    <row r="69" spans="1:29" ht="15.75" thickTop="1">
      <c r="A69" s="483"/>
      <c r="B69" s="487" t="s">
        <v>1733</v>
      </c>
      <c r="C69" s="527" t="s">
        <v>1721</v>
      </c>
      <c r="D69" s="527" t="s">
        <v>1722</v>
      </c>
      <c r="E69" s="527" t="s">
        <v>1723</v>
      </c>
      <c r="F69" s="527" t="s">
        <v>1724</v>
      </c>
      <c r="G69" s="527" t="s">
        <v>1725</v>
      </c>
      <c r="H69" s="488"/>
      <c r="I69" s="488"/>
      <c r="J69" s="488"/>
      <c r="K69" s="489"/>
      <c r="L69" s="490"/>
      <c r="M69" s="491"/>
      <c r="N69" s="2752"/>
      <c r="O69" s="2752"/>
      <c r="P69" s="2761"/>
      <c r="Q69" s="2738"/>
      <c r="R69" s="2724"/>
      <c r="S69" s="2724"/>
      <c r="T69" s="2724"/>
      <c r="U69" s="2724"/>
      <c r="V69" s="2724"/>
      <c r="W69" s="2724"/>
      <c r="X69" s="2724"/>
      <c r="Y69" s="2724"/>
      <c r="Z69" s="2724"/>
      <c r="AA69" s="2724"/>
      <c r="AB69" s="2724"/>
      <c r="AC69" s="2724"/>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3"/>
      <c r="O70" s="2753"/>
      <c r="P70" s="2761"/>
      <c r="Q70" s="2738"/>
      <c r="R70" s="2724"/>
      <c r="S70" s="2724"/>
      <c r="T70" s="2724"/>
      <c r="U70" s="2724"/>
      <c r="V70" s="2724"/>
      <c r="W70" s="2724"/>
      <c r="X70" s="2724"/>
      <c r="Y70" s="2724"/>
      <c r="Z70" s="2724"/>
      <c r="AA70" s="2724"/>
      <c r="AB70" s="2724"/>
      <c r="AC70" s="2724"/>
    </row>
    <row r="71" spans="1:29" ht="15.75" thickTop="1">
      <c r="A71" s="483"/>
      <c r="B71" s="487" t="s">
        <v>1852</v>
      </c>
      <c r="C71" s="503"/>
      <c r="D71" s="503"/>
      <c r="E71" s="503"/>
      <c r="F71" s="503"/>
      <c r="G71" s="503"/>
      <c r="H71" s="532"/>
      <c r="I71" s="532"/>
      <c r="J71" s="532"/>
      <c r="K71" s="533"/>
      <c r="L71" s="534"/>
      <c r="M71" s="535"/>
      <c r="N71" s="2752"/>
      <c r="O71" s="2752"/>
      <c r="P71" s="2761"/>
      <c r="Q71" s="2738"/>
      <c r="R71" s="2724"/>
      <c r="S71" s="2724"/>
      <c r="T71" s="2724"/>
      <c r="U71" s="2724"/>
      <c r="V71" s="2724"/>
      <c r="W71" s="2724"/>
      <c r="X71" s="2724"/>
      <c r="Y71" s="2724"/>
      <c r="Z71" s="2724"/>
      <c r="AA71" s="2724"/>
      <c r="AB71" s="2724"/>
      <c r="AC71" s="2724"/>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3"/>
      <c r="O72" s="2753"/>
      <c r="P72" s="2761"/>
      <c r="Q72" s="2738"/>
      <c r="R72" s="2724"/>
      <c r="S72" s="2724"/>
      <c r="T72" s="2724"/>
      <c r="U72" s="2724"/>
      <c r="V72" s="2724"/>
      <c r="W72" s="2724"/>
      <c r="X72" s="2724"/>
      <c r="Y72" s="2724"/>
      <c r="Z72" s="2724"/>
      <c r="AA72" s="2724"/>
      <c r="AB72" s="2724"/>
      <c r="AC72" s="2724"/>
    </row>
    <row r="73" spans="1:29" s="108" customFormat="1" ht="15.75" thickTop="1">
      <c r="A73" s="528"/>
      <c r="B73" s="487">
        <f>B23</f>
        <v>111</v>
      </c>
      <c r="C73" s="498"/>
      <c r="D73" s="498"/>
      <c r="E73" s="498"/>
      <c r="F73" s="498"/>
      <c r="G73" s="503"/>
      <c r="H73" s="503"/>
      <c r="I73" s="503"/>
      <c r="J73" s="503"/>
      <c r="K73" s="503"/>
      <c r="L73" s="529"/>
      <c r="M73" s="530"/>
      <c r="N73" s="2751"/>
      <c r="O73" s="2751"/>
      <c r="P73" s="2761"/>
      <c r="Q73" s="2738"/>
      <c r="R73" s="2660"/>
      <c r="S73" s="2660"/>
      <c r="T73" s="2660"/>
      <c r="U73" s="2660"/>
      <c r="V73" s="2660"/>
      <c r="W73" s="2660"/>
      <c r="X73" s="2660"/>
      <c r="Y73" s="2660"/>
      <c r="Z73" s="2660"/>
      <c r="AA73" s="2660"/>
      <c r="AB73" s="2660"/>
      <c r="AC73" s="2660"/>
    </row>
    <row r="74" spans="1:29" s="108" customFormat="1" ht="15.75" thickBot="1">
      <c r="A74" s="528"/>
      <c r="B74" s="492"/>
      <c r="C74" s="509"/>
      <c r="D74" s="485"/>
      <c r="E74" s="485"/>
      <c r="F74" s="485"/>
      <c r="G74" s="485"/>
      <c r="H74" s="485"/>
      <c r="I74" s="485"/>
      <c r="J74" s="485"/>
      <c r="K74" s="485"/>
      <c r="L74" s="485"/>
      <c r="M74" s="486"/>
      <c r="N74" s="2753"/>
      <c r="O74" s="2753"/>
      <c r="P74" s="2761"/>
      <c r="Q74" s="2738"/>
      <c r="R74" s="2660"/>
      <c r="S74" s="2660"/>
      <c r="T74" s="2660"/>
      <c r="U74" s="2660"/>
      <c r="V74" s="2660"/>
      <c r="W74" s="2660"/>
      <c r="X74" s="2660"/>
      <c r="Y74" s="2660"/>
      <c r="Z74" s="2660"/>
      <c r="AA74" s="2660"/>
      <c r="AB74" s="2660"/>
      <c r="AC74" s="2660"/>
    </row>
    <row r="75" spans="1:29" s="108" customFormat="1" ht="15.75" thickTop="1">
      <c r="A75" s="528"/>
      <c r="B75" s="487">
        <f>B24</f>
        <v>111</v>
      </c>
      <c r="C75" s="498"/>
      <c r="D75" s="498"/>
      <c r="E75" s="498"/>
      <c r="F75" s="498"/>
      <c r="G75" s="503"/>
      <c r="H75" s="503"/>
      <c r="I75" s="503"/>
      <c r="J75" s="503"/>
      <c r="K75" s="503"/>
      <c r="L75" s="503"/>
      <c r="M75" s="530"/>
      <c r="N75" s="2751"/>
      <c r="O75" s="2751"/>
      <c r="P75" s="2761"/>
      <c r="Q75" s="2738"/>
      <c r="R75" s="2660"/>
      <c r="S75" s="2660"/>
      <c r="T75" s="2660"/>
      <c r="U75" s="2660"/>
      <c r="V75" s="2660"/>
      <c r="W75" s="2660"/>
      <c r="X75" s="2660"/>
      <c r="Y75" s="2660"/>
      <c r="Z75" s="2660"/>
      <c r="AA75" s="2660"/>
      <c r="AB75" s="2660"/>
      <c r="AC75" s="2660"/>
    </row>
    <row r="76" spans="1:29" s="108" customFormat="1" ht="15.75" thickBot="1">
      <c r="A76" s="528"/>
      <c r="B76" s="492"/>
      <c r="C76" s="509"/>
      <c r="D76" s="485"/>
      <c r="E76" s="485"/>
      <c r="F76" s="485"/>
      <c r="G76" s="485"/>
      <c r="H76" s="485"/>
      <c r="I76" s="485"/>
      <c r="J76" s="485"/>
      <c r="K76" s="485"/>
      <c r="L76" s="485"/>
      <c r="M76" s="486"/>
      <c r="N76" s="2753"/>
      <c r="O76" s="2753"/>
      <c r="P76" s="2761"/>
      <c r="Q76" s="2738"/>
      <c r="R76" s="2660"/>
      <c r="S76" s="2660"/>
      <c r="T76" s="2660"/>
      <c r="U76" s="2660"/>
      <c r="V76" s="2660"/>
      <c r="W76" s="2660"/>
      <c r="X76" s="2660"/>
      <c r="Y76" s="2660"/>
      <c r="Z76" s="2660"/>
      <c r="AA76" s="2660"/>
      <c r="AB76" s="2660"/>
      <c r="AC76" s="2660"/>
    </row>
    <row r="77" spans="1:29" s="422" customFormat="1" ht="15.75" thickTop="1">
      <c r="A77" s="502"/>
      <c r="B77" s="487">
        <f>B25</f>
        <v>111</v>
      </c>
      <c r="C77" s="503"/>
      <c r="D77" s="503"/>
      <c r="E77" s="503"/>
      <c r="F77" s="503"/>
      <c r="G77" s="503"/>
      <c r="H77" s="504"/>
      <c r="I77" s="504"/>
      <c r="J77" s="504"/>
      <c r="K77" s="504"/>
      <c r="L77" s="505"/>
      <c r="M77" s="506"/>
      <c r="N77" s="2754"/>
      <c r="O77" s="2754"/>
      <c r="P77" s="2762"/>
      <c r="Q77" s="2745"/>
      <c r="R77" s="2746"/>
      <c r="S77" s="2746"/>
      <c r="T77" s="2746"/>
      <c r="U77" s="2746"/>
      <c r="V77" s="2746"/>
      <c r="W77" s="2746"/>
      <c r="X77" s="2746"/>
      <c r="Y77" s="2746"/>
      <c r="Z77" s="2746"/>
      <c r="AA77" s="2746"/>
      <c r="AB77" s="2746"/>
      <c r="AC77" s="2746"/>
    </row>
    <row r="78" spans="1:29" s="422" customFormat="1" ht="15.75" thickBot="1">
      <c r="A78" s="502"/>
      <c r="B78" s="492"/>
      <c r="C78" s="509"/>
      <c r="D78" s="509"/>
      <c r="E78" s="509"/>
      <c r="F78" s="509"/>
      <c r="G78" s="485"/>
      <c r="H78" s="485"/>
      <c r="I78" s="485"/>
      <c r="J78" s="485"/>
      <c r="K78" s="485"/>
      <c r="L78" s="485"/>
      <c r="M78" s="486"/>
      <c r="N78" s="2754"/>
      <c r="O78" s="2754"/>
      <c r="P78" s="2762"/>
      <c r="Q78" s="2745"/>
      <c r="R78" s="2746"/>
      <c r="S78" s="2746"/>
      <c r="T78" s="2746"/>
      <c r="U78" s="2746"/>
      <c r="V78" s="2746"/>
      <c r="W78" s="2746"/>
      <c r="X78" s="2746"/>
      <c r="Y78" s="2746"/>
      <c r="Z78" s="2746"/>
      <c r="AA78" s="2746"/>
      <c r="AB78" s="2746"/>
      <c r="AC78" s="2746"/>
    </row>
    <row r="79" spans="1:29" ht="27.75" thickTop="1">
      <c r="A79" s="476" t="s">
        <v>1694</v>
      </c>
      <c r="B79" s="477" t="s">
        <v>1853</v>
      </c>
      <c r="C79" s="478" t="str">
        <f>C26</f>
        <v>车库</v>
      </c>
      <c r="D79" s="479"/>
      <c r="E79" s="479"/>
      <c r="F79" s="479"/>
      <c r="G79" s="479"/>
      <c r="H79" s="479"/>
      <c r="I79" s="479"/>
      <c r="J79" s="479"/>
      <c r="K79" s="480"/>
      <c r="L79" s="481"/>
      <c r="M79" s="482"/>
      <c r="N79" s="2752"/>
      <c r="O79" s="2752"/>
      <c r="P79" s="2761"/>
      <c r="Q79" s="2738"/>
      <c r="R79" s="2724"/>
      <c r="S79" s="2724"/>
      <c r="T79" s="2724"/>
      <c r="U79" s="2724"/>
      <c r="V79" s="2724"/>
      <c r="W79" s="2724"/>
      <c r="X79" s="2724"/>
      <c r="Y79" s="2724"/>
      <c r="Z79" s="2724"/>
      <c r="AA79" s="2724"/>
      <c r="AB79" s="2724"/>
      <c r="AC79" s="2724"/>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3"/>
      <c r="O80" s="2753"/>
      <c r="P80" s="2761"/>
      <c r="Q80" s="2738"/>
      <c r="R80" s="2724"/>
      <c r="S80" s="2724"/>
      <c r="T80" s="2724"/>
      <c r="U80" s="2724"/>
      <c r="V80" s="2724"/>
      <c r="W80" s="2724"/>
      <c r="X80" s="2724"/>
      <c r="Y80" s="2724"/>
      <c r="Z80" s="2724"/>
      <c r="AA80" s="2724"/>
      <c r="AB80" s="2724"/>
      <c r="AC80" s="2724"/>
    </row>
    <row r="81" spans="1:29" ht="15.75" thickTop="1">
      <c r="A81" s="483"/>
      <c r="B81" s="487" t="s">
        <v>1854</v>
      </c>
      <c r="C81" s="609"/>
      <c r="D81" s="609"/>
      <c r="E81" s="609"/>
      <c r="F81" s="609"/>
      <c r="G81" s="609"/>
      <c r="H81" s="609"/>
      <c r="I81" s="609"/>
      <c r="J81" s="609"/>
      <c r="K81" s="610"/>
      <c r="L81" s="611"/>
      <c r="M81" s="612"/>
      <c r="N81" s="2751"/>
      <c r="O81" s="2751"/>
      <c r="P81" s="2761"/>
      <c r="Q81" s="2738"/>
      <c r="R81" s="2724"/>
      <c r="S81" s="2724"/>
      <c r="T81" s="2724"/>
      <c r="U81" s="2724"/>
      <c r="V81" s="2724"/>
      <c r="W81" s="2724"/>
      <c r="X81" s="2724"/>
      <c r="Y81" s="2724"/>
      <c r="Z81" s="2724"/>
      <c r="AA81" s="2724"/>
      <c r="AB81" s="2724"/>
      <c r="AC81" s="2724"/>
    </row>
    <row r="82" spans="1:29" s="422" customFormat="1" ht="15.75" thickBot="1">
      <c r="A82" s="502"/>
      <c r="B82" s="492"/>
      <c r="C82" s="509"/>
      <c r="D82" s="485"/>
      <c r="E82" s="485"/>
      <c r="F82" s="485"/>
      <c r="G82" s="485"/>
      <c r="H82" s="485"/>
      <c r="I82" s="485"/>
      <c r="J82" s="485"/>
      <c r="K82" s="485"/>
      <c r="L82" s="485"/>
      <c r="M82" s="486"/>
      <c r="N82" s="2753"/>
      <c r="O82" s="2753"/>
      <c r="P82" s="2762"/>
      <c r="Q82" s="2745"/>
      <c r="R82" s="2746"/>
      <c r="S82" s="2746"/>
      <c r="T82" s="2746"/>
      <c r="U82" s="2746"/>
      <c r="V82" s="2746"/>
      <c r="W82" s="2746"/>
      <c r="X82" s="2746"/>
      <c r="Y82" s="2746"/>
      <c r="Z82" s="2746"/>
      <c r="AA82" s="2746"/>
      <c r="AB82" s="2746"/>
      <c r="AC82" s="2746"/>
    </row>
    <row r="83" spans="1:29" ht="15" thickTop="1">
      <c r="A83" s="548"/>
      <c r="B83" s="487" t="s">
        <v>1740</v>
      </c>
      <c r="C83" s="503"/>
      <c r="D83" s="503"/>
      <c r="E83" s="532"/>
      <c r="F83" s="532"/>
      <c r="G83" s="532"/>
      <c r="H83" s="532"/>
      <c r="I83" s="532"/>
      <c r="J83" s="532"/>
      <c r="K83" s="533"/>
      <c r="L83" s="534"/>
      <c r="M83" s="535"/>
      <c r="N83" s="2752"/>
      <c r="O83" s="2752"/>
      <c r="P83" s="2761"/>
      <c r="Q83" s="2738"/>
      <c r="R83" s="2724"/>
      <c r="S83" s="2724"/>
      <c r="T83" s="2724"/>
      <c r="U83" s="2724"/>
      <c r="V83" s="2724"/>
      <c r="W83" s="2724"/>
      <c r="X83" s="2724"/>
      <c r="Y83" s="2724"/>
      <c r="Z83" s="2724"/>
      <c r="AA83" s="2724"/>
      <c r="AB83" s="2724"/>
      <c r="AC83" s="2724"/>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3"/>
      <c r="O84" s="2753"/>
      <c r="P84" s="2761"/>
      <c r="Q84" s="2738"/>
      <c r="R84" s="2724"/>
      <c r="S84" s="2724"/>
      <c r="T84" s="2724"/>
      <c r="U84" s="2724"/>
      <c r="V84" s="2724"/>
      <c r="W84" s="2724"/>
      <c r="X84" s="2724"/>
      <c r="Y84" s="2724"/>
      <c r="Z84" s="2724"/>
      <c r="AA84" s="2724"/>
      <c r="AB84" s="2724"/>
      <c r="AC84" s="2724"/>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2"/>
      <c r="O85" s="2752"/>
      <c r="P85" s="2761"/>
      <c r="Q85" s="2738"/>
      <c r="R85" s="2724"/>
      <c r="S85" s="2724"/>
      <c r="T85" s="2724"/>
      <c r="U85" s="2724"/>
      <c r="V85" s="2724"/>
      <c r="W85" s="2724"/>
      <c r="X85" s="2724"/>
      <c r="Y85" s="2724"/>
      <c r="Z85" s="2724"/>
      <c r="AA85" s="2724"/>
      <c r="AB85" s="2724"/>
      <c r="AC85" s="2724"/>
    </row>
    <row r="86" spans="1:29">
      <c r="A86" s="548"/>
      <c r="B86" s="495"/>
      <c r="C86" s="552">
        <v>0.5</v>
      </c>
      <c r="D86" s="552">
        <v>0.6</v>
      </c>
      <c r="E86" s="552">
        <v>0.7</v>
      </c>
      <c r="F86" s="552">
        <v>0.8</v>
      </c>
      <c r="G86" s="552">
        <v>0.9</v>
      </c>
      <c r="H86" s="552">
        <v>1.0001</v>
      </c>
      <c r="I86" s="571"/>
      <c r="J86" s="571"/>
      <c r="K86" s="572"/>
      <c r="L86" s="573"/>
      <c r="M86" s="574"/>
      <c r="N86" s="2752"/>
      <c r="O86" s="2752"/>
      <c r="P86" s="2761"/>
      <c r="Q86" s="2738"/>
      <c r="R86" s="2724"/>
      <c r="S86" s="2724"/>
      <c r="T86" s="2724"/>
      <c r="U86" s="2724"/>
      <c r="V86" s="2724"/>
      <c r="W86" s="2724"/>
      <c r="X86" s="2724"/>
      <c r="Y86" s="2724"/>
      <c r="Z86" s="2724"/>
      <c r="AA86" s="2724"/>
      <c r="AB86" s="2724"/>
      <c r="AC86" s="2724"/>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3"/>
      <c r="O87" s="2753"/>
      <c r="P87" s="2761"/>
      <c r="Q87" s="2738"/>
      <c r="R87" s="2724"/>
      <c r="S87" s="2724"/>
      <c r="T87" s="2724"/>
      <c r="U87" s="2724"/>
      <c r="V87" s="2724"/>
      <c r="W87" s="2724"/>
      <c r="X87" s="2724"/>
      <c r="Y87" s="2724"/>
      <c r="Z87" s="2724"/>
      <c r="AA87" s="2724"/>
      <c r="AB87" s="2724"/>
      <c r="AC87" s="2724"/>
    </row>
    <row r="88" spans="1:29" ht="15" thickTop="1">
      <c r="A88" s="548"/>
      <c r="B88" s="495" t="s">
        <v>1856</v>
      </c>
      <c r="C88" s="479"/>
      <c r="D88" s="479"/>
      <c r="E88" s="479"/>
      <c r="F88" s="479"/>
      <c r="G88" s="479"/>
      <c r="H88" s="479"/>
      <c r="I88" s="479"/>
      <c r="J88" s="479"/>
      <c r="K88" s="480"/>
      <c r="L88" s="481"/>
      <c r="M88" s="482"/>
      <c r="N88" s="2752"/>
      <c r="O88" s="2752"/>
      <c r="P88" s="2761"/>
      <c r="Q88" s="2738"/>
      <c r="R88" s="2724"/>
      <c r="S88" s="2724"/>
      <c r="T88" s="2724"/>
      <c r="U88" s="2724"/>
      <c r="V88" s="2724"/>
      <c r="W88" s="2724"/>
      <c r="X88" s="2724"/>
      <c r="Y88" s="2724"/>
      <c r="Z88" s="2724"/>
      <c r="AA88" s="2724"/>
      <c r="AB88" s="2724"/>
      <c r="AC88" s="2724"/>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3"/>
      <c r="O89" s="2753"/>
      <c r="P89" s="2761"/>
      <c r="Q89" s="2738"/>
      <c r="R89" s="2724"/>
      <c r="S89" s="2724"/>
      <c r="T89" s="2724"/>
      <c r="U89" s="2724"/>
      <c r="V89" s="2724"/>
      <c r="W89" s="2724"/>
      <c r="X89" s="2724"/>
      <c r="Y89" s="2724"/>
      <c r="Z89" s="2724"/>
      <c r="AA89" s="2724"/>
      <c r="AB89" s="2724"/>
      <c r="AC89" s="2724"/>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4"/>
      <c r="O90" s="2754"/>
      <c r="P90" s="2762"/>
      <c r="Q90" s="2745"/>
      <c r="R90" s="2746"/>
      <c r="S90" s="2746"/>
      <c r="T90" s="2746"/>
      <c r="U90" s="2746"/>
      <c r="V90" s="2746"/>
      <c r="W90" s="2746"/>
      <c r="X90" s="2746"/>
      <c r="Y90" s="2746"/>
      <c r="Z90" s="2746"/>
      <c r="AA90" s="2746"/>
      <c r="AB90" s="2746"/>
      <c r="AC90" s="2746"/>
    </row>
    <row r="91" spans="1:29" s="422" customFormat="1">
      <c r="A91" s="542"/>
      <c r="B91" s="495"/>
      <c r="C91" s="544"/>
      <c r="D91" s="544"/>
      <c r="E91" s="544"/>
      <c r="F91" s="544"/>
      <c r="G91" s="544"/>
      <c r="H91" s="544"/>
      <c r="I91" s="544"/>
      <c r="J91" s="545"/>
      <c r="K91" s="545"/>
      <c r="L91" s="546"/>
      <c r="M91" s="547"/>
      <c r="N91" s="2754"/>
      <c r="O91" s="2754"/>
      <c r="P91" s="2762"/>
      <c r="Q91" s="2745"/>
      <c r="R91" s="2746"/>
      <c r="S91" s="2746"/>
      <c r="T91" s="2746"/>
      <c r="U91" s="2746"/>
      <c r="V91" s="2746"/>
      <c r="W91" s="2746"/>
      <c r="X91" s="2746"/>
      <c r="Y91" s="2746"/>
      <c r="Z91" s="2746"/>
      <c r="AA91" s="2746"/>
      <c r="AB91" s="2746"/>
      <c r="AC91" s="2746"/>
    </row>
    <row r="92" spans="1:29" s="422" customFormat="1" ht="15.75" thickBot="1">
      <c r="A92" s="502"/>
      <c r="B92" s="492"/>
      <c r="C92" s="509"/>
      <c r="D92" s="485"/>
      <c r="E92" s="485"/>
      <c r="F92" s="485"/>
      <c r="G92" s="485"/>
      <c r="H92" s="485"/>
      <c r="I92" s="485"/>
      <c r="J92" s="485"/>
      <c r="K92" s="485"/>
      <c r="L92" s="485"/>
      <c r="M92" s="486"/>
      <c r="N92" s="2754"/>
      <c r="O92" s="2754"/>
      <c r="P92" s="2762"/>
      <c r="Q92" s="2745"/>
      <c r="R92" s="2746"/>
      <c r="S92" s="2746"/>
      <c r="T92" s="2746"/>
      <c r="U92" s="2746"/>
      <c r="V92" s="2746"/>
      <c r="W92" s="2746"/>
      <c r="X92" s="2746"/>
      <c r="Y92" s="2746"/>
      <c r="Z92" s="2746"/>
      <c r="AA92" s="2746"/>
      <c r="AB92" s="2746"/>
      <c r="AC92" s="2746"/>
    </row>
    <row r="93" spans="1:29" ht="15" thickTop="1">
      <c r="A93" s="548"/>
      <c r="B93" s="487" t="s">
        <v>1858</v>
      </c>
      <c r="C93" s="503"/>
      <c r="D93" s="503"/>
      <c r="E93" s="532"/>
      <c r="F93" s="532"/>
      <c r="G93" s="532"/>
      <c r="H93" s="532"/>
      <c r="I93" s="532"/>
      <c r="J93" s="532"/>
      <c r="K93" s="533"/>
      <c r="L93" s="534"/>
      <c r="M93" s="535"/>
      <c r="N93" s="2752"/>
      <c r="O93" s="2752"/>
      <c r="P93" s="2761"/>
      <c r="Q93" s="2738"/>
      <c r="R93" s="2724"/>
      <c r="S93" s="2724"/>
      <c r="T93" s="2724"/>
      <c r="U93" s="2724"/>
      <c r="V93" s="2724"/>
      <c r="W93" s="2724"/>
      <c r="X93" s="2724"/>
      <c r="Y93" s="2724"/>
      <c r="Z93" s="2724"/>
      <c r="AA93" s="2724"/>
      <c r="AB93" s="2724"/>
      <c r="AC93" s="2724"/>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3"/>
      <c r="O94" s="2753"/>
      <c r="P94" s="2761"/>
      <c r="Q94" s="2738"/>
      <c r="R94" s="2724"/>
      <c r="S94" s="2724"/>
      <c r="T94" s="2724"/>
      <c r="U94" s="2724"/>
      <c r="V94" s="2724"/>
      <c r="W94" s="2724"/>
      <c r="X94" s="2724"/>
      <c r="Y94" s="2724"/>
      <c r="Z94" s="2724"/>
      <c r="AA94" s="2724"/>
      <c r="AB94" s="2724"/>
      <c r="AC94" s="2724"/>
    </row>
    <row r="95" spans="1:29" ht="15" thickTop="1">
      <c r="A95" s="548"/>
      <c r="B95" s="487" t="s">
        <v>1859</v>
      </c>
      <c r="C95" s="479"/>
      <c r="D95" s="479"/>
      <c r="E95" s="479"/>
      <c r="F95" s="479"/>
      <c r="G95" s="479"/>
      <c r="H95" s="479"/>
      <c r="I95" s="479"/>
      <c r="J95" s="479"/>
      <c r="K95" s="480"/>
      <c r="L95" s="481"/>
      <c r="M95" s="482"/>
      <c r="N95" s="2752"/>
      <c r="O95" s="2752"/>
      <c r="P95" s="2761"/>
      <c r="Q95" s="2738"/>
      <c r="R95" s="2724"/>
      <c r="S95" s="2724"/>
      <c r="T95" s="2724"/>
      <c r="U95" s="2724"/>
      <c r="V95" s="2724"/>
      <c r="W95" s="2724"/>
      <c r="X95" s="2724"/>
      <c r="Y95" s="2724"/>
      <c r="Z95" s="2724"/>
      <c r="AA95" s="2724"/>
      <c r="AB95" s="2724"/>
      <c r="AC95" s="2724"/>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3"/>
      <c r="O96" s="2753"/>
      <c r="P96" s="2761"/>
      <c r="Q96" s="2738"/>
      <c r="R96" s="2724"/>
      <c r="S96" s="2724"/>
      <c r="T96" s="2724"/>
      <c r="U96" s="2724"/>
      <c r="V96" s="2724"/>
      <c r="W96" s="2724"/>
      <c r="X96" s="2724"/>
      <c r="Y96" s="2724"/>
      <c r="Z96" s="2724"/>
      <c r="AA96" s="2724"/>
      <c r="AB96" s="2724"/>
      <c r="AC96" s="2724"/>
    </row>
    <row r="97" spans="1:29" ht="15" thickTop="1">
      <c r="A97" s="548"/>
      <c r="B97" s="584">
        <f>B34</f>
        <v>111</v>
      </c>
      <c r="C97" s="498"/>
      <c r="D97" s="498"/>
      <c r="E97" s="498"/>
      <c r="F97" s="498"/>
      <c r="G97" s="503"/>
      <c r="H97" s="504"/>
      <c r="I97" s="504"/>
      <c r="J97" s="504"/>
      <c r="K97" s="504"/>
      <c r="L97" s="505"/>
      <c r="M97" s="506"/>
      <c r="N97" s="2753"/>
      <c r="O97" s="2753"/>
      <c r="P97" s="2766"/>
      <c r="Q97" s="2767"/>
      <c r="R97" s="2724"/>
      <c r="S97" s="2724"/>
      <c r="T97" s="2724"/>
      <c r="U97" s="2724"/>
      <c r="V97" s="2724"/>
      <c r="W97" s="2724"/>
      <c r="X97" s="2724"/>
      <c r="Y97" s="2724"/>
      <c r="Z97" s="2724"/>
      <c r="AA97" s="2724"/>
      <c r="AB97" s="2724"/>
      <c r="AC97" s="2724"/>
    </row>
    <row r="98" spans="1:29" ht="15.75" thickBot="1">
      <c r="A98" s="483"/>
      <c r="B98" s="492"/>
      <c r="C98" s="509"/>
      <c r="D98" s="485"/>
      <c r="E98" s="485"/>
      <c r="F98" s="485"/>
      <c r="G98" s="509"/>
      <c r="H98" s="511"/>
      <c r="I98" s="511"/>
      <c r="J98" s="511"/>
      <c r="K98" s="511"/>
      <c r="L98" s="511"/>
      <c r="M98" s="512"/>
      <c r="N98" s="2753"/>
      <c r="O98" s="2753"/>
      <c r="P98" s="2761"/>
      <c r="Q98" s="2738"/>
      <c r="R98" s="2724"/>
      <c r="S98" s="2724"/>
      <c r="T98" s="2724"/>
      <c r="U98" s="2724"/>
      <c r="V98" s="2724"/>
      <c r="W98" s="2724"/>
      <c r="X98" s="2724"/>
      <c r="Y98" s="2724"/>
      <c r="Z98" s="2724"/>
      <c r="AA98" s="2724"/>
      <c r="AB98" s="2724"/>
      <c r="AC98" s="2724"/>
    </row>
    <row r="99" spans="1:29" s="422" customFormat="1" ht="15" thickTop="1">
      <c r="A99" s="542"/>
      <c r="B99" s="487">
        <f>B35</f>
        <v>111</v>
      </c>
      <c r="C99" s="498"/>
      <c r="D99" s="498"/>
      <c r="E99" s="498"/>
      <c r="F99" s="498"/>
      <c r="G99" s="503"/>
      <c r="H99" s="504"/>
      <c r="I99" s="504"/>
      <c r="J99" s="504"/>
      <c r="K99" s="504"/>
      <c r="L99" s="505"/>
      <c r="M99" s="506"/>
      <c r="N99" s="2754"/>
      <c r="O99" s="2754"/>
      <c r="P99" s="2762"/>
      <c r="Q99" s="2745"/>
      <c r="R99" s="2746"/>
      <c r="S99" s="2746"/>
      <c r="T99" s="2746"/>
      <c r="U99" s="2746"/>
      <c r="V99" s="2746"/>
      <c r="W99" s="2746"/>
      <c r="X99" s="2746"/>
      <c r="Y99" s="2746"/>
      <c r="Z99" s="2746"/>
      <c r="AA99" s="2746"/>
      <c r="AB99" s="2746"/>
      <c r="AC99" s="2746"/>
    </row>
    <row r="100" spans="1:29" s="422" customFormat="1" ht="15.75" thickBot="1">
      <c r="A100" s="502"/>
      <c r="B100" s="484"/>
      <c r="C100" s="509"/>
      <c r="D100" s="485"/>
      <c r="E100" s="485"/>
      <c r="F100" s="485"/>
      <c r="G100" s="509"/>
      <c r="H100" s="511"/>
      <c r="I100" s="511"/>
      <c r="J100" s="511"/>
      <c r="K100" s="511"/>
      <c r="L100" s="511"/>
      <c r="M100" s="512"/>
      <c r="N100" s="2754"/>
      <c r="O100" s="2754"/>
      <c r="P100" s="2762"/>
      <c r="Q100" s="2745"/>
      <c r="R100" s="2746"/>
      <c r="S100" s="2746"/>
      <c r="T100" s="2746"/>
      <c r="U100" s="2746"/>
      <c r="V100" s="2746"/>
      <c r="W100" s="2746"/>
      <c r="X100" s="2746"/>
      <c r="Y100" s="2746"/>
      <c r="Z100" s="2746"/>
      <c r="AA100" s="2746"/>
      <c r="AB100" s="2746"/>
      <c r="AC100" s="2746"/>
    </row>
    <row r="101" spans="1:29" ht="15" thickTop="1">
      <c r="A101" s="548"/>
      <c r="B101" s="487">
        <f>B36</f>
        <v>111</v>
      </c>
      <c r="C101" s="503"/>
      <c r="D101" s="503"/>
      <c r="E101" s="503"/>
      <c r="F101" s="503"/>
      <c r="G101" s="503"/>
      <c r="H101" s="504"/>
      <c r="I101" s="504"/>
      <c r="J101" s="504"/>
      <c r="K101" s="504"/>
      <c r="L101" s="505"/>
      <c r="M101" s="506"/>
      <c r="N101" s="2752"/>
      <c r="O101" s="2752"/>
      <c r="P101" s="2761"/>
      <c r="Q101" s="2738"/>
      <c r="R101" s="2724"/>
      <c r="S101" s="2724"/>
      <c r="T101" s="2724"/>
      <c r="U101" s="2724"/>
      <c r="V101" s="2724"/>
      <c r="W101" s="2724"/>
      <c r="X101" s="2724"/>
      <c r="Y101" s="2724"/>
      <c r="Z101" s="2724"/>
      <c r="AA101" s="2724"/>
      <c r="AB101" s="2724"/>
      <c r="AC101" s="2724"/>
    </row>
    <row r="102" spans="1:29" ht="15.75" thickBot="1">
      <c r="A102" s="483"/>
      <c r="B102" s="492"/>
      <c r="C102" s="509"/>
      <c r="D102" s="509"/>
      <c r="E102" s="509"/>
      <c r="F102" s="509"/>
      <c r="G102" s="509"/>
      <c r="H102" s="511"/>
      <c r="I102" s="511"/>
      <c r="J102" s="511"/>
      <c r="K102" s="511"/>
      <c r="L102" s="511"/>
      <c r="M102" s="512"/>
      <c r="N102" s="2753"/>
      <c r="O102" s="2753"/>
      <c r="P102" s="2761"/>
      <c r="Q102" s="2738"/>
      <c r="R102" s="2724"/>
      <c r="S102" s="2724"/>
      <c r="T102" s="2724"/>
      <c r="U102" s="2724"/>
      <c r="V102" s="2724"/>
      <c r="W102" s="2724"/>
      <c r="X102" s="2724"/>
      <c r="Y102" s="2724"/>
      <c r="Z102" s="2724"/>
      <c r="AA102" s="2724"/>
      <c r="AB102" s="2724"/>
      <c r="AC102" s="2724"/>
    </row>
    <row r="103" spans="1:29" ht="15" thickTop="1">
      <c r="N103" s="2724"/>
      <c r="O103" s="2724"/>
      <c r="P103" s="2755"/>
      <c r="Q103" s="2724"/>
      <c r="R103" s="2724"/>
      <c r="S103" s="2724"/>
      <c r="T103" s="2724"/>
      <c r="U103" s="2724"/>
      <c r="V103" s="2724"/>
      <c r="W103" s="2724"/>
      <c r="X103" s="2724"/>
      <c r="Y103" s="2724"/>
      <c r="Z103" s="2724"/>
      <c r="AA103" s="2724"/>
      <c r="AB103" s="2724"/>
      <c r="AC103" s="2724"/>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72" priority="18" stopIfTrue="1" operator="containsText" text="超过">
      <formula>NOT(ISERROR(SEARCH("超过",F42)))</formula>
    </cfRule>
  </conditionalFormatting>
  <conditionalFormatting sqref="J44">
    <cfRule type="containsText" dxfId="71" priority="17" stopIfTrue="1" operator="containsText" text="超过">
      <formula>NOT(ISERROR(SEARCH("超过",J44)))</formula>
    </cfRule>
  </conditionalFormatting>
  <conditionalFormatting sqref="H44">
    <cfRule type="containsText" dxfId="70" priority="16" stopIfTrue="1" operator="containsText" text="超过">
      <formula>NOT(ISERROR(SEARCH("超过",H44)))</formula>
    </cfRule>
  </conditionalFormatting>
  <conditionalFormatting sqref="F44">
    <cfRule type="containsText" dxfId="69" priority="15" stopIfTrue="1" operator="containsText" text="超过">
      <formula>NOT(ISERROR(SEARCH("超过",F44)))</formula>
    </cfRule>
  </conditionalFormatting>
  <conditionalFormatting sqref="F43 H43 J43">
    <cfRule type="containsText" dxfId="68" priority="14" stopIfTrue="1" operator="containsText" text="超过">
      <formula>NOT(ISERROR(SEARCH("超过",F43)))</formula>
    </cfRule>
  </conditionalFormatting>
  <conditionalFormatting sqref="E42">
    <cfRule type="expression" dxfId="67" priority="13" stopIfTrue="1">
      <formula>$F$42="超过30%"</formula>
    </cfRule>
  </conditionalFormatting>
  <conditionalFormatting sqref="G44">
    <cfRule type="expression" dxfId="66" priority="12" stopIfTrue="1">
      <formula>$H$54+$H$44="超过30%"</formula>
    </cfRule>
  </conditionalFormatting>
  <conditionalFormatting sqref="E43">
    <cfRule type="expression" dxfId="65" priority="11" stopIfTrue="1">
      <formula>$F$43="超过20%"</formula>
    </cfRule>
  </conditionalFormatting>
  <conditionalFormatting sqref="E44">
    <cfRule type="expression" dxfId="64" priority="10" stopIfTrue="1">
      <formula>$F$44="超过30%"</formula>
    </cfRule>
  </conditionalFormatting>
  <conditionalFormatting sqref="G42">
    <cfRule type="expression" dxfId="63" priority="9" stopIfTrue="1">
      <formula>$H$52+$H$42="超过30%"</formula>
    </cfRule>
  </conditionalFormatting>
  <conditionalFormatting sqref="G43">
    <cfRule type="expression" dxfId="62" priority="8" stopIfTrue="1">
      <formula>$H$43="超过20%"</formula>
    </cfRule>
  </conditionalFormatting>
  <conditionalFormatting sqref="I42">
    <cfRule type="expression" dxfId="61" priority="7" stopIfTrue="1">
      <formula>$J$52+$J$42="超过30%"</formula>
    </cfRule>
  </conditionalFormatting>
  <conditionalFormatting sqref="I43">
    <cfRule type="expression" dxfId="60" priority="6" stopIfTrue="1">
      <formula>$J$53+$J$43="超过20%"</formula>
    </cfRule>
  </conditionalFormatting>
  <conditionalFormatting sqref="I44">
    <cfRule type="expression" dxfId="59" priority="5" stopIfTrue="1">
      <formula>$J$44="超过30%"</formula>
    </cfRule>
  </conditionalFormatting>
  <conditionalFormatting sqref="F38">
    <cfRule type="expression" dxfId="58" priority="4">
      <formula>$D$38="简单平均"</formula>
    </cfRule>
  </conditionalFormatting>
  <conditionalFormatting sqref="H38">
    <cfRule type="expression" dxfId="57" priority="3">
      <formula>$D$38="简单平均"</formula>
    </cfRule>
  </conditionalFormatting>
  <conditionalFormatting sqref="J38">
    <cfRule type="expression" dxfId="56" priority="2">
      <formula>$D$38="简单平均"</formula>
    </cfRule>
  </conditionalFormatting>
  <conditionalFormatting sqref="F7:F36 H7:H36 J7:J36">
    <cfRule type="cellIs" dxfId="55"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E2" sqref="E2"/>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3341</v>
      </c>
      <c r="C1" s="1224" t="s">
        <v>1662</v>
      </c>
      <c r="D1" s="1225"/>
      <c r="E1" s="3432"/>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3"/>
      <c r="M2" s="2734"/>
      <c r="N2" s="2734"/>
      <c r="O2" s="2734"/>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3"/>
      <c r="M3" s="2734"/>
      <c r="N3" s="2734"/>
      <c r="O3" s="2734"/>
      <c r="P3" s="699"/>
      <c r="Q3" s="699"/>
      <c r="R3" s="699"/>
      <c r="S3" s="699"/>
      <c r="T3" s="699"/>
      <c r="U3" s="699"/>
      <c r="V3" s="699"/>
      <c r="W3" s="699"/>
      <c r="X3" s="699"/>
      <c r="Y3" s="699"/>
      <c r="Z3" s="699"/>
      <c r="AA3" s="699"/>
      <c r="AB3" s="716"/>
      <c r="AC3" s="713"/>
    </row>
    <row r="4" spans="1:29" ht="15">
      <c r="A4" s="355" t="s">
        <v>1769</v>
      </c>
      <c r="B4" s="356"/>
      <c r="C4" s="3810" t="s">
        <v>1770</v>
      </c>
      <c r="D4" s="3811"/>
      <c r="E4" s="3812" t="s">
        <v>1771</v>
      </c>
      <c r="F4" s="3813"/>
      <c r="G4" s="3810" t="s">
        <v>1772</v>
      </c>
      <c r="H4" s="3811"/>
      <c r="I4" s="3810" t="s">
        <v>1773</v>
      </c>
      <c r="J4" s="3811"/>
      <c r="K4" s="559" t="s">
        <v>1774</v>
      </c>
      <c r="L4" s="2714"/>
      <c r="M4" s="2715"/>
      <c r="N4" s="2715"/>
      <c r="O4" s="2715"/>
      <c r="P4" s="3814" t="s">
        <v>1775</v>
      </c>
      <c r="Q4" s="3815"/>
      <c r="R4" s="3797" t="s">
        <v>1771</v>
      </c>
      <c r="S4" s="3798"/>
      <c r="T4" s="3797" t="s">
        <v>1772</v>
      </c>
      <c r="U4" s="3798"/>
      <c r="V4" s="3822" t="s">
        <v>1773</v>
      </c>
      <c r="W4" s="3822"/>
      <c r="X4" s="1355"/>
      <c r="Y4" s="3797" t="s">
        <v>1775</v>
      </c>
      <c r="Z4" s="3798"/>
      <c r="AA4" s="3792" t="s">
        <v>1771</v>
      </c>
      <c r="AB4" s="3793" t="s">
        <v>1772</v>
      </c>
      <c r="AC4" s="3792" t="s">
        <v>1773</v>
      </c>
    </row>
    <row r="5" spans="1:29" ht="15">
      <c r="A5" s="358"/>
      <c r="B5" s="359"/>
      <c r="C5" s="3803" t="s">
        <v>1673</v>
      </c>
      <c r="D5" s="3804"/>
      <c r="E5" s="3801" t="s">
        <v>1674</v>
      </c>
      <c r="F5" s="3802"/>
      <c r="G5" s="3803" t="s">
        <v>1675</v>
      </c>
      <c r="H5" s="3804"/>
      <c r="I5" s="3803" t="s">
        <v>1676</v>
      </c>
      <c r="J5" s="3804"/>
      <c r="K5" s="559"/>
      <c r="L5" s="2714"/>
      <c r="M5" s="2715"/>
      <c r="N5" s="2715"/>
      <c r="O5" s="2715"/>
      <c r="P5" s="3816"/>
      <c r="Q5" s="3817"/>
      <c r="R5" s="3799"/>
      <c r="S5" s="3800"/>
      <c r="T5" s="3799"/>
      <c r="U5" s="3800"/>
      <c r="V5" s="3822"/>
      <c r="W5" s="3822"/>
      <c r="X5" s="1355"/>
      <c r="Y5" s="3799"/>
      <c r="Z5" s="3800"/>
      <c r="AA5" s="3793"/>
      <c r="AB5" s="3793"/>
      <c r="AC5" s="3793"/>
    </row>
    <row r="6" spans="1:29" ht="15.75" thickBot="1">
      <c r="A6" s="360"/>
      <c r="B6" s="361"/>
      <c r="C6" s="3805" t="s">
        <v>1677</v>
      </c>
      <c r="D6" s="3806"/>
      <c r="E6" s="3807" t="s">
        <v>1677</v>
      </c>
      <c r="F6" s="3808"/>
      <c r="G6" s="3805" t="s">
        <v>1677</v>
      </c>
      <c r="H6" s="3806"/>
      <c r="I6" s="3805" t="s">
        <v>1677</v>
      </c>
      <c r="J6" s="3806"/>
      <c r="K6" s="559" t="s">
        <v>1678</v>
      </c>
      <c r="L6" s="2714"/>
      <c r="M6" s="2715"/>
      <c r="N6" s="2715"/>
      <c r="O6" s="2715"/>
      <c r="P6" s="3818"/>
      <c r="Q6" s="3819"/>
      <c r="R6" s="3799"/>
      <c r="S6" s="3800"/>
      <c r="T6" s="3820"/>
      <c r="U6" s="3821"/>
      <c r="V6" s="3822"/>
      <c r="W6" s="3822"/>
      <c r="X6" s="1355"/>
      <c r="Y6" s="3820"/>
      <c r="Z6" s="3821"/>
      <c r="AA6" s="3794"/>
      <c r="AB6" s="3794"/>
      <c r="AC6" s="3794"/>
    </row>
    <row r="7" spans="1:29" s="108" customFormat="1" ht="15.75" thickBot="1">
      <c r="A7" s="362" t="s">
        <v>1679</v>
      </c>
      <c r="B7" s="363"/>
      <c r="C7" s="364">
        <f>'数据-取费表'!B2</f>
        <v>44926</v>
      </c>
      <c r="D7" s="365">
        <v>100</v>
      </c>
      <c r="E7" s="366"/>
      <c r="F7" s="367">
        <f>SUMIF(46:46,YEAR(E7)&amp;"-"&amp;MONTH(E7),47:47)</f>
        <v>0</v>
      </c>
      <c r="G7" s="1974"/>
      <c r="H7" s="365">
        <f>SUMIF(46:46,YEAR(G7)&amp;"-"&amp;MONTH(G7),47:47)</f>
        <v>0</v>
      </c>
      <c r="I7" s="366"/>
      <c r="J7" s="365">
        <f>SUMIF(46:46,YEAR(I7)&amp;"-"&amp;MONTH(I7),47:47)</f>
        <v>0</v>
      </c>
      <c r="K7" s="560"/>
      <c r="L7" s="2716"/>
      <c r="M7" s="2717"/>
      <c r="N7" s="2717"/>
      <c r="O7" s="2717"/>
      <c r="P7" s="3795" t="s">
        <v>1680</v>
      </c>
      <c r="Q7" s="3823"/>
      <c r="R7" s="701" t="s">
        <v>14</v>
      </c>
      <c r="S7" s="702">
        <f t="shared" ref="S7:S14" si="0">F7</f>
        <v>0</v>
      </c>
      <c r="T7" s="701" t="s">
        <v>14</v>
      </c>
      <c r="U7" s="702">
        <f t="shared" ref="U7:U14" si="1">H7</f>
        <v>0</v>
      </c>
      <c r="V7" s="701" t="s">
        <v>14</v>
      </c>
      <c r="W7" s="702">
        <f t="shared" ref="W7:W14" si="2">J7</f>
        <v>0</v>
      </c>
      <c r="X7" s="703"/>
      <c r="Y7" s="3795" t="s">
        <v>1680</v>
      </c>
      <c r="Z7" s="3796"/>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6"/>
      <c r="M8" s="2717"/>
      <c r="N8" s="2717"/>
      <c r="O8" s="2717"/>
      <c r="P8" s="3795" t="s">
        <v>1683</v>
      </c>
      <c r="Q8" s="3796"/>
      <c r="R8" s="701" t="s">
        <v>14</v>
      </c>
      <c r="S8" s="702">
        <f t="shared" si="0"/>
        <v>100</v>
      </c>
      <c r="T8" s="701" t="s">
        <v>14</v>
      </c>
      <c r="U8" s="702">
        <f t="shared" si="1"/>
        <v>100</v>
      </c>
      <c r="V8" s="701" t="s">
        <v>14</v>
      </c>
      <c r="W8" s="702">
        <f t="shared" si="2"/>
        <v>100</v>
      </c>
      <c r="X8" s="703"/>
      <c r="Y8" s="3795" t="s">
        <v>1683</v>
      </c>
      <c r="Z8" s="3796"/>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6"/>
      <c r="M9" s="2717"/>
      <c r="N9" s="2717"/>
      <c r="O9" s="2771"/>
      <c r="P9" s="3827" t="s">
        <v>1686</v>
      </c>
      <c r="Q9" s="1343" t="str">
        <f t="shared" ref="Q9:Q14" si="6">B9</f>
        <v>用途</v>
      </c>
      <c r="R9" s="701" t="s">
        <v>14</v>
      </c>
      <c r="S9" s="702">
        <f t="shared" si="0"/>
        <v>100</v>
      </c>
      <c r="T9" s="701" t="s">
        <v>14</v>
      </c>
      <c r="U9" s="702">
        <f t="shared" si="1"/>
        <v>100</v>
      </c>
      <c r="V9" s="701" t="s">
        <v>14</v>
      </c>
      <c r="W9" s="702">
        <f t="shared" si="2"/>
        <v>100</v>
      </c>
      <c r="X9" s="703"/>
      <c r="Y9" s="3720" t="s">
        <v>1687</v>
      </c>
      <c r="Z9" s="52" t="str">
        <f t="shared" ref="Z9:Z14" si="7">Q9</f>
        <v>用途</v>
      </c>
      <c r="AA9" s="704">
        <f t="shared" si="3"/>
        <v>1</v>
      </c>
      <c r="AB9" s="704">
        <f t="shared" si="4"/>
        <v>1</v>
      </c>
      <c r="AC9" s="704">
        <f t="shared" si="5"/>
        <v>1</v>
      </c>
    </row>
    <row r="10" spans="1:29" s="378" customFormat="1" ht="27">
      <c r="A10" s="374"/>
      <c r="B10" s="375" t="s">
        <v>1688</v>
      </c>
      <c r="C10" s="3433"/>
      <c r="D10" s="127">
        <v>100</v>
      </c>
      <c r="E10" s="3433"/>
      <c r="F10" s="376">
        <f>SUMIF(53:53,E10,54:54)-SUMIF(53:53,C10,54:54)+100</f>
        <v>100</v>
      </c>
      <c r="G10" s="3433"/>
      <c r="H10" s="127">
        <f>SUMIF(53:53,G10,54:54)-SUMIF(53:53,C10,54:54)+100</f>
        <v>100</v>
      </c>
      <c r="I10" s="3433"/>
      <c r="J10" s="127">
        <f>SUMIF(53:53,I10,54:54)-SUMIF(53:53,C10,54:54)+100</f>
        <v>100</v>
      </c>
      <c r="K10" s="560"/>
      <c r="L10" s="2718"/>
      <c r="M10" s="2719"/>
      <c r="N10" s="2719"/>
      <c r="O10" s="2772"/>
      <c r="P10" s="3827"/>
      <c r="Q10" s="1343" t="str">
        <f t="shared" si="6"/>
        <v>土地使用年限（年）</v>
      </c>
      <c r="R10" s="701" t="s">
        <v>14</v>
      </c>
      <c r="S10" s="702">
        <f t="shared" si="0"/>
        <v>100</v>
      </c>
      <c r="T10" s="701" t="s">
        <v>14</v>
      </c>
      <c r="U10" s="702">
        <f t="shared" si="1"/>
        <v>100</v>
      </c>
      <c r="V10" s="701" t="s">
        <v>14</v>
      </c>
      <c r="W10" s="702">
        <f t="shared" si="2"/>
        <v>100</v>
      </c>
      <c r="X10" s="703"/>
      <c r="Y10" s="3720"/>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20"/>
      <c r="M11" s="2715"/>
      <c r="N11" s="2715"/>
      <c r="O11" s="2773"/>
      <c r="P11" s="3827"/>
      <c r="Q11" s="1343">
        <f t="shared" si="6"/>
        <v>111</v>
      </c>
      <c r="R11" s="701" t="s">
        <v>14</v>
      </c>
      <c r="S11" s="702">
        <f t="shared" si="0"/>
        <v>100</v>
      </c>
      <c r="T11" s="701" t="s">
        <v>14</v>
      </c>
      <c r="U11" s="702">
        <f t="shared" si="1"/>
        <v>100</v>
      </c>
      <c r="V11" s="701" t="s">
        <v>14</v>
      </c>
      <c r="W11" s="702">
        <f t="shared" si="2"/>
        <v>100</v>
      </c>
      <c r="X11" s="703"/>
      <c r="Y11" s="3720"/>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6"/>
      <c r="M12" s="2717"/>
      <c r="N12" s="2717"/>
      <c r="O12" s="2771"/>
      <c r="P12" s="3827"/>
      <c r="Q12" s="1343">
        <f t="shared" si="6"/>
        <v>111</v>
      </c>
      <c r="R12" s="701" t="s">
        <v>14</v>
      </c>
      <c r="S12" s="702">
        <f t="shared" si="0"/>
        <v>100</v>
      </c>
      <c r="T12" s="701" t="s">
        <v>14</v>
      </c>
      <c r="U12" s="702">
        <f t="shared" si="1"/>
        <v>100</v>
      </c>
      <c r="V12" s="701" t="s">
        <v>14</v>
      </c>
      <c r="W12" s="702">
        <f t="shared" si="2"/>
        <v>100</v>
      </c>
      <c r="X12" s="703"/>
      <c r="Y12" s="3720"/>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1"/>
      <c r="M13" s="2715"/>
      <c r="N13" s="2715"/>
      <c r="O13" s="2773"/>
      <c r="P13" s="3827"/>
      <c r="Q13" s="1343">
        <f t="shared" si="6"/>
        <v>111</v>
      </c>
      <c r="R13" s="701" t="s">
        <v>14</v>
      </c>
      <c r="S13" s="702">
        <f t="shared" si="0"/>
        <v>100</v>
      </c>
      <c r="T13" s="701" t="s">
        <v>14</v>
      </c>
      <c r="U13" s="702">
        <f t="shared" si="1"/>
        <v>100</v>
      </c>
      <c r="V13" s="701" t="s">
        <v>14</v>
      </c>
      <c r="W13" s="702">
        <f t="shared" si="2"/>
        <v>100</v>
      </c>
      <c r="X13" s="703"/>
      <c r="Y13" s="3720"/>
      <c r="Z13" s="52">
        <f t="shared" si="7"/>
        <v>111</v>
      </c>
      <c r="AA13" s="704">
        <f t="shared" si="3"/>
        <v>1</v>
      </c>
      <c r="AB13" s="704">
        <f t="shared" si="4"/>
        <v>1</v>
      </c>
      <c r="AC13" s="704">
        <f t="shared" si="5"/>
        <v>1</v>
      </c>
    </row>
    <row r="14" spans="1:29" ht="15">
      <c r="A14" s="391" t="s">
        <v>1690</v>
      </c>
      <c r="B14" s="61" t="s">
        <v>1833</v>
      </c>
      <c r="C14" s="1971" t="str">
        <f>IF(B1="工业",估价对象房地状况!G4,估价对象房地状况!C6)</f>
        <v>光熙门536米</v>
      </c>
      <c r="D14" s="392">
        <v>100</v>
      </c>
      <c r="E14" s="393"/>
      <c r="F14" s="394">
        <f>SUMIF(61:61,E15,62:62)-SUMIF(61:61,C15,62:62)+100</f>
        <v>100</v>
      </c>
      <c r="G14" s="395"/>
      <c r="H14" s="392">
        <f>SUMIF(61:61,G15,62:62)-SUMIF(61:61,C15,62:62)+100</f>
        <v>100</v>
      </c>
      <c r="I14" s="393"/>
      <c r="J14" s="392">
        <f>SUMIF(61:61,I15,62:62)-SUMIF(61:61,C15,62:62)+100</f>
        <v>100</v>
      </c>
      <c r="K14" s="563"/>
      <c r="L14" s="2721"/>
      <c r="M14" s="2715"/>
      <c r="N14" s="2715"/>
      <c r="O14" s="2773"/>
      <c r="P14" s="3829" t="s">
        <v>1691</v>
      </c>
      <c r="Q14" s="1352" t="str">
        <f t="shared" si="6"/>
        <v>交通便捷度</v>
      </c>
      <c r="R14" s="705" t="s">
        <v>14</v>
      </c>
      <c r="S14" s="706">
        <f t="shared" si="0"/>
        <v>100</v>
      </c>
      <c r="T14" s="705" t="s">
        <v>14</v>
      </c>
      <c r="U14" s="706">
        <f t="shared" si="1"/>
        <v>100</v>
      </c>
      <c r="V14" s="705" t="s">
        <v>14</v>
      </c>
      <c r="W14" s="706">
        <f t="shared" si="2"/>
        <v>100</v>
      </c>
      <c r="X14" s="1355"/>
      <c r="Y14" s="3829" t="s">
        <v>1691</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1"/>
      <c r="M15" s="2715"/>
      <c r="N15" s="2715"/>
      <c r="O15" s="2773"/>
      <c r="P15" s="3830"/>
      <c r="Q15" s="1352"/>
      <c r="R15" s="705"/>
      <c r="S15" s="706"/>
      <c r="T15" s="705"/>
      <c r="U15" s="706"/>
      <c r="V15" s="705"/>
      <c r="W15" s="706"/>
      <c r="X15" s="1355"/>
      <c r="Y15" s="3830"/>
      <c r="Z15" s="1356"/>
      <c r="AA15" s="1353">
        <v>1</v>
      </c>
      <c r="AB15" s="1353">
        <v>1</v>
      </c>
      <c r="AC15" s="1353">
        <v>1</v>
      </c>
    </row>
    <row r="16" spans="1:29" ht="42.75">
      <c r="A16" s="379"/>
      <c r="B16" s="402" t="s">
        <v>1812</v>
      </c>
      <c r="C16" s="1900"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1"/>
      <c r="M16" s="2715"/>
      <c r="N16" s="2715"/>
      <c r="O16" s="2773"/>
      <c r="P16" s="3830"/>
      <c r="Q16" s="1352" t="str">
        <f>B16</f>
        <v>公共配套设施</v>
      </c>
      <c r="R16" s="705" t="s">
        <v>14</v>
      </c>
      <c r="S16" s="706">
        <f>F16</f>
        <v>100</v>
      </c>
      <c r="T16" s="705" t="s">
        <v>14</v>
      </c>
      <c r="U16" s="706">
        <f>H16</f>
        <v>100</v>
      </c>
      <c r="V16" s="705" t="s">
        <v>14</v>
      </c>
      <c r="W16" s="706">
        <f>J16</f>
        <v>100</v>
      </c>
      <c r="X16" s="1355"/>
      <c r="Y16" s="3830"/>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1"/>
      <c r="M17" s="2715"/>
      <c r="N17" s="2715"/>
      <c r="O17" s="2773"/>
      <c r="P17" s="3830"/>
      <c r="Q17" s="1352"/>
      <c r="R17" s="705"/>
      <c r="S17" s="706"/>
      <c r="T17" s="705"/>
      <c r="U17" s="706"/>
      <c r="V17" s="705"/>
      <c r="W17" s="706"/>
      <c r="X17" s="1355"/>
      <c r="Y17" s="3830"/>
      <c r="Z17" s="1356"/>
      <c r="AA17" s="1353">
        <v>1</v>
      </c>
      <c r="AB17" s="1353">
        <v>1</v>
      </c>
      <c r="AC17" s="1353">
        <v>1</v>
      </c>
    </row>
    <row r="18" spans="1:29" ht="28.5">
      <c r="A18" s="379"/>
      <c r="B18" s="1131" t="s">
        <v>1813</v>
      </c>
      <c r="C18" s="1900"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1"/>
      <c r="M18" s="2715"/>
      <c r="N18" s="2715"/>
      <c r="O18" s="2773"/>
      <c r="P18" s="3830"/>
      <c r="Q18" s="1352" t="str">
        <f>B18</f>
        <v>基础设施水平</v>
      </c>
      <c r="R18" s="705" t="s">
        <v>14</v>
      </c>
      <c r="S18" s="706">
        <f>F18</f>
        <v>100</v>
      </c>
      <c r="T18" s="705" t="s">
        <v>14</v>
      </c>
      <c r="U18" s="706">
        <f>H18</f>
        <v>100</v>
      </c>
      <c r="V18" s="705" t="s">
        <v>14</v>
      </c>
      <c r="W18" s="706">
        <f>J18</f>
        <v>100</v>
      </c>
      <c r="X18" s="1355"/>
      <c r="Y18" s="3830"/>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21"/>
      <c r="M19" s="2715"/>
      <c r="N19" s="2715"/>
      <c r="O19" s="2773"/>
      <c r="P19" s="3830"/>
      <c r="Q19" s="1352"/>
      <c r="R19" s="705"/>
      <c r="S19" s="706"/>
      <c r="T19" s="705"/>
      <c r="U19" s="706"/>
      <c r="V19" s="705"/>
      <c r="W19" s="706"/>
      <c r="X19" s="1355"/>
      <c r="Y19" s="3830"/>
      <c r="Z19" s="1356"/>
      <c r="AA19" s="1353">
        <v>1</v>
      </c>
      <c r="AB19" s="1353">
        <v>1</v>
      </c>
      <c r="AC19" s="1353">
        <v>1</v>
      </c>
    </row>
    <row r="20" spans="1:29" ht="57">
      <c r="A20" s="379"/>
      <c r="B20" s="402" t="s">
        <v>1834</v>
      </c>
      <c r="C20" s="1900"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1"/>
      <c r="M20" s="2715"/>
      <c r="N20" s="2715"/>
      <c r="O20" s="2773"/>
      <c r="P20" s="3830"/>
      <c r="Q20" s="1352" t="str">
        <f>B20</f>
        <v>自然及人文环境</v>
      </c>
      <c r="R20" s="705" t="s">
        <v>14</v>
      </c>
      <c r="S20" s="706">
        <f>F20</f>
        <v>100</v>
      </c>
      <c r="T20" s="705" t="s">
        <v>14</v>
      </c>
      <c r="U20" s="706">
        <f>H20</f>
        <v>100</v>
      </c>
      <c r="V20" s="705" t="s">
        <v>14</v>
      </c>
      <c r="W20" s="706">
        <f>J20</f>
        <v>100</v>
      </c>
      <c r="X20" s="1355"/>
      <c r="Y20" s="3830"/>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1"/>
      <c r="M21" s="2715"/>
      <c r="N21" s="2715"/>
      <c r="O21" s="2773"/>
      <c r="P21" s="3830"/>
      <c r="Q21" s="1352"/>
      <c r="R21" s="705"/>
      <c r="S21" s="706"/>
      <c r="T21" s="705"/>
      <c r="U21" s="706"/>
      <c r="V21" s="705"/>
      <c r="W21" s="706"/>
      <c r="X21" s="1355"/>
      <c r="Y21" s="3830"/>
      <c r="Z21" s="1356"/>
      <c r="AA21" s="1353">
        <v>1</v>
      </c>
      <c r="AB21" s="1353">
        <v>1</v>
      </c>
      <c r="AC21" s="1353">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21"/>
      <c r="M22" s="2715"/>
      <c r="N22" s="2715"/>
      <c r="O22" s="2773"/>
      <c r="P22" s="3830"/>
      <c r="Q22" s="1352" t="str">
        <f>B22</f>
        <v>楼层</v>
      </c>
      <c r="R22" s="705" t="s">
        <v>14</v>
      </c>
      <c r="S22" s="706">
        <f>F22</f>
        <v>100</v>
      </c>
      <c r="T22" s="705" t="s">
        <v>14</v>
      </c>
      <c r="U22" s="706">
        <f>H22</f>
        <v>100</v>
      </c>
      <c r="V22" s="705" t="s">
        <v>14</v>
      </c>
      <c r="W22" s="706">
        <f>J22</f>
        <v>100</v>
      </c>
      <c r="X22" s="1355"/>
      <c r="Y22" s="3830"/>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1"/>
      <c r="M23" s="2715"/>
      <c r="N23" s="2715"/>
      <c r="O23" s="2773"/>
      <c r="P23" s="3830"/>
      <c r="Q23" s="1352">
        <f>B23</f>
        <v>111</v>
      </c>
      <c r="R23" s="705" t="s">
        <v>14</v>
      </c>
      <c r="S23" s="706">
        <f>F23</f>
        <v>100</v>
      </c>
      <c r="T23" s="705" t="s">
        <v>14</v>
      </c>
      <c r="U23" s="706">
        <f>H23</f>
        <v>100</v>
      </c>
      <c r="V23" s="705" t="s">
        <v>14</v>
      </c>
      <c r="W23" s="706">
        <f>J23</f>
        <v>100</v>
      </c>
      <c r="X23" s="1355"/>
      <c r="Y23" s="3830"/>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1"/>
      <c r="M24" s="2715"/>
      <c r="N24" s="2715"/>
      <c r="O24" s="2773"/>
      <c r="P24" s="3830"/>
      <c r="Q24" s="1352">
        <f t="shared" ref="Q24:Q34" si="11">B24</f>
        <v>111</v>
      </c>
      <c r="R24" s="705" t="s">
        <v>14</v>
      </c>
      <c r="S24" s="706">
        <f>F24</f>
        <v>100</v>
      </c>
      <c r="T24" s="705" t="s">
        <v>14</v>
      </c>
      <c r="U24" s="706">
        <f>H24</f>
        <v>100</v>
      </c>
      <c r="V24" s="705" t="s">
        <v>14</v>
      </c>
      <c r="W24" s="706">
        <f>J24</f>
        <v>100</v>
      </c>
      <c r="X24" s="1355"/>
      <c r="Y24" s="3830"/>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6"/>
      <c r="M25" s="2717"/>
      <c r="N25" s="2717"/>
      <c r="O25" s="2771"/>
      <c r="P25" s="3830"/>
      <c r="Q25" s="1343">
        <f t="shared" si="11"/>
        <v>111</v>
      </c>
      <c r="R25" s="701" t="s">
        <v>14</v>
      </c>
      <c r="S25" s="702">
        <f>F25</f>
        <v>100</v>
      </c>
      <c r="T25" s="701" t="s">
        <v>14</v>
      </c>
      <c r="U25" s="702">
        <f>H25</f>
        <v>100</v>
      </c>
      <c r="V25" s="701" t="s">
        <v>14</v>
      </c>
      <c r="W25" s="702">
        <f>J25</f>
        <v>100</v>
      </c>
      <c r="X25" s="703"/>
      <c r="Y25" s="3830"/>
      <c r="Z25" s="52">
        <f>Q25</f>
        <v>111</v>
      </c>
      <c r="AA25" s="1353">
        <f>D25/F25</f>
        <v>1</v>
      </c>
      <c r="AB25" s="1353">
        <f>D25/H25</f>
        <v>1</v>
      </c>
      <c r="AC25" s="1353">
        <f>D25/J25</f>
        <v>1</v>
      </c>
    </row>
    <row r="26" spans="1:29" ht="28.5">
      <c r="A26" s="417" t="s">
        <v>1694</v>
      </c>
      <c r="B26" s="63" t="s">
        <v>1838</v>
      </c>
      <c r="C26" s="1967"/>
      <c r="D26" s="418">
        <v>100</v>
      </c>
      <c r="E26" s="1967"/>
      <c r="F26" s="615">
        <f>SUMIF(77:77,E26,78:78)-SUMIF(77:77,C26,78:78)+100</f>
        <v>100</v>
      </c>
      <c r="G26" s="1967"/>
      <c r="H26" s="418">
        <f>SUMIF(77:77,G26,78:78)-SUMIF(77:77,C26,78:78)+100</f>
        <v>100</v>
      </c>
      <c r="I26" s="1967"/>
      <c r="J26" s="418">
        <f>SUMIF(77:77,I26,78:78)-SUMIF(77:77,C26,78:78)+100</f>
        <v>100</v>
      </c>
      <c r="K26" s="561"/>
      <c r="L26" s="2721"/>
      <c r="M26" s="2715"/>
      <c r="N26" s="2715"/>
      <c r="O26" s="2773"/>
      <c r="P26" s="3856" t="s">
        <v>1696</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834" t="s">
        <v>1696</v>
      </c>
      <c r="Z26" s="1356" t="str">
        <f t="shared" ref="Z26:Z34" si="15">Q26</f>
        <v>公共部分装修</v>
      </c>
      <c r="AA26" s="1353">
        <f t="shared" si="3"/>
        <v>1</v>
      </c>
      <c r="AB26" s="1353">
        <f t="shared" si="4"/>
        <v>1</v>
      </c>
      <c r="AC26" s="1353">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20"/>
      <c r="M27" s="2722"/>
      <c r="N27" s="2722"/>
      <c r="O27" s="2774"/>
      <c r="P27" s="3834"/>
      <c r="Q27" s="707" t="str">
        <f t="shared" si="11"/>
        <v>成新率</v>
      </c>
      <c r="R27" s="708" t="s">
        <v>14</v>
      </c>
      <c r="S27" s="709" t="e">
        <f t="shared" si="12"/>
        <v>#N/A</v>
      </c>
      <c r="T27" s="708" t="s">
        <v>14</v>
      </c>
      <c r="U27" s="709" t="e">
        <f t="shared" si="13"/>
        <v>#N/A</v>
      </c>
      <c r="V27" s="708" t="s">
        <v>14</v>
      </c>
      <c r="W27" s="709" t="e">
        <f t="shared" si="14"/>
        <v>#N/A</v>
      </c>
      <c r="X27" s="710"/>
      <c r="Y27" s="3834"/>
      <c r="Z27" s="711" t="str">
        <f t="shared" si="15"/>
        <v>成新率</v>
      </c>
      <c r="AA27" s="1353" t="e">
        <f t="shared" si="3"/>
        <v>#N/A</v>
      </c>
      <c r="AB27" s="1353" t="e">
        <f t="shared" si="4"/>
        <v>#N/A</v>
      </c>
      <c r="AC27" s="1353"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21"/>
      <c r="M28" s="2715"/>
      <c r="N28" s="2715"/>
      <c r="O28" s="2773"/>
      <c r="P28" s="3834"/>
      <c r="Q28" s="1352" t="str">
        <f t="shared" si="11"/>
        <v>物业等级</v>
      </c>
      <c r="R28" s="705" t="s">
        <v>14</v>
      </c>
      <c r="S28" s="706">
        <f t="shared" si="12"/>
        <v>100</v>
      </c>
      <c r="T28" s="705" t="s">
        <v>14</v>
      </c>
      <c r="U28" s="706">
        <f t="shared" si="13"/>
        <v>100</v>
      </c>
      <c r="V28" s="705" t="s">
        <v>14</v>
      </c>
      <c r="W28" s="706">
        <f t="shared" si="14"/>
        <v>100</v>
      </c>
      <c r="X28" s="1355"/>
      <c r="Y28" s="3834"/>
      <c r="Z28" s="1356" t="str">
        <f t="shared" si="15"/>
        <v>物业等级</v>
      </c>
      <c r="AA28" s="1353">
        <f t="shared" si="3"/>
        <v>1</v>
      </c>
      <c r="AB28" s="1353">
        <f t="shared" si="4"/>
        <v>1</v>
      </c>
      <c r="AC28" s="1353">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21"/>
      <c r="M29" s="2715"/>
      <c r="N29" s="2715"/>
      <c r="O29" s="2773"/>
      <c r="P29" s="3834"/>
      <c r="Q29" s="1352" t="str">
        <f t="shared" si="11"/>
        <v>有无电梯</v>
      </c>
      <c r="R29" s="705" t="s">
        <v>14</v>
      </c>
      <c r="S29" s="706">
        <f t="shared" si="12"/>
        <v>100</v>
      </c>
      <c r="T29" s="705" t="s">
        <v>14</v>
      </c>
      <c r="U29" s="706">
        <f t="shared" si="13"/>
        <v>100</v>
      </c>
      <c r="V29" s="705" t="s">
        <v>14</v>
      </c>
      <c r="W29" s="706">
        <f t="shared" si="14"/>
        <v>100</v>
      </c>
      <c r="X29" s="1355"/>
      <c r="Y29" s="3834"/>
      <c r="Z29" s="1356" t="str">
        <f t="shared" si="15"/>
        <v>有无电梯</v>
      </c>
      <c r="AA29" s="1353">
        <f t="shared" si="3"/>
        <v>1</v>
      </c>
      <c r="AB29" s="1353">
        <f t="shared" si="4"/>
        <v>1</v>
      </c>
      <c r="AC29" s="1353">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1"/>
      <c r="M30" s="2715"/>
      <c r="N30" s="2715"/>
      <c r="O30" s="2773"/>
      <c r="P30" s="3834"/>
      <c r="Q30" s="1352" t="str">
        <f t="shared" si="11"/>
        <v>建筑面积</v>
      </c>
      <c r="R30" s="705" t="s">
        <v>14</v>
      </c>
      <c r="S30" s="706" t="e">
        <f t="shared" si="12"/>
        <v>#N/A</v>
      </c>
      <c r="T30" s="705" t="s">
        <v>14</v>
      </c>
      <c r="U30" s="706" t="e">
        <f t="shared" si="13"/>
        <v>#N/A</v>
      </c>
      <c r="V30" s="705" t="s">
        <v>14</v>
      </c>
      <c r="W30" s="706" t="e">
        <f t="shared" si="14"/>
        <v>#N/A</v>
      </c>
      <c r="X30" s="1355"/>
      <c r="Y30" s="3834"/>
      <c r="Z30" s="1356" t="str">
        <f t="shared" si="15"/>
        <v>建筑面积</v>
      </c>
      <c r="AA30" s="1353" t="e">
        <f t="shared" si="3"/>
        <v>#N/A</v>
      </c>
      <c r="AB30" s="1353" t="e">
        <f t="shared" si="4"/>
        <v>#N/A</v>
      </c>
      <c r="AC30" s="1353"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6"/>
      <c r="M31" s="2717"/>
      <c r="N31" s="2717"/>
      <c r="O31" s="2771"/>
      <c r="P31" s="3834"/>
      <c r="Q31" s="1343" t="str">
        <f t="shared" si="11"/>
        <v>是否封闭</v>
      </c>
      <c r="R31" s="701" t="s">
        <v>14</v>
      </c>
      <c r="S31" s="702">
        <f t="shared" si="12"/>
        <v>100</v>
      </c>
      <c r="T31" s="701" t="s">
        <v>14</v>
      </c>
      <c r="U31" s="702">
        <f t="shared" si="13"/>
        <v>100</v>
      </c>
      <c r="V31" s="701" t="s">
        <v>14</v>
      </c>
      <c r="W31" s="702">
        <f t="shared" si="14"/>
        <v>100</v>
      </c>
      <c r="X31" s="703"/>
      <c r="Y31" s="3834"/>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1"/>
      <c r="M32" s="2715"/>
      <c r="N32" s="2715"/>
      <c r="O32" s="2773"/>
      <c r="P32" s="3834" t="s">
        <v>1696</v>
      </c>
      <c r="Q32" s="1352">
        <f t="shared" si="11"/>
        <v>111</v>
      </c>
      <c r="R32" s="705" t="s">
        <v>14</v>
      </c>
      <c r="S32" s="706">
        <f t="shared" si="12"/>
        <v>100</v>
      </c>
      <c r="T32" s="705" t="s">
        <v>14</v>
      </c>
      <c r="U32" s="706">
        <f t="shared" si="13"/>
        <v>100</v>
      </c>
      <c r="V32" s="705" t="s">
        <v>14</v>
      </c>
      <c r="W32" s="706">
        <f t="shared" si="14"/>
        <v>100</v>
      </c>
      <c r="X32" s="1355"/>
      <c r="Y32" s="3834" t="s">
        <v>1696</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1"/>
      <c r="M33" s="2715"/>
      <c r="N33" s="2715"/>
      <c r="O33" s="2773"/>
      <c r="P33" s="3834"/>
      <c r="Q33" s="1352">
        <f t="shared" si="11"/>
        <v>111</v>
      </c>
      <c r="R33" s="705" t="s">
        <v>14</v>
      </c>
      <c r="S33" s="706">
        <f t="shared" si="12"/>
        <v>100</v>
      </c>
      <c r="T33" s="705" t="s">
        <v>14</v>
      </c>
      <c r="U33" s="706">
        <f t="shared" si="13"/>
        <v>100</v>
      </c>
      <c r="V33" s="705" t="s">
        <v>14</v>
      </c>
      <c r="W33" s="706">
        <f t="shared" si="14"/>
        <v>100</v>
      </c>
      <c r="X33" s="1355"/>
      <c r="Y33" s="3834"/>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1"/>
      <c r="M34" s="2715"/>
      <c r="N34" s="2715"/>
      <c r="O34" s="2773"/>
      <c r="P34" s="3834"/>
      <c r="Q34" s="1352">
        <f t="shared" si="11"/>
        <v>111</v>
      </c>
      <c r="R34" s="705" t="s">
        <v>14</v>
      </c>
      <c r="S34" s="706">
        <f t="shared" si="12"/>
        <v>100</v>
      </c>
      <c r="T34" s="705" t="s">
        <v>14</v>
      </c>
      <c r="U34" s="706">
        <f t="shared" si="13"/>
        <v>100</v>
      </c>
      <c r="V34" s="705" t="s">
        <v>14</v>
      </c>
      <c r="W34" s="706">
        <f t="shared" si="14"/>
        <v>100</v>
      </c>
      <c r="X34" s="1355"/>
      <c r="Y34" s="3834"/>
      <c r="Z34" s="1356">
        <f t="shared" si="15"/>
        <v>111</v>
      </c>
      <c r="AA34" s="1353">
        <f t="shared" si="3"/>
        <v>1</v>
      </c>
      <c r="AB34" s="1353">
        <f t="shared" si="4"/>
        <v>1</v>
      </c>
      <c r="AC34" s="1353">
        <f t="shared" si="5"/>
        <v>1</v>
      </c>
    </row>
    <row r="35" spans="1:30" ht="15">
      <c r="A35" s="430" t="s">
        <v>1708</v>
      </c>
      <c r="B35" s="431"/>
      <c r="C35" s="1154" t="s">
        <v>0</v>
      </c>
      <c r="D35" s="1155"/>
      <c r="E35" s="1156"/>
      <c r="F35" s="1157"/>
      <c r="G35" s="1158"/>
      <c r="H35" s="1159"/>
      <c r="I35" s="1156"/>
      <c r="J35" s="1159"/>
      <c r="K35" s="714"/>
      <c r="L35" s="2723"/>
      <c r="M35" s="2724"/>
      <c r="N35" s="2715"/>
      <c r="O35" s="2724"/>
      <c r="P35" s="3827" t="str">
        <f>A35</f>
        <v>成交单价（元/平方米）</v>
      </c>
      <c r="Q35" s="3827"/>
      <c r="R35" s="3828">
        <f>E35</f>
        <v>0</v>
      </c>
      <c r="S35" s="3828"/>
      <c r="T35" s="3828">
        <f>G35</f>
        <v>0</v>
      </c>
      <c r="U35" s="3828"/>
      <c r="V35" s="3828">
        <f>I35</f>
        <v>0</v>
      </c>
      <c r="W35" s="3828"/>
      <c r="X35" s="690"/>
      <c r="Y35" s="712"/>
      <c r="Z35" s="690"/>
      <c r="AA35" s="690"/>
      <c r="AB35" s="690"/>
      <c r="AC35" s="690"/>
    </row>
    <row r="36" spans="1:30" ht="15.75" thickBot="1">
      <c r="A36" s="437" t="s">
        <v>1793</v>
      </c>
      <c r="B36" s="438"/>
      <c r="C36" s="1160" t="e">
        <f>R37</f>
        <v>#DIV/0!</v>
      </c>
      <c r="D36" s="2317" t="s">
        <v>2138</v>
      </c>
      <c r="E36" s="1161" t="e">
        <f>R36</f>
        <v>#DIV/0!</v>
      </c>
      <c r="F36" s="2318"/>
      <c r="G36" s="1160" t="e">
        <f>T36</f>
        <v>#DIV/0!</v>
      </c>
      <c r="H36" s="2318"/>
      <c r="I36" s="1161" t="e">
        <f>V36</f>
        <v>#DIV/0!</v>
      </c>
      <c r="J36" s="2318"/>
      <c r="K36" s="2320">
        <f>F36+H36+J36</f>
        <v>0</v>
      </c>
      <c r="L36" s="2723"/>
      <c r="M36" s="2724"/>
      <c r="N36" s="2715"/>
      <c r="O36" s="2724"/>
      <c r="P36" s="3827" t="str">
        <f>A36</f>
        <v>比较价值（元/平方米）</v>
      </c>
      <c r="Q36" s="3827"/>
      <c r="R36" s="3828" t="e">
        <f>IF(F1="售价",ROUND(PRODUCT(R35,AA7:AA34),0),ROUND(PRODUCT(R35,AA7:AA34),1))</f>
        <v>#DIV/0!</v>
      </c>
      <c r="S36" s="3828"/>
      <c r="T36" s="3828" t="e">
        <f>IF(F1="售价",ROUND(PRODUCT(T35,AB7:AB34),0),ROUND(PRODUCT(T35,AB7:AB34),1))</f>
        <v>#DIV/0!</v>
      </c>
      <c r="U36" s="3828"/>
      <c r="V36" s="3828" t="e">
        <f>IF(F1="售价",ROUND(PRODUCT(V35,AC7:AC34),0),ROUND(PRODUCT(V35,AC7:AC34),1))</f>
        <v>#DIV/0!</v>
      </c>
      <c r="W36" s="3828"/>
      <c r="X36" s="690"/>
      <c r="Y36" s="690"/>
      <c r="Z36" s="690"/>
      <c r="AA36" s="690"/>
      <c r="AB36" s="690"/>
      <c r="AC36" s="690"/>
    </row>
    <row r="37" spans="1:30" ht="15.75" thickBot="1">
      <c r="A37" s="441" t="s">
        <v>1794</v>
      </c>
      <c r="B37" s="442"/>
      <c r="C37" s="1163" t="e">
        <f>R37</f>
        <v>#DIV/0!</v>
      </c>
      <c r="D37" s="1163"/>
      <c r="E37" s="1163"/>
      <c r="F37" s="1163"/>
      <c r="G37" s="1163"/>
      <c r="H37" s="1163"/>
      <c r="I37" s="1163"/>
      <c r="J37" s="1163"/>
      <c r="K37" s="715"/>
      <c r="L37" s="2723"/>
      <c r="M37" s="2724"/>
      <c r="N37" s="2724"/>
      <c r="O37" s="2724"/>
      <c r="P37" s="3824" t="str">
        <f>A37</f>
        <v>估价对象XX用房的比较价值（楼面单价，元/平方米）</v>
      </c>
      <c r="Q37" s="3825"/>
      <c r="R37" s="3857" t="e">
        <f>IF(F1="售价",ROUND(IF(D36="简单平均",AVERAGE(R36:W36),R36*F36+T36*H36+V36*J36),0),ROUND(IF(D36="简单平均",AVERAGE(R36:V36),R36*F36+T36*H36+V36*J36),1))</f>
        <v>#DIV/0!</v>
      </c>
      <c r="S37" s="3857"/>
      <c r="T37" s="3857"/>
      <c r="U37" s="3857"/>
      <c r="V37" s="3857"/>
      <c r="W37" s="3857"/>
      <c r="X37" s="690"/>
      <c r="Y37" s="690"/>
      <c r="Z37" s="690"/>
      <c r="AA37" s="690"/>
      <c r="AB37" s="690"/>
      <c r="AC37" s="690"/>
    </row>
    <row r="38" spans="1:30">
      <c r="A38" s="2724"/>
      <c r="B38" s="2724"/>
      <c r="C38" s="2724"/>
      <c r="D38" s="2724"/>
      <c r="E38" s="2724"/>
      <c r="F38" s="2724"/>
      <c r="G38" s="2728"/>
      <c r="H38" s="2724"/>
      <c r="I38" s="2724"/>
      <c r="J38" s="2724"/>
      <c r="K38" s="2729"/>
      <c r="L38" s="2725"/>
      <c r="M38" s="2724"/>
      <c r="N38" s="2724"/>
      <c r="O38" s="2724"/>
      <c r="P38" s="2724"/>
      <c r="Q38" s="2724"/>
      <c r="R38" s="2724"/>
      <c r="S38" s="2724"/>
      <c r="T38" s="2724"/>
      <c r="U38" s="2724"/>
      <c r="V38" s="2724"/>
      <c r="W38" s="2724"/>
      <c r="X38" s="2724"/>
      <c r="Y38" s="2724"/>
      <c r="Z38" s="2724"/>
      <c r="AA38" s="2724"/>
      <c r="AB38" s="2724"/>
      <c r="AC38" s="2724"/>
      <c r="AD38" s="2724"/>
    </row>
    <row r="39" spans="1:30">
      <c r="A39" s="2724"/>
      <c r="B39" s="2724"/>
      <c r="C39" s="2724"/>
      <c r="D39" s="2724"/>
      <c r="E39" s="2724"/>
      <c r="F39" s="2724"/>
      <c r="G39" s="2724"/>
      <c r="H39" s="2724"/>
      <c r="I39" s="2724"/>
      <c r="J39" s="2724"/>
      <c r="K39" s="2729"/>
      <c r="L39" s="2725"/>
      <c r="M39" s="2724"/>
      <c r="N39" s="2724"/>
      <c r="O39" s="2724"/>
      <c r="P39" s="2724"/>
      <c r="Q39" s="2724"/>
      <c r="R39" s="2724"/>
      <c r="S39" s="2724"/>
      <c r="T39" s="2724"/>
      <c r="U39" s="2724"/>
      <c r="V39" s="2724"/>
      <c r="W39" s="2724"/>
      <c r="X39" s="2724"/>
      <c r="Y39" s="2724"/>
      <c r="Z39" s="2724"/>
      <c r="AA39" s="2724"/>
      <c r="AB39" s="2724"/>
      <c r="AC39" s="2724"/>
      <c r="AD39" s="2724"/>
    </row>
    <row r="40" spans="1:30" ht="13.5" customHeight="1">
      <c r="A40" s="2724"/>
      <c r="B40" s="2724"/>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9"/>
      <c r="L40" s="2725"/>
      <c r="M40" s="2724"/>
      <c r="N40" s="2724"/>
      <c r="O40" s="2724"/>
      <c r="P40" s="2724"/>
      <c r="Q40" s="2724"/>
      <c r="R40" s="2724"/>
      <c r="S40" s="2724"/>
      <c r="T40" s="2724"/>
      <c r="U40" s="2724"/>
      <c r="V40" s="2724"/>
      <c r="W40" s="2724"/>
      <c r="X40" s="2724"/>
      <c r="Y40" s="2724"/>
      <c r="Z40" s="2724"/>
      <c r="AA40" s="2724"/>
      <c r="AB40" s="2724"/>
      <c r="AC40" s="2724"/>
      <c r="AD40" s="2724"/>
    </row>
    <row r="41" spans="1:30" ht="13.5" customHeight="1">
      <c r="A41" s="2724"/>
      <c r="B41" s="2724"/>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9"/>
      <c r="L41" s="2725"/>
      <c r="M41" s="2724"/>
      <c r="N41" s="2724"/>
      <c r="O41" s="2724"/>
      <c r="P41" s="2724"/>
      <c r="Q41" s="2724"/>
      <c r="R41" s="2724"/>
      <c r="S41" s="2724"/>
      <c r="T41" s="2724"/>
      <c r="U41" s="2724"/>
      <c r="V41" s="2724"/>
      <c r="W41" s="2724"/>
      <c r="X41" s="2724"/>
      <c r="Y41" s="2724"/>
      <c r="Z41" s="2724"/>
      <c r="AA41" s="2724"/>
      <c r="AB41" s="2724"/>
      <c r="AC41" s="2724"/>
      <c r="AD41" s="2724"/>
    </row>
    <row r="42" spans="1:30" s="451" customFormat="1" ht="13.5" customHeight="1">
      <c r="A42" s="2727"/>
      <c r="B42" s="2727"/>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2"/>
      <c r="L42" s="2726"/>
      <c r="M42" s="2727"/>
      <c r="N42" s="2727"/>
      <c r="O42" s="2727"/>
      <c r="P42" s="2727"/>
      <c r="Q42" s="2727"/>
      <c r="R42" s="2727"/>
      <c r="S42" s="2727"/>
      <c r="T42" s="2727"/>
      <c r="U42" s="2727"/>
      <c r="V42" s="2727"/>
      <c r="W42" s="2727"/>
      <c r="X42" s="2727"/>
      <c r="Y42" s="2727"/>
      <c r="Z42" s="2727"/>
      <c r="AA42" s="2727"/>
      <c r="AB42" s="2727"/>
      <c r="AC42" s="2727"/>
      <c r="AD42" s="2727"/>
    </row>
    <row r="43" spans="1:30" s="451" customFormat="1">
      <c r="A43" s="2727"/>
      <c r="B43" s="2730"/>
      <c r="C43" s="2731"/>
      <c r="D43" s="2727"/>
      <c r="E43" s="2727"/>
      <c r="F43" s="2727"/>
      <c r="G43" s="2727"/>
      <c r="H43" s="2727"/>
      <c r="I43" s="2727"/>
      <c r="J43" s="2727"/>
      <c r="K43" s="2732"/>
      <c r="L43" s="2726"/>
      <c r="M43" s="2727"/>
      <c r="N43" s="2727"/>
      <c r="O43" s="2727"/>
      <c r="P43" s="2727"/>
      <c r="Q43" s="2727"/>
      <c r="R43" s="2727"/>
      <c r="S43" s="2727"/>
      <c r="T43" s="2727"/>
      <c r="U43" s="2727"/>
      <c r="V43" s="2727"/>
      <c r="W43" s="2727"/>
      <c r="X43" s="2727"/>
      <c r="Y43" s="2727"/>
      <c r="Z43" s="2727"/>
      <c r="AA43" s="2727"/>
      <c r="AB43" s="2727"/>
      <c r="AC43" s="2727"/>
      <c r="AD43" s="2727"/>
    </row>
    <row r="44" spans="1:30">
      <c r="A44" s="2724"/>
      <c r="B44" s="2730"/>
      <c r="C44" s="2731"/>
      <c r="D44" s="2724"/>
      <c r="E44" s="2724"/>
      <c r="F44" s="2724"/>
      <c r="G44" s="2724"/>
      <c r="H44" s="2724"/>
      <c r="I44" s="2724"/>
      <c r="J44" s="2724"/>
      <c r="K44" s="2729"/>
      <c r="L44" s="2725"/>
      <c r="M44" s="2724"/>
      <c r="N44" s="2724"/>
      <c r="O44" s="2724"/>
      <c r="P44" s="2724"/>
      <c r="Q44" s="2724"/>
      <c r="R44" s="2724"/>
      <c r="S44" s="2724"/>
      <c r="T44" s="2724"/>
      <c r="U44" s="2724"/>
      <c r="V44" s="2724"/>
      <c r="W44" s="2724"/>
      <c r="X44" s="2724"/>
      <c r="Y44" s="2724"/>
      <c r="Z44" s="2724"/>
      <c r="AA44" s="2724"/>
      <c r="AB44" s="2724"/>
      <c r="AC44" s="2724"/>
      <c r="AD44" s="2724"/>
    </row>
    <row r="45" spans="1:30" ht="21.75" thickBot="1">
      <c r="A45" s="694" t="s">
        <v>1798</v>
      </c>
      <c r="B45" s="690"/>
      <c r="C45" s="695"/>
      <c r="D45" s="695"/>
      <c r="E45" s="695"/>
      <c r="F45" s="696"/>
      <c r="G45" s="696"/>
      <c r="H45" s="695"/>
      <c r="I45" s="695"/>
      <c r="J45" s="695"/>
      <c r="K45" s="697"/>
      <c r="L45" s="698"/>
      <c r="M45" s="695"/>
      <c r="N45" s="2768"/>
      <c r="O45" s="2768"/>
      <c r="P45" s="2768"/>
      <c r="Q45" s="2738"/>
      <c r="R45" s="2724"/>
      <c r="S45" s="2724"/>
      <c r="T45" s="2724"/>
      <c r="U45" s="2724"/>
      <c r="V45" s="2724"/>
      <c r="W45" s="2724"/>
      <c r="X45" s="2724"/>
      <c r="Y45" s="2724"/>
      <c r="Z45" s="2724"/>
      <c r="AA45" s="2724"/>
      <c r="AB45" s="2724"/>
      <c r="AC45" s="2724"/>
      <c r="AD45" s="2724"/>
    </row>
    <row r="46" spans="1:30" s="457" customFormat="1" ht="15">
      <c r="A46" s="454" t="s">
        <v>1679</v>
      </c>
      <c r="B46" s="455"/>
      <c r="C46" s="1184" t="str">
        <f>YEAR(C7)&amp;"-"&amp;MONTH(C7)</f>
        <v>2022-12</v>
      </c>
      <c r="D46" s="1185">
        <f>EDATE(C46,-1)</f>
        <v>44866</v>
      </c>
      <c r="E46" s="1185">
        <f t="shared" ref="E46:O46" si="16">EDATE(D46,-1)</f>
        <v>44835</v>
      </c>
      <c r="F46" s="1185">
        <f t="shared" si="16"/>
        <v>44805</v>
      </c>
      <c r="G46" s="1185">
        <f t="shared" si="16"/>
        <v>44774</v>
      </c>
      <c r="H46" s="1185">
        <f t="shared" si="16"/>
        <v>44743</v>
      </c>
      <c r="I46" s="1185">
        <f t="shared" si="16"/>
        <v>44713</v>
      </c>
      <c r="J46" s="1185">
        <f t="shared" si="16"/>
        <v>44682</v>
      </c>
      <c r="K46" s="1185">
        <f t="shared" si="16"/>
        <v>44652</v>
      </c>
      <c r="L46" s="1185">
        <f t="shared" si="16"/>
        <v>44621</v>
      </c>
      <c r="M46" s="1185">
        <f t="shared" si="16"/>
        <v>44593</v>
      </c>
      <c r="N46" s="1185">
        <f t="shared" si="16"/>
        <v>44562</v>
      </c>
      <c r="O46" s="1185">
        <f t="shared" si="16"/>
        <v>44531</v>
      </c>
      <c r="P46" s="2775"/>
      <c r="Q46" s="2740"/>
      <c r="R46" s="2740"/>
      <c r="S46" s="2740"/>
      <c r="T46" s="2740"/>
      <c r="U46" s="2740"/>
      <c r="V46" s="2740"/>
      <c r="W46" s="2740"/>
      <c r="X46" s="2740"/>
      <c r="Y46" s="2740"/>
      <c r="Z46" s="2740"/>
      <c r="AA46" s="2740"/>
      <c r="AB46" s="2740"/>
      <c r="AC46" s="2740"/>
      <c r="AD46" s="2740"/>
    </row>
    <row r="47" spans="1:30" s="108" customFormat="1" ht="15">
      <c r="A47" s="458"/>
      <c r="B47" s="459"/>
      <c r="C47" s="1183">
        <v>100</v>
      </c>
      <c r="D47" s="461"/>
      <c r="E47" s="461"/>
      <c r="F47" s="461"/>
      <c r="G47" s="461"/>
      <c r="H47" s="461"/>
      <c r="I47" s="461"/>
      <c r="J47" s="461"/>
      <c r="K47" s="461"/>
      <c r="L47" s="461"/>
      <c r="M47" s="462"/>
      <c r="N47" s="461"/>
      <c r="O47" s="463"/>
      <c r="P47" s="2738"/>
      <c r="Q47" s="2660"/>
      <c r="R47" s="2660"/>
      <c r="S47" s="2660"/>
      <c r="T47" s="2660"/>
      <c r="U47" s="2660"/>
      <c r="V47" s="2660"/>
      <c r="W47" s="2660"/>
      <c r="X47" s="2660"/>
      <c r="Y47" s="2660"/>
      <c r="Z47" s="2660"/>
      <c r="AA47" s="2660"/>
      <c r="AB47" s="2660"/>
      <c r="AC47" s="2660"/>
      <c r="AD47" s="2660"/>
    </row>
    <row r="48" spans="1:30" s="108" customFormat="1" ht="15.75" thickBot="1">
      <c r="A48" s="464" t="s">
        <v>1716</v>
      </c>
      <c r="B48" s="465"/>
      <c r="C48" s="466"/>
      <c r="D48" s="467"/>
      <c r="E48" s="467"/>
      <c r="F48" s="467"/>
      <c r="G48" s="467"/>
      <c r="H48" s="467"/>
      <c r="I48" s="467"/>
      <c r="J48" s="467"/>
      <c r="K48" s="467"/>
      <c r="L48" s="467"/>
      <c r="M48" s="468"/>
      <c r="N48" s="467"/>
      <c r="O48" s="469"/>
      <c r="P48" s="2738"/>
      <c r="Q48" s="2738"/>
      <c r="R48" s="2660"/>
      <c r="S48" s="2660"/>
      <c r="T48" s="2660"/>
      <c r="U48" s="2660"/>
      <c r="V48" s="2660"/>
      <c r="W48" s="2660"/>
      <c r="X48" s="2660"/>
      <c r="Y48" s="2660"/>
      <c r="Z48" s="2660"/>
      <c r="AA48" s="2660"/>
      <c r="AB48" s="2660"/>
      <c r="AC48" s="2660"/>
      <c r="AD48" s="2660"/>
    </row>
    <row r="49" spans="1:30" s="108" customFormat="1" ht="15">
      <c r="A49" s="470" t="s">
        <v>1681</v>
      </c>
      <c r="B49" s="459"/>
      <c r="C49" s="471" t="s">
        <v>1776</v>
      </c>
      <c r="D49" s="472"/>
      <c r="E49" s="472"/>
      <c r="F49" s="472"/>
      <c r="G49" s="472"/>
      <c r="H49" s="472"/>
      <c r="I49" s="472"/>
      <c r="J49" s="472"/>
      <c r="K49" s="472"/>
      <c r="L49" s="473"/>
      <c r="M49" s="474"/>
      <c r="N49" s="2751"/>
      <c r="O49" s="2751"/>
      <c r="P49" s="2776"/>
      <c r="Q49" s="2738"/>
      <c r="R49" s="2660"/>
      <c r="S49" s="2660"/>
      <c r="T49" s="2660"/>
      <c r="U49" s="2660"/>
      <c r="V49" s="2660"/>
      <c r="W49" s="2660"/>
      <c r="X49" s="2660"/>
      <c r="Y49" s="2660"/>
      <c r="Z49" s="2660"/>
      <c r="AA49" s="2660"/>
      <c r="AB49" s="2660"/>
      <c r="AC49" s="2660"/>
      <c r="AD49" s="2660"/>
    </row>
    <row r="50" spans="1:30" s="108" customFormat="1" ht="15.75" thickBot="1">
      <c r="A50" s="470"/>
      <c r="B50" s="459"/>
      <c r="C50" s="587">
        <v>100</v>
      </c>
      <c r="D50" s="461"/>
      <c r="E50" s="461"/>
      <c r="F50" s="461"/>
      <c r="G50" s="461"/>
      <c r="H50" s="461"/>
      <c r="I50" s="461"/>
      <c r="J50" s="461"/>
      <c r="K50" s="461"/>
      <c r="L50" s="461"/>
      <c r="M50" s="463"/>
      <c r="N50" s="2751"/>
      <c r="O50" s="2751"/>
      <c r="P50" s="2738"/>
      <c r="Q50" s="2738"/>
      <c r="R50" s="2660"/>
      <c r="S50" s="2660"/>
      <c r="T50" s="2660"/>
      <c r="U50" s="2660"/>
      <c r="V50" s="2660"/>
      <c r="W50" s="2660"/>
      <c r="X50" s="2660"/>
      <c r="Y50" s="2660"/>
      <c r="Z50" s="2660"/>
      <c r="AA50" s="2660"/>
      <c r="AB50" s="2660"/>
      <c r="AC50" s="2660"/>
      <c r="AD50" s="2660"/>
    </row>
    <row r="51" spans="1:30">
      <c r="A51" s="476" t="s">
        <v>1719</v>
      </c>
      <c r="B51" s="477" t="s">
        <v>1685</v>
      </c>
      <c r="C51" s="478">
        <f>C9</f>
        <v>0</v>
      </c>
      <c r="D51" s="479"/>
      <c r="E51" s="479"/>
      <c r="F51" s="479"/>
      <c r="G51" s="479"/>
      <c r="H51" s="479"/>
      <c r="I51" s="479"/>
      <c r="J51" s="479"/>
      <c r="K51" s="480"/>
      <c r="L51" s="481"/>
      <c r="M51" s="482"/>
      <c r="N51" s="2752"/>
      <c r="O51" s="2752"/>
      <c r="P51" s="2777"/>
      <c r="Q51" s="2738"/>
      <c r="R51" s="2724"/>
      <c r="S51" s="2724"/>
      <c r="T51" s="2724"/>
      <c r="U51" s="2724"/>
      <c r="V51" s="2724"/>
      <c r="W51" s="2724"/>
      <c r="X51" s="2724"/>
      <c r="Y51" s="2724"/>
      <c r="Z51" s="2724"/>
      <c r="AA51" s="2724"/>
      <c r="AB51" s="2724"/>
      <c r="AC51" s="2724"/>
      <c r="AD51" s="2724"/>
    </row>
    <row r="52" spans="1:30" ht="15.75" thickBot="1">
      <c r="A52" s="483"/>
      <c r="B52" s="484"/>
      <c r="C52" s="485">
        <v>100</v>
      </c>
      <c r="D52" s="485"/>
      <c r="E52" s="485"/>
      <c r="F52" s="485"/>
      <c r="G52" s="485"/>
      <c r="H52" s="485"/>
      <c r="I52" s="485"/>
      <c r="J52" s="485"/>
      <c r="K52" s="485"/>
      <c r="L52" s="485"/>
      <c r="M52" s="486"/>
      <c r="N52" s="2753"/>
      <c r="O52" s="2753"/>
      <c r="P52" s="2777"/>
      <c r="Q52" s="2738"/>
      <c r="R52" s="2724"/>
      <c r="S52" s="2724"/>
      <c r="T52" s="2724"/>
      <c r="U52" s="2724"/>
      <c r="V52" s="2724"/>
      <c r="W52" s="2724"/>
      <c r="X52" s="2724"/>
      <c r="Y52" s="2724"/>
      <c r="Z52" s="2724"/>
      <c r="AA52" s="2724"/>
      <c r="AB52" s="2724"/>
      <c r="AC52" s="2724"/>
      <c r="AD52" s="2724"/>
    </row>
    <row r="53" spans="1:30" ht="27.75" thickTop="1">
      <c r="A53" s="483"/>
      <c r="B53" s="487" t="s">
        <v>1688</v>
      </c>
      <c r="C53" s="532"/>
      <c r="D53" s="532"/>
      <c r="E53" s="532"/>
      <c r="F53" s="532"/>
      <c r="G53" s="532"/>
      <c r="H53" s="532"/>
      <c r="I53" s="532"/>
      <c r="J53" s="532"/>
      <c r="K53" s="533"/>
      <c r="L53" s="534"/>
      <c r="M53" s="535"/>
      <c r="N53" s="2752"/>
      <c r="O53" s="2752"/>
      <c r="P53" s="2777"/>
      <c r="Q53" s="2738"/>
      <c r="R53" s="2724"/>
      <c r="S53" s="2724"/>
      <c r="T53" s="2724"/>
      <c r="U53" s="2724"/>
      <c r="V53" s="2724"/>
      <c r="W53" s="2724"/>
      <c r="X53" s="2724"/>
      <c r="Y53" s="2724"/>
      <c r="Z53" s="2724"/>
      <c r="AA53" s="2724"/>
      <c r="AB53" s="2724"/>
      <c r="AC53" s="2724"/>
      <c r="AD53" s="2724"/>
    </row>
    <row r="54" spans="1:30" ht="15.75" thickBot="1">
      <c r="A54" s="483"/>
      <c r="B54" s="492"/>
      <c r="C54" s="485"/>
      <c r="D54" s="485"/>
      <c r="E54" s="485"/>
      <c r="F54" s="485"/>
      <c r="G54" s="485"/>
      <c r="H54" s="485"/>
      <c r="I54" s="485"/>
      <c r="J54" s="485"/>
      <c r="K54" s="485"/>
      <c r="L54" s="485"/>
      <c r="M54" s="486"/>
      <c r="N54" s="2753"/>
      <c r="O54" s="2753"/>
      <c r="P54" s="2777"/>
      <c r="Q54" s="2738"/>
      <c r="R54" s="2724"/>
      <c r="S54" s="2724"/>
      <c r="T54" s="2724"/>
      <c r="U54" s="2724"/>
      <c r="V54" s="2724"/>
      <c r="W54" s="2724"/>
      <c r="X54" s="2724"/>
      <c r="Y54" s="2724"/>
      <c r="Z54" s="2724"/>
      <c r="AA54" s="2724"/>
      <c r="AB54" s="2724"/>
      <c r="AC54" s="2724"/>
      <c r="AD54" s="2724"/>
    </row>
    <row r="55" spans="1:30" ht="15.75" thickTop="1">
      <c r="A55" s="483"/>
      <c r="B55" s="608">
        <f>B11</f>
        <v>111</v>
      </c>
      <c r="C55" s="498"/>
      <c r="D55" s="498"/>
      <c r="E55" s="498"/>
      <c r="F55" s="498"/>
      <c r="G55" s="498"/>
      <c r="H55" s="498"/>
      <c r="I55" s="498"/>
      <c r="J55" s="498"/>
      <c r="K55" s="499"/>
      <c r="L55" s="500"/>
      <c r="M55" s="501"/>
      <c r="N55" s="2752"/>
      <c r="O55" s="2752"/>
      <c r="P55" s="2777"/>
      <c r="Q55" s="2738"/>
      <c r="R55" s="2724"/>
      <c r="S55" s="2724"/>
      <c r="T55" s="2724"/>
      <c r="U55" s="2724"/>
      <c r="V55" s="2724"/>
      <c r="W55" s="2724"/>
      <c r="X55" s="2724"/>
      <c r="Y55" s="2724"/>
      <c r="Z55" s="2724"/>
      <c r="AA55" s="2724"/>
      <c r="AB55" s="2724"/>
      <c r="AC55" s="2724"/>
      <c r="AD55" s="2724"/>
    </row>
    <row r="56" spans="1:30" ht="15.75" thickBot="1">
      <c r="A56" s="483"/>
      <c r="B56" s="484"/>
      <c r="C56" s="509"/>
      <c r="D56" s="485"/>
      <c r="E56" s="485"/>
      <c r="F56" s="485"/>
      <c r="G56" s="485"/>
      <c r="H56" s="485"/>
      <c r="I56" s="485"/>
      <c r="J56" s="485"/>
      <c r="K56" s="485"/>
      <c r="L56" s="485"/>
      <c r="M56" s="486"/>
      <c r="N56" s="2753"/>
      <c r="O56" s="2753"/>
      <c r="P56" s="2777"/>
      <c r="Q56" s="2738"/>
      <c r="R56" s="2724"/>
      <c r="S56" s="2724"/>
      <c r="T56" s="2724"/>
      <c r="U56" s="2724"/>
      <c r="V56" s="2724"/>
      <c r="W56" s="2724"/>
      <c r="X56" s="2724"/>
      <c r="Y56" s="2724"/>
      <c r="Z56" s="2724"/>
      <c r="AA56" s="2724"/>
      <c r="AB56" s="2724"/>
      <c r="AC56" s="2724"/>
      <c r="AD56" s="2724"/>
    </row>
    <row r="57" spans="1:30" s="422" customFormat="1" ht="15.75" thickTop="1">
      <c r="A57" s="502"/>
      <c r="B57" s="487">
        <f>B12</f>
        <v>111</v>
      </c>
      <c r="C57" s="498"/>
      <c r="D57" s="498"/>
      <c r="E57" s="498"/>
      <c r="F57" s="498"/>
      <c r="G57" s="503"/>
      <c r="H57" s="504"/>
      <c r="I57" s="504"/>
      <c r="J57" s="504"/>
      <c r="K57" s="504"/>
      <c r="L57" s="505"/>
      <c r="M57" s="506"/>
      <c r="N57" s="2754"/>
      <c r="O57" s="2754"/>
      <c r="P57" s="2778"/>
      <c r="Q57" s="2745"/>
      <c r="R57" s="2746"/>
      <c r="S57" s="2746"/>
      <c r="T57" s="2746"/>
      <c r="U57" s="2746"/>
      <c r="V57" s="2746"/>
      <c r="W57" s="2746"/>
      <c r="X57" s="2746"/>
      <c r="Y57" s="2746"/>
      <c r="Z57" s="2746"/>
      <c r="AA57" s="2746"/>
      <c r="AB57" s="2746"/>
      <c r="AC57" s="2746"/>
      <c r="AD57" s="2746"/>
    </row>
    <row r="58" spans="1:30" s="422" customFormat="1" ht="15.75" thickBot="1">
      <c r="A58" s="502"/>
      <c r="B58" s="492"/>
      <c r="C58" s="509"/>
      <c r="D58" s="485"/>
      <c r="E58" s="485"/>
      <c r="F58" s="485"/>
      <c r="G58" s="485"/>
      <c r="H58" s="485"/>
      <c r="I58" s="485"/>
      <c r="J58" s="485"/>
      <c r="K58" s="485"/>
      <c r="L58" s="485"/>
      <c r="M58" s="486"/>
      <c r="N58" s="2753"/>
      <c r="O58" s="2753"/>
      <c r="P58" s="2778"/>
      <c r="Q58" s="2745"/>
      <c r="R58" s="2746"/>
      <c r="S58" s="2746"/>
      <c r="T58" s="2746"/>
      <c r="U58" s="2746"/>
      <c r="V58" s="2746"/>
      <c r="W58" s="2746"/>
      <c r="X58" s="2746"/>
      <c r="Y58" s="2746"/>
      <c r="Z58" s="2746"/>
      <c r="AA58" s="2746"/>
      <c r="AB58" s="2746"/>
      <c r="AC58" s="2746"/>
      <c r="AD58" s="2746"/>
    </row>
    <row r="59" spans="1:30" s="422" customFormat="1" ht="15.75" thickTop="1">
      <c r="A59" s="502"/>
      <c r="B59" s="487">
        <f>B13</f>
        <v>111</v>
      </c>
      <c r="C59" s="498"/>
      <c r="D59" s="498"/>
      <c r="E59" s="498"/>
      <c r="F59" s="498"/>
      <c r="G59" s="503"/>
      <c r="H59" s="504"/>
      <c r="I59" s="504"/>
      <c r="J59" s="504"/>
      <c r="K59" s="504"/>
      <c r="L59" s="505"/>
      <c r="M59" s="506"/>
      <c r="N59" s="2754"/>
      <c r="O59" s="2754"/>
      <c r="P59" s="2722"/>
      <c r="Q59" s="2748"/>
      <c r="R59" s="2746"/>
      <c r="S59" s="2746"/>
      <c r="T59" s="2746"/>
      <c r="U59" s="2746"/>
      <c r="V59" s="2746"/>
      <c r="W59" s="2746"/>
      <c r="X59" s="2746"/>
      <c r="Y59" s="2746"/>
      <c r="Z59" s="2746"/>
      <c r="AA59" s="2746"/>
      <c r="AB59" s="2746"/>
      <c r="AC59" s="2746"/>
      <c r="AD59" s="2746"/>
    </row>
    <row r="60" spans="1:30" s="422" customFormat="1" ht="15.75" thickBot="1">
      <c r="A60" s="502"/>
      <c r="B60" s="492"/>
      <c r="C60" s="509"/>
      <c r="D60" s="509"/>
      <c r="E60" s="509"/>
      <c r="F60" s="509"/>
      <c r="G60" s="509"/>
      <c r="H60" s="511"/>
      <c r="I60" s="511"/>
      <c r="J60" s="511"/>
      <c r="K60" s="511"/>
      <c r="L60" s="511"/>
      <c r="M60" s="512"/>
      <c r="N60" s="2754"/>
      <c r="O60" s="2754"/>
      <c r="P60" s="2778"/>
      <c r="Q60" s="2745"/>
      <c r="R60" s="2746"/>
      <c r="S60" s="2746"/>
      <c r="T60" s="2746"/>
      <c r="U60" s="2746"/>
      <c r="V60" s="2746"/>
      <c r="W60" s="2746"/>
      <c r="X60" s="2746"/>
      <c r="Y60" s="2746"/>
      <c r="Z60" s="2746"/>
      <c r="AA60" s="2746"/>
      <c r="AB60" s="2746"/>
      <c r="AC60" s="2746"/>
      <c r="AD60" s="2746"/>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2"/>
      <c r="O61" s="2752"/>
      <c r="P61" s="2779"/>
      <c r="Q61" s="2738"/>
      <c r="R61" s="2724"/>
      <c r="S61" s="2724"/>
      <c r="T61" s="2724"/>
      <c r="U61" s="2724"/>
      <c r="V61" s="2724"/>
      <c r="W61" s="2724"/>
      <c r="X61" s="2724"/>
      <c r="Y61" s="2724"/>
      <c r="Z61" s="2724"/>
      <c r="AA61" s="2724"/>
      <c r="AB61" s="2724"/>
      <c r="AC61" s="2724"/>
      <c r="AD61" s="2724"/>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3"/>
      <c r="O62" s="2753"/>
      <c r="P62" s="2777"/>
      <c r="Q62" s="2738"/>
      <c r="R62" s="2724"/>
      <c r="S62" s="2724"/>
      <c r="T62" s="2724"/>
      <c r="U62" s="2724"/>
      <c r="V62" s="2724"/>
      <c r="W62" s="2724"/>
      <c r="X62" s="2724"/>
      <c r="Y62" s="2724"/>
      <c r="Z62" s="2724"/>
      <c r="AA62" s="2724"/>
      <c r="AB62" s="2724"/>
      <c r="AC62" s="2724"/>
      <c r="AD62" s="2724"/>
    </row>
    <row r="63" spans="1:30" ht="27.75" thickTop="1">
      <c r="A63" s="483"/>
      <c r="B63" s="487" t="s">
        <v>1863</v>
      </c>
      <c r="C63" s="527" t="s">
        <v>1721</v>
      </c>
      <c r="D63" s="527" t="s">
        <v>1722</v>
      </c>
      <c r="E63" s="527" t="s">
        <v>1723</v>
      </c>
      <c r="F63" s="527" t="s">
        <v>1724</v>
      </c>
      <c r="G63" s="527" t="s">
        <v>1725</v>
      </c>
      <c r="H63" s="488"/>
      <c r="I63" s="488"/>
      <c r="J63" s="488"/>
      <c r="K63" s="489"/>
      <c r="L63" s="490"/>
      <c r="M63" s="491"/>
      <c r="N63" s="2752"/>
      <c r="O63" s="2752"/>
      <c r="P63" s="2777"/>
      <c r="Q63" s="2738"/>
      <c r="R63" s="2724"/>
      <c r="S63" s="2724"/>
      <c r="T63" s="2724"/>
      <c r="U63" s="2724"/>
      <c r="V63" s="2724"/>
      <c r="W63" s="2724"/>
      <c r="X63" s="2724"/>
      <c r="Y63" s="2724"/>
      <c r="Z63" s="2724"/>
      <c r="AA63" s="2724"/>
      <c r="AB63" s="2724"/>
      <c r="AC63" s="2724"/>
      <c r="AD63" s="2724"/>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3"/>
      <c r="O64" s="2753"/>
      <c r="P64" s="2777"/>
      <c r="Q64" s="2738"/>
      <c r="R64" s="2724"/>
      <c r="S64" s="2724"/>
      <c r="T64" s="2724"/>
      <c r="U64" s="2724"/>
      <c r="V64" s="2724"/>
      <c r="W64" s="2724"/>
      <c r="X64" s="2724"/>
      <c r="Y64" s="2724"/>
      <c r="Z64" s="2724"/>
      <c r="AA64" s="2724"/>
      <c r="AB64" s="2724"/>
      <c r="AC64" s="2724"/>
      <c r="AD64" s="2724"/>
    </row>
    <row r="65" spans="1:30" ht="15.75" thickTop="1">
      <c r="A65" s="483"/>
      <c r="B65" s="495" t="s">
        <v>1813</v>
      </c>
      <c r="C65" s="608" t="s">
        <v>1799</v>
      </c>
      <c r="D65" s="608" t="s">
        <v>1800</v>
      </c>
      <c r="E65" s="608" t="s">
        <v>1801</v>
      </c>
      <c r="F65" s="608" t="s">
        <v>1802</v>
      </c>
      <c r="G65" s="608" t="s">
        <v>1803</v>
      </c>
      <c r="H65" s="488"/>
      <c r="I65" s="488"/>
      <c r="J65" s="488"/>
      <c r="K65" s="488"/>
      <c r="L65" s="488"/>
      <c r="M65" s="1129"/>
      <c r="N65" s="2753"/>
      <c r="O65" s="2753"/>
      <c r="P65" s="2777"/>
      <c r="Q65" s="2738"/>
      <c r="R65" s="2724"/>
      <c r="S65" s="2724"/>
      <c r="T65" s="2724"/>
      <c r="U65" s="2724"/>
      <c r="V65" s="2724"/>
      <c r="W65" s="2724"/>
      <c r="X65" s="2724"/>
      <c r="Y65" s="2724"/>
      <c r="Z65" s="2724"/>
      <c r="AA65" s="2724"/>
      <c r="AB65" s="2724"/>
      <c r="AC65" s="2724"/>
      <c r="AD65" s="2724"/>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3"/>
      <c r="O66" s="2753"/>
      <c r="P66" s="2777"/>
      <c r="Q66" s="2738"/>
      <c r="R66" s="2724"/>
      <c r="S66" s="2724"/>
      <c r="T66" s="2724"/>
      <c r="U66" s="2724"/>
      <c r="V66" s="2724"/>
      <c r="W66" s="2724"/>
      <c r="X66" s="2724"/>
      <c r="Y66" s="2724"/>
      <c r="Z66" s="2724"/>
      <c r="AA66" s="2724"/>
      <c r="AB66" s="2724"/>
      <c r="AC66" s="2724"/>
      <c r="AD66" s="2724"/>
    </row>
    <row r="67" spans="1:30" ht="15.75" thickTop="1">
      <c r="A67" s="483"/>
      <c r="B67" s="487" t="s">
        <v>1733</v>
      </c>
      <c r="C67" s="527" t="s">
        <v>1721</v>
      </c>
      <c r="D67" s="527" t="s">
        <v>1722</v>
      </c>
      <c r="E67" s="527" t="s">
        <v>1723</v>
      </c>
      <c r="F67" s="527" t="s">
        <v>1724</v>
      </c>
      <c r="G67" s="527" t="s">
        <v>1725</v>
      </c>
      <c r="H67" s="488"/>
      <c r="I67" s="488"/>
      <c r="J67" s="488"/>
      <c r="K67" s="489"/>
      <c r="L67" s="490"/>
      <c r="M67" s="491"/>
      <c r="N67" s="2752"/>
      <c r="O67" s="2752"/>
      <c r="P67" s="2777"/>
      <c r="Q67" s="2738"/>
      <c r="R67" s="2724"/>
      <c r="S67" s="2724"/>
      <c r="T67" s="2724"/>
      <c r="U67" s="2724"/>
      <c r="V67" s="2724"/>
      <c r="W67" s="2724"/>
      <c r="X67" s="2724"/>
      <c r="Y67" s="2724"/>
      <c r="Z67" s="2724"/>
      <c r="AA67" s="2724"/>
      <c r="AB67" s="2724"/>
      <c r="AC67" s="2724"/>
      <c r="AD67" s="2724"/>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3"/>
      <c r="O68" s="2753"/>
      <c r="P68" s="2777"/>
      <c r="Q68" s="2738"/>
      <c r="R68" s="2724"/>
      <c r="S68" s="2724"/>
      <c r="T68" s="2724"/>
      <c r="U68" s="2724"/>
      <c r="V68" s="2724"/>
      <c r="W68" s="2724"/>
      <c r="X68" s="2724"/>
      <c r="Y68" s="2724"/>
      <c r="Z68" s="2724"/>
      <c r="AA68" s="2724"/>
      <c r="AB68" s="2724"/>
      <c r="AC68" s="2724"/>
      <c r="AD68" s="2724"/>
    </row>
    <row r="69" spans="1:30" ht="15.75" thickTop="1">
      <c r="A69" s="483"/>
      <c r="B69" s="487" t="s">
        <v>1852</v>
      </c>
      <c r="C69" s="503"/>
      <c r="D69" s="503"/>
      <c r="E69" s="503"/>
      <c r="F69" s="503"/>
      <c r="G69" s="503"/>
      <c r="H69" s="532"/>
      <c r="I69" s="532"/>
      <c r="J69" s="532"/>
      <c r="K69" s="533"/>
      <c r="L69" s="534"/>
      <c r="M69" s="535"/>
      <c r="N69" s="2752"/>
      <c r="O69" s="2752"/>
      <c r="P69" s="2777"/>
      <c r="Q69" s="2738"/>
      <c r="R69" s="2724"/>
      <c r="S69" s="2724"/>
      <c r="T69" s="2724"/>
      <c r="U69" s="2724"/>
      <c r="V69" s="2724"/>
      <c r="W69" s="2724"/>
      <c r="X69" s="2724"/>
      <c r="Y69" s="2724"/>
      <c r="Z69" s="2724"/>
      <c r="AA69" s="2724"/>
      <c r="AB69" s="2724"/>
      <c r="AC69" s="2724"/>
      <c r="AD69" s="2724"/>
    </row>
    <row r="70" spans="1:30" ht="15.75" thickBot="1">
      <c r="A70" s="483"/>
      <c r="B70" s="492"/>
      <c r="C70" s="493">
        <v>100</v>
      </c>
      <c r="D70" s="493">
        <f>C70-$K22</f>
        <v>100</v>
      </c>
      <c r="E70" s="493"/>
      <c r="F70" s="493"/>
      <c r="G70" s="493"/>
      <c r="H70" s="493"/>
      <c r="I70" s="493"/>
      <c r="J70" s="493"/>
      <c r="K70" s="493"/>
      <c r="L70" s="493"/>
      <c r="M70" s="494"/>
      <c r="N70" s="2753"/>
      <c r="O70" s="2753"/>
      <c r="P70" s="2777"/>
      <c r="Q70" s="2738"/>
      <c r="R70" s="2724"/>
      <c r="S70" s="2724"/>
      <c r="T70" s="2724"/>
      <c r="U70" s="2724"/>
      <c r="V70" s="2724"/>
      <c r="W70" s="2724"/>
      <c r="X70" s="2724"/>
      <c r="Y70" s="2724"/>
      <c r="Z70" s="2724"/>
      <c r="AA70" s="2724"/>
      <c r="AB70" s="2724"/>
      <c r="AC70" s="2724"/>
      <c r="AD70" s="2724"/>
    </row>
    <row r="71" spans="1:30" s="108" customFormat="1" ht="15.75" thickTop="1">
      <c r="A71" s="528"/>
      <c r="B71" s="487">
        <f>B23</f>
        <v>111</v>
      </c>
      <c r="C71" s="498"/>
      <c r="D71" s="498"/>
      <c r="E71" s="498"/>
      <c r="F71" s="498"/>
      <c r="G71" s="503"/>
      <c r="H71" s="503"/>
      <c r="I71" s="503"/>
      <c r="J71" s="503"/>
      <c r="K71" s="503"/>
      <c r="L71" s="529"/>
      <c r="M71" s="530"/>
      <c r="N71" s="2751"/>
      <c r="O71" s="2751"/>
      <c r="P71" s="2777"/>
      <c r="Q71" s="2738"/>
      <c r="R71" s="2660"/>
      <c r="S71" s="2660"/>
      <c r="T71" s="2660"/>
      <c r="U71" s="2660"/>
      <c r="V71" s="2660"/>
      <c r="W71" s="2660"/>
      <c r="X71" s="2660"/>
      <c r="Y71" s="2660"/>
      <c r="Z71" s="2660"/>
      <c r="AA71" s="2660"/>
      <c r="AB71" s="2660"/>
      <c r="AC71" s="2660"/>
      <c r="AD71" s="2660"/>
    </row>
    <row r="72" spans="1:30" s="108" customFormat="1" ht="15.75" thickBot="1">
      <c r="A72" s="528"/>
      <c r="B72" s="492"/>
      <c r="C72" s="509"/>
      <c r="D72" s="485"/>
      <c r="E72" s="485"/>
      <c r="F72" s="485"/>
      <c r="G72" s="485"/>
      <c r="H72" s="485"/>
      <c r="I72" s="485"/>
      <c r="J72" s="485"/>
      <c r="K72" s="485"/>
      <c r="L72" s="485"/>
      <c r="M72" s="486"/>
      <c r="N72" s="2753"/>
      <c r="O72" s="2753"/>
      <c r="P72" s="2777"/>
      <c r="Q72" s="2738"/>
      <c r="R72" s="2660"/>
      <c r="S72" s="2660"/>
      <c r="T72" s="2660"/>
      <c r="U72" s="2660"/>
      <c r="V72" s="2660"/>
      <c r="W72" s="2660"/>
      <c r="X72" s="2660"/>
      <c r="Y72" s="2660"/>
      <c r="Z72" s="2660"/>
      <c r="AA72" s="2660"/>
      <c r="AB72" s="2660"/>
      <c r="AC72" s="2660"/>
      <c r="AD72" s="2660"/>
    </row>
    <row r="73" spans="1:30" s="108" customFormat="1" ht="15.75" thickTop="1">
      <c r="A73" s="528"/>
      <c r="B73" s="487">
        <f>B24</f>
        <v>111</v>
      </c>
      <c r="C73" s="498"/>
      <c r="D73" s="498"/>
      <c r="E73" s="498"/>
      <c r="F73" s="498"/>
      <c r="G73" s="503"/>
      <c r="H73" s="503"/>
      <c r="I73" s="503"/>
      <c r="J73" s="503"/>
      <c r="K73" s="503"/>
      <c r="L73" s="503"/>
      <c r="M73" s="530"/>
      <c r="N73" s="2751"/>
      <c r="O73" s="2751"/>
      <c r="P73" s="2777"/>
      <c r="Q73" s="2738"/>
      <c r="R73" s="2660"/>
      <c r="S73" s="2660"/>
      <c r="T73" s="2660"/>
      <c r="U73" s="2660"/>
      <c r="V73" s="2660"/>
      <c r="W73" s="2660"/>
      <c r="X73" s="2660"/>
      <c r="Y73" s="2660"/>
      <c r="Z73" s="2660"/>
      <c r="AA73" s="2660"/>
      <c r="AB73" s="2660"/>
      <c r="AC73" s="2660"/>
      <c r="AD73" s="2660"/>
    </row>
    <row r="74" spans="1:30" s="108" customFormat="1" ht="15.75" thickBot="1">
      <c r="A74" s="528"/>
      <c r="B74" s="492"/>
      <c r="C74" s="509"/>
      <c r="D74" s="485"/>
      <c r="E74" s="485"/>
      <c r="F74" s="485"/>
      <c r="G74" s="485"/>
      <c r="H74" s="485"/>
      <c r="I74" s="485"/>
      <c r="J74" s="485"/>
      <c r="K74" s="485"/>
      <c r="L74" s="485"/>
      <c r="M74" s="486"/>
      <c r="N74" s="2753"/>
      <c r="O74" s="2753"/>
      <c r="P74" s="2777"/>
      <c r="Q74" s="2738"/>
      <c r="R74" s="2660"/>
      <c r="S74" s="2660"/>
      <c r="T74" s="2660"/>
      <c r="U74" s="2660"/>
      <c r="V74" s="2660"/>
      <c r="W74" s="2660"/>
      <c r="X74" s="2660"/>
      <c r="Y74" s="2660"/>
      <c r="Z74" s="2660"/>
      <c r="AA74" s="2660"/>
      <c r="AB74" s="2660"/>
      <c r="AC74" s="2660"/>
      <c r="AD74" s="2660"/>
    </row>
    <row r="75" spans="1:30" s="422" customFormat="1" ht="15.75" thickTop="1">
      <c r="A75" s="502"/>
      <c r="B75" s="487">
        <f>B25</f>
        <v>111</v>
      </c>
      <c r="C75" s="498"/>
      <c r="D75" s="498"/>
      <c r="E75" s="498"/>
      <c r="F75" s="498"/>
      <c r="G75" s="503"/>
      <c r="H75" s="504"/>
      <c r="I75" s="504"/>
      <c r="J75" s="504"/>
      <c r="K75" s="504"/>
      <c r="L75" s="505"/>
      <c r="M75" s="506"/>
      <c r="N75" s="2754"/>
      <c r="O75" s="2754"/>
      <c r="P75" s="2778"/>
      <c r="Q75" s="2745"/>
      <c r="R75" s="2746"/>
      <c r="S75" s="2746"/>
      <c r="T75" s="2746"/>
      <c r="U75" s="2746"/>
      <c r="V75" s="2746"/>
      <c r="W75" s="2746"/>
      <c r="X75" s="2746"/>
      <c r="Y75" s="2746"/>
      <c r="Z75" s="2746"/>
      <c r="AA75" s="2746"/>
      <c r="AB75" s="2746"/>
      <c r="AC75" s="2746"/>
      <c r="AD75" s="2746"/>
    </row>
    <row r="76" spans="1:30" s="422" customFormat="1" ht="15.75" thickBot="1">
      <c r="A76" s="502"/>
      <c r="B76" s="492"/>
      <c r="C76" s="509"/>
      <c r="D76" s="509"/>
      <c r="E76" s="509"/>
      <c r="F76" s="509"/>
      <c r="G76" s="485"/>
      <c r="H76" s="485"/>
      <c r="I76" s="485"/>
      <c r="J76" s="485"/>
      <c r="K76" s="485"/>
      <c r="L76" s="485"/>
      <c r="M76" s="486"/>
      <c r="N76" s="2754"/>
      <c r="O76" s="2754"/>
      <c r="P76" s="2778"/>
      <c r="Q76" s="2745"/>
      <c r="R76" s="2746"/>
      <c r="S76" s="2746"/>
      <c r="T76" s="2746"/>
      <c r="U76" s="2746"/>
      <c r="V76" s="2746"/>
      <c r="W76" s="2746"/>
      <c r="X76" s="2746"/>
      <c r="Y76" s="2746"/>
      <c r="Z76" s="2746"/>
      <c r="AA76" s="2746"/>
      <c r="AB76" s="2746"/>
      <c r="AC76" s="2746"/>
      <c r="AD76" s="2746"/>
    </row>
    <row r="77" spans="1:30" ht="15" thickTop="1">
      <c r="A77" s="476" t="s">
        <v>1694</v>
      </c>
      <c r="B77" s="477" t="s">
        <v>1740</v>
      </c>
      <c r="C77" s="503"/>
      <c r="D77" s="503"/>
      <c r="E77" s="479"/>
      <c r="F77" s="479"/>
      <c r="G77" s="479"/>
      <c r="H77" s="479"/>
      <c r="I77" s="479"/>
      <c r="J77" s="479"/>
      <c r="K77" s="480"/>
      <c r="L77" s="481"/>
      <c r="M77" s="482"/>
      <c r="N77" s="2752"/>
      <c r="O77" s="2752"/>
      <c r="P77" s="2777"/>
      <c r="Q77" s="2738"/>
      <c r="R77" s="2724"/>
      <c r="S77" s="2724"/>
      <c r="T77" s="2724"/>
      <c r="U77" s="2724"/>
      <c r="V77" s="2724"/>
      <c r="W77" s="2724"/>
      <c r="X77" s="2724"/>
      <c r="Y77" s="2724"/>
      <c r="Z77" s="2724"/>
      <c r="AA77" s="2724"/>
      <c r="AB77" s="2724"/>
      <c r="AC77" s="2724"/>
      <c r="AD77" s="2724"/>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3"/>
      <c r="O78" s="2753"/>
      <c r="P78" s="2777"/>
      <c r="Q78" s="2738"/>
      <c r="R78" s="2724"/>
      <c r="S78" s="2724"/>
      <c r="T78" s="2724"/>
      <c r="U78" s="2724"/>
      <c r="V78" s="2724"/>
      <c r="W78" s="2724"/>
      <c r="X78" s="2724"/>
      <c r="Y78" s="2724"/>
      <c r="Z78" s="2724"/>
      <c r="AA78" s="2724"/>
      <c r="AB78" s="2724"/>
      <c r="AC78" s="2724"/>
      <c r="AD78" s="2724"/>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1"/>
      <c r="O79" s="2751"/>
      <c r="P79" s="2777"/>
      <c r="Q79" s="2738"/>
      <c r="R79" s="2724"/>
      <c r="S79" s="2724"/>
      <c r="T79" s="2724"/>
      <c r="U79" s="2724"/>
      <c r="V79" s="2724"/>
      <c r="W79" s="2724"/>
      <c r="X79" s="2724"/>
      <c r="Y79" s="2724"/>
      <c r="Z79" s="2724"/>
      <c r="AA79" s="2724"/>
      <c r="AB79" s="2724"/>
      <c r="AC79" s="2724"/>
      <c r="AD79" s="2724"/>
    </row>
    <row r="80" spans="1:30" ht="15">
      <c r="A80" s="483"/>
      <c r="B80" s="495"/>
      <c r="C80" s="552">
        <v>0.5</v>
      </c>
      <c r="D80" s="552">
        <v>0.6</v>
      </c>
      <c r="E80" s="552">
        <v>0.7</v>
      </c>
      <c r="F80" s="552">
        <v>0.8</v>
      </c>
      <c r="G80" s="552">
        <v>0.9</v>
      </c>
      <c r="H80" s="552">
        <v>1.0001</v>
      </c>
      <c r="I80" s="608"/>
      <c r="J80" s="608"/>
      <c r="K80" s="616"/>
      <c r="L80" s="617"/>
      <c r="M80" s="618"/>
      <c r="N80" s="2751"/>
      <c r="O80" s="2751"/>
      <c r="P80" s="2777"/>
      <c r="Q80" s="2738"/>
      <c r="R80" s="2724"/>
      <c r="S80" s="2724"/>
      <c r="T80" s="2724"/>
      <c r="U80" s="2724"/>
      <c r="V80" s="2724"/>
      <c r="W80" s="2724"/>
      <c r="X80" s="2724"/>
      <c r="Y80" s="2724"/>
      <c r="Z80" s="2724"/>
      <c r="AA80" s="2724"/>
      <c r="AB80" s="2724"/>
      <c r="AC80" s="2724"/>
      <c r="AD80" s="2724"/>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3"/>
      <c r="O81" s="2753"/>
      <c r="P81" s="2778"/>
      <c r="Q81" s="2745"/>
      <c r="R81" s="2746"/>
      <c r="S81" s="2746"/>
      <c r="T81" s="2746"/>
      <c r="U81" s="2746"/>
      <c r="V81" s="2746"/>
      <c r="W81" s="2746"/>
      <c r="X81" s="2746"/>
      <c r="Y81" s="2746"/>
      <c r="Z81" s="2746"/>
      <c r="AA81" s="2746"/>
      <c r="AB81" s="2746"/>
      <c r="AC81" s="2746"/>
      <c r="AD81" s="2746"/>
    </row>
    <row r="82" spans="1:30" ht="15" thickTop="1">
      <c r="A82" s="548"/>
      <c r="B82" s="495" t="s">
        <v>1856</v>
      </c>
      <c r="C82" s="503"/>
      <c r="D82" s="503"/>
      <c r="E82" s="532"/>
      <c r="F82" s="532"/>
      <c r="G82" s="532"/>
      <c r="H82" s="532"/>
      <c r="I82" s="532"/>
      <c r="J82" s="532"/>
      <c r="K82" s="533"/>
      <c r="L82" s="534"/>
      <c r="M82" s="535"/>
      <c r="N82" s="2752"/>
      <c r="O82" s="2752"/>
      <c r="P82" s="2777"/>
      <c r="Q82" s="2738"/>
      <c r="R82" s="2724"/>
      <c r="S82" s="2724"/>
      <c r="T82" s="2724"/>
      <c r="U82" s="2724"/>
      <c r="V82" s="2724"/>
      <c r="W82" s="2724"/>
      <c r="X82" s="2724"/>
      <c r="Y82" s="2724"/>
      <c r="Z82" s="2724"/>
      <c r="AA82" s="2724"/>
      <c r="AB82" s="2724"/>
      <c r="AC82" s="2724"/>
      <c r="AD82" s="2724"/>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3"/>
      <c r="O83" s="2753"/>
      <c r="P83" s="2777"/>
      <c r="Q83" s="2738"/>
      <c r="R83" s="2724"/>
      <c r="S83" s="2724"/>
      <c r="T83" s="2724"/>
      <c r="U83" s="2724"/>
      <c r="V83" s="2724"/>
      <c r="W83" s="2724"/>
      <c r="X83" s="2724"/>
      <c r="Y83" s="2724"/>
      <c r="Z83" s="2724"/>
      <c r="AA83" s="2724"/>
      <c r="AB83" s="2724"/>
      <c r="AC83" s="2724"/>
      <c r="AD83" s="2724"/>
    </row>
    <row r="84" spans="1:30" ht="15" thickTop="1">
      <c r="A84" s="548"/>
      <c r="B84" s="487" t="s">
        <v>1864</v>
      </c>
      <c r="C84" s="503"/>
      <c r="D84" s="503"/>
      <c r="E84" s="503"/>
      <c r="F84" s="503"/>
      <c r="G84" s="503"/>
      <c r="H84" s="503"/>
      <c r="I84" s="532"/>
      <c r="J84" s="532"/>
      <c r="K84" s="533"/>
      <c r="L84" s="534"/>
      <c r="M84" s="535"/>
      <c r="N84" s="2752"/>
      <c r="O84" s="2752"/>
      <c r="P84" s="2777"/>
      <c r="Q84" s="2738"/>
      <c r="R84" s="2724"/>
      <c r="S84" s="2724"/>
      <c r="T84" s="2724"/>
      <c r="U84" s="2724"/>
      <c r="V84" s="2724"/>
      <c r="W84" s="2724"/>
      <c r="X84" s="2724"/>
      <c r="Y84" s="2724"/>
      <c r="Z84" s="2724"/>
      <c r="AA84" s="2724"/>
      <c r="AB84" s="2724"/>
      <c r="AC84" s="2724"/>
      <c r="AD84" s="2724"/>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3"/>
      <c r="O85" s="2753"/>
      <c r="P85" s="2777"/>
      <c r="Q85" s="2738"/>
      <c r="R85" s="2724"/>
      <c r="S85" s="2724"/>
      <c r="T85" s="2724"/>
      <c r="U85" s="2724"/>
      <c r="V85" s="2724"/>
      <c r="W85" s="2724"/>
      <c r="X85" s="2724"/>
      <c r="Y85" s="2724"/>
      <c r="Z85" s="2724"/>
      <c r="AA85" s="2724"/>
      <c r="AB85" s="2724"/>
      <c r="AC85" s="2724"/>
      <c r="AD85" s="2724"/>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2"/>
      <c r="O86" s="2752"/>
      <c r="P86" s="2777"/>
      <c r="Q86" s="2738"/>
      <c r="R86" s="2724"/>
      <c r="S86" s="2724"/>
      <c r="T86" s="2724"/>
      <c r="U86" s="2724"/>
      <c r="V86" s="2724"/>
      <c r="W86" s="2724"/>
      <c r="X86" s="2724"/>
      <c r="Y86" s="2724"/>
      <c r="Z86" s="2724"/>
      <c r="AA86" s="2724"/>
      <c r="AB86" s="2724"/>
      <c r="AC86" s="2724"/>
      <c r="AD86" s="2724"/>
    </row>
    <row r="87" spans="1:30">
      <c r="A87" s="548"/>
      <c r="B87" s="495"/>
      <c r="C87" s="544"/>
      <c r="D87" s="544"/>
      <c r="E87" s="544"/>
      <c r="F87" s="544"/>
      <c r="G87" s="544"/>
      <c r="H87" s="544"/>
      <c r="I87" s="544"/>
      <c r="J87" s="545"/>
      <c r="K87" s="545"/>
      <c r="L87" s="546"/>
      <c r="M87" s="547"/>
      <c r="N87" s="2752"/>
      <c r="O87" s="2752"/>
      <c r="P87" s="2777"/>
      <c r="Q87" s="2738"/>
      <c r="R87" s="2724"/>
      <c r="S87" s="2724"/>
      <c r="T87" s="2724"/>
      <c r="U87" s="2724"/>
      <c r="V87" s="2724"/>
      <c r="W87" s="2724"/>
      <c r="X87" s="2724"/>
      <c r="Y87" s="2724"/>
      <c r="Z87" s="2724"/>
      <c r="AA87" s="2724"/>
      <c r="AB87" s="2724"/>
      <c r="AC87" s="2724"/>
      <c r="AD87" s="2724"/>
    </row>
    <row r="88" spans="1:30" ht="15.75" thickBot="1">
      <c r="A88" s="483"/>
      <c r="B88" s="492"/>
      <c r="C88" s="509"/>
      <c r="D88" s="485"/>
      <c r="E88" s="485"/>
      <c r="F88" s="485"/>
      <c r="G88" s="485"/>
      <c r="H88" s="485"/>
      <c r="I88" s="485"/>
      <c r="J88" s="485"/>
      <c r="K88" s="485"/>
      <c r="L88" s="485"/>
      <c r="M88" s="485"/>
      <c r="N88" s="2753"/>
      <c r="O88" s="2753"/>
      <c r="P88" s="2777"/>
      <c r="Q88" s="2738"/>
      <c r="R88" s="2724"/>
      <c r="S88" s="2724"/>
      <c r="T88" s="2724"/>
      <c r="U88" s="2724"/>
      <c r="V88" s="2724"/>
      <c r="W88" s="2724"/>
      <c r="X88" s="2724"/>
      <c r="Y88" s="2724"/>
      <c r="Z88" s="2724"/>
      <c r="AA88" s="2724"/>
      <c r="AB88" s="2724"/>
      <c r="AC88" s="2724"/>
      <c r="AD88" s="2724"/>
    </row>
    <row r="89" spans="1:30" s="422" customFormat="1" ht="15" thickTop="1">
      <c r="A89" s="542"/>
      <c r="B89" s="487" t="s">
        <v>1866</v>
      </c>
      <c r="C89" s="503"/>
      <c r="D89" s="503"/>
      <c r="E89" s="503"/>
      <c r="F89" s="503"/>
      <c r="G89" s="503"/>
      <c r="H89" s="503"/>
      <c r="I89" s="503"/>
      <c r="J89" s="503"/>
      <c r="K89" s="503"/>
      <c r="L89" s="503"/>
      <c r="M89" s="530"/>
      <c r="N89" s="2754"/>
      <c r="O89" s="2754"/>
      <c r="P89" s="2778"/>
      <c r="Q89" s="2745"/>
      <c r="R89" s="2746"/>
      <c r="S89" s="2746"/>
      <c r="T89" s="2746"/>
      <c r="U89" s="2746"/>
      <c r="V89" s="2746"/>
      <c r="W89" s="2746"/>
      <c r="X89" s="2746"/>
      <c r="Y89" s="2746"/>
      <c r="Z89" s="2746"/>
      <c r="AA89" s="2746"/>
      <c r="AB89" s="2746"/>
      <c r="AC89" s="2746"/>
      <c r="AD89" s="2746"/>
    </row>
    <row r="90" spans="1:30" s="422" customFormat="1" ht="15.75" thickBot="1">
      <c r="A90" s="502"/>
      <c r="B90" s="492"/>
      <c r="C90" s="509"/>
      <c r="D90" s="485"/>
      <c r="E90" s="485"/>
      <c r="F90" s="485"/>
      <c r="G90" s="485"/>
      <c r="H90" s="485"/>
      <c r="I90" s="485"/>
      <c r="J90" s="485"/>
      <c r="K90" s="485"/>
      <c r="L90" s="485"/>
      <c r="M90" s="486"/>
      <c r="N90" s="2754"/>
      <c r="O90" s="2754"/>
      <c r="P90" s="2778"/>
      <c r="Q90" s="2745"/>
      <c r="R90" s="2746"/>
      <c r="S90" s="2746"/>
      <c r="T90" s="2746"/>
      <c r="U90" s="2746"/>
      <c r="V90" s="2746"/>
      <c r="W90" s="2746"/>
      <c r="X90" s="2746"/>
      <c r="Y90" s="2746"/>
      <c r="Z90" s="2746"/>
      <c r="AA90" s="2746"/>
      <c r="AB90" s="2746"/>
      <c r="AC90" s="2746"/>
      <c r="AD90" s="2746"/>
    </row>
    <row r="91" spans="1:30" ht="15" thickTop="1">
      <c r="A91" s="548"/>
      <c r="B91" s="487">
        <f>B32</f>
        <v>111</v>
      </c>
      <c r="C91" s="498"/>
      <c r="D91" s="498"/>
      <c r="E91" s="498"/>
      <c r="F91" s="498"/>
      <c r="G91" s="503"/>
      <c r="H91" s="504"/>
      <c r="I91" s="504"/>
      <c r="J91" s="504"/>
      <c r="K91" s="504"/>
      <c r="L91" s="505"/>
      <c r="M91" s="506"/>
      <c r="N91" s="2752"/>
      <c r="O91" s="2752"/>
      <c r="P91" s="2777"/>
      <c r="Q91" s="2738"/>
      <c r="R91" s="2724"/>
      <c r="S91" s="2724"/>
      <c r="T91" s="2724"/>
      <c r="U91" s="2724"/>
      <c r="V91" s="2724"/>
      <c r="W91" s="2724"/>
      <c r="X91" s="2724"/>
      <c r="Y91" s="2724"/>
      <c r="Z91" s="2724"/>
      <c r="AA91" s="2724"/>
      <c r="AB91" s="2724"/>
      <c r="AC91" s="2724"/>
      <c r="AD91" s="2724"/>
    </row>
    <row r="92" spans="1:30" ht="15.75" thickBot="1">
      <c r="A92" s="483"/>
      <c r="B92" s="492"/>
      <c r="C92" s="509"/>
      <c r="D92" s="485"/>
      <c r="E92" s="485"/>
      <c r="F92" s="485"/>
      <c r="G92" s="509"/>
      <c r="H92" s="511"/>
      <c r="I92" s="511"/>
      <c r="J92" s="511"/>
      <c r="K92" s="511"/>
      <c r="L92" s="511"/>
      <c r="M92" s="512"/>
      <c r="N92" s="2753"/>
      <c r="O92" s="2753"/>
      <c r="P92" s="2777"/>
      <c r="Q92" s="2738"/>
      <c r="R92" s="2724"/>
      <c r="S92" s="2724"/>
      <c r="T92" s="2724"/>
      <c r="U92" s="2724"/>
      <c r="V92" s="2724"/>
      <c r="W92" s="2724"/>
      <c r="X92" s="2724"/>
      <c r="Y92" s="2724"/>
      <c r="Z92" s="2724"/>
      <c r="AA92" s="2724"/>
      <c r="AB92" s="2724"/>
      <c r="AC92" s="2724"/>
      <c r="AD92" s="2724"/>
    </row>
    <row r="93" spans="1:30" ht="15" thickTop="1">
      <c r="A93" s="548"/>
      <c r="B93" s="487">
        <f>B33</f>
        <v>111</v>
      </c>
      <c r="C93" s="498"/>
      <c r="D93" s="498"/>
      <c r="E93" s="498"/>
      <c r="F93" s="498"/>
      <c r="G93" s="503"/>
      <c r="H93" s="504"/>
      <c r="I93" s="504"/>
      <c r="J93" s="504"/>
      <c r="K93" s="504"/>
      <c r="L93" s="505"/>
      <c r="M93" s="506"/>
      <c r="N93" s="2752"/>
      <c r="O93" s="2752"/>
      <c r="P93" s="2777"/>
      <c r="Q93" s="2738"/>
      <c r="R93" s="2724"/>
      <c r="S93" s="2724"/>
      <c r="T93" s="2724"/>
      <c r="U93" s="2724"/>
      <c r="V93" s="2724"/>
      <c r="W93" s="2724"/>
      <c r="X93" s="2724"/>
      <c r="Y93" s="2724"/>
      <c r="Z93" s="2724"/>
      <c r="AA93" s="2724"/>
      <c r="AB93" s="2724"/>
      <c r="AC93" s="2724"/>
      <c r="AD93" s="2724"/>
    </row>
    <row r="94" spans="1:30" ht="15.75" thickBot="1">
      <c r="A94" s="483"/>
      <c r="B94" s="492"/>
      <c r="C94" s="509"/>
      <c r="D94" s="485"/>
      <c r="E94" s="485"/>
      <c r="F94" s="485"/>
      <c r="G94" s="509"/>
      <c r="H94" s="511"/>
      <c r="I94" s="511"/>
      <c r="J94" s="511"/>
      <c r="K94" s="511"/>
      <c r="L94" s="511"/>
      <c r="M94" s="512"/>
      <c r="N94" s="2753"/>
      <c r="O94" s="2753"/>
      <c r="P94" s="2777"/>
      <c r="Q94" s="2738"/>
      <c r="R94" s="2724"/>
      <c r="S94" s="2724"/>
      <c r="T94" s="2724"/>
      <c r="U94" s="2724"/>
      <c r="V94" s="2724"/>
      <c r="W94" s="2724"/>
      <c r="X94" s="2724"/>
      <c r="Y94" s="2724"/>
      <c r="Z94" s="2724"/>
      <c r="AA94" s="2724"/>
      <c r="AB94" s="2724"/>
      <c r="AC94" s="2724"/>
      <c r="AD94" s="2724"/>
    </row>
    <row r="95" spans="1:30" ht="15" thickTop="1">
      <c r="A95" s="548"/>
      <c r="B95" s="584">
        <f>B34</f>
        <v>111</v>
      </c>
      <c r="C95" s="498"/>
      <c r="D95" s="498"/>
      <c r="E95" s="498"/>
      <c r="F95" s="498"/>
      <c r="G95" s="503"/>
      <c r="H95" s="504"/>
      <c r="I95" s="504"/>
      <c r="J95" s="504"/>
      <c r="K95" s="504"/>
      <c r="L95" s="505"/>
      <c r="M95" s="506"/>
      <c r="N95" s="2753"/>
      <c r="O95" s="2753"/>
      <c r="P95" s="2780"/>
      <c r="Q95" s="2767"/>
      <c r="R95" s="2724"/>
      <c r="S95" s="2724"/>
      <c r="T95" s="2724"/>
      <c r="U95" s="2724"/>
      <c r="V95" s="2724"/>
      <c r="W95" s="2724"/>
      <c r="X95" s="2724"/>
      <c r="Y95" s="2724"/>
      <c r="Z95" s="2724"/>
      <c r="AA95" s="2724"/>
      <c r="AB95" s="2724"/>
      <c r="AC95" s="2724"/>
      <c r="AD95" s="2724"/>
    </row>
    <row r="96" spans="1:30" ht="15.75" thickBot="1">
      <c r="A96" s="483"/>
      <c r="B96" s="492"/>
      <c r="C96" s="509"/>
      <c r="D96" s="509"/>
      <c r="E96" s="509"/>
      <c r="F96" s="509"/>
      <c r="G96" s="509"/>
      <c r="H96" s="511"/>
      <c r="I96" s="511"/>
      <c r="J96" s="511"/>
      <c r="K96" s="511"/>
      <c r="L96" s="511"/>
      <c r="M96" s="512"/>
      <c r="N96" s="2753"/>
      <c r="O96" s="2753"/>
      <c r="P96" s="2777"/>
      <c r="Q96" s="2738"/>
      <c r="R96" s="2724"/>
      <c r="S96" s="2724"/>
      <c r="T96" s="2724"/>
      <c r="U96" s="2724"/>
      <c r="V96" s="2724"/>
      <c r="W96" s="2724"/>
      <c r="X96" s="2724"/>
      <c r="Y96" s="2724"/>
      <c r="Z96" s="2724"/>
      <c r="AA96" s="2724"/>
      <c r="AB96" s="2724"/>
      <c r="AC96" s="2724"/>
      <c r="AD96" s="2724"/>
    </row>
    <row r="97" spans="1:30" ht="15" thickTop="1">
      <c r="N97" s="2724"/>
      <c r="O97" s="2724"/>
      <c r="P97" s="2724"/>
      <c r="Q97" s="2724"/>
      <c r="R97" s="2724"/>
      <c r="S97" s="2724"/>
      <c r="T97" s="2724"/>
      <c r="U97" s="2724"/>
      <c r="V97" s="2724"/>
      <c r="W97" s="2724"/>
      <c r="X97" s="2724"/>
      <c r="Y97" s="2724"/>
      <c r="Z97" s="2724"/>
      <c r="AA97" s="2724"/>
      <c r="AB97" s="2724"/>
      <c r="AC97" s="2724"/>
      <c r="AD97" s="2724"/>
    </row>
    <row r="98" spans="1:30">
      <c r="A98" s="936"/>
      <c r="B98" s="936"/>
      <c r="C98" s="936"/>
      <c r="D98" s="936"/>
      <c r="E98" s="936"/>
      <c r="F98" s="936"/>
      <c r="G98" s="936"/>
      <c r="H98" s="936"/>
      <c r="I98" s="936"/>
      <c r="J98" s="936"/>
      <c r="K98" s="937"/>
      <c r="L98" s="938"/>
      <c r="M98" s="936"/>
      <c r="N98" s="2724"/>
      <c r="O98" s="2724"/>
      <c r="P98" s="2724"/>
      <c r="Q98" s="2724"/>
      <c r="R98" s="2724"/>
      <c r="S98" s="2724"/>
      <c r="T98" s="2724"/>
      <c r="U98" s="2724"/>
      <c r="V98" s="2724"/>
      <c r="W98" s="2724"/>
      <c r="X98" s="2724"/>
      <c r="Y98" s="2724"/>
      <c r="Z98" s="2724"/>
      <c r="AA98" s="2724"/>
      <c r="AB98" s="2724"/>
      <c r="AC98" s="2724"/>
      <c r="AD98" s="2724"/>
    </row>
    <row r="99" spans="1:30">
      <c r="A99" s="936"/>
      <c r="B99" s="936"/>
      <c r="C99" s="936"/>
      <c r="D99" s="936"/>
      <c r="E99" s="936"/>
      <c r="F99" s="936"/>
      <c r="G99" s="936"/>
      <c r="H99" s="936"/>
      <c r="I99" s="936"/>
      <c r="J99" s="936"/>
      <c r="K99" s="937"/>
      <c r="L99" s="938"/>
      <c r="M99" s="936"/>
      <c r="N99" s="2724"/>
      <c r="O99" s="2724"/>
      <c r="P99" s="2724"/>
      <c r="Q99" s="2724"/>
      <c r="R99" s="2724"/>
      <c r="S99" s="2724"/>
      <c r="T99" s="2724"/>
      <c r="U99" s="2724"/>
      <c r="V99" s="2724"/>
      <c r="W99" s="2724"/>
      <c r="X99" s="2724"/>
      <c r="Y99" s="2724"/>
      <c r="Z99" s="2724"/>
      <c r="AA99" s="2724"/>
      <c r="AB99" s="2724"/>
      <c r="AC99" s="2724"/>
      <c r="AD99" s="2724"/>
    </row>
    <row r="100" spans="1:30">
      <c r="A100" s="936"/>
      <c r="B100" s="936"/>
      <c r="C100" s="936"/>
      <c r="D100" s="936"/>
      <c r="E100" s="936"/>
      <c r="F100" s="936"/>
      <c r="G100" s="936"/>
      <c r="H100" s="936"/>
      <c r="I100" s="936"/>
      <c r="J100" s="936"/>
      <c r="K100" s="937"/>
      <c r="L100" s="938"/>
      <c r="M100" s="936"/>
      <c r="N100" s="2724"/>
      <c r="O100" s="2724"/>
      <c r="P100" s="2724"/>
      <c r="Q100" s="2724"/>
      <c r="R100" s="2724"/>
      <c r="S100" s="2724"/>
      <c r="T100" s="2724"/>
      <c r="U100" s="2724"/>
      <c r="V100" s="2724"/>
      <c r="W100" s="2724"/>
      <c r="X100" s="2724"/>
      <c r="Y100" s="2724"/>
      <c r="Z100" s="2724"/>
      <c r="AA100" s="2724"/>
      <c r="AB100" s="2724"/>
      <c r="AC100" s="2724"/>
      <c r="AD100" s="2724"/>
    </row>
    <row r="101" spans="1:30">
      <c r="A101" s="936"/>
      <c r="B101" s="936"/>
      <c r="C101" s="936"/>
      <c r="D101" s="936"/>
      <c r="E101" s="936"/>
      <c r="F101" s="936"/>
      <c r="G101" s="936"/>
      <c r="H101" s="936"/>
      <c r="I101" s="936"/>
      <c r="J101" s="936"/>
      <c r="K101" s="937"/>
      <c r="L101" s="938"/>
      <c r="M101" s="936"/>
      <c r="N101" s="2724"/>
      <c r="O101" s="2724"/>
      <c r="P101" s="2724"/>
      <c r="Q101" s="2724"/>
      <c r="R101" s="2724"/>
      <c r="S101" s="2724"/>
      <c r="T101" s="2724"/>
      <c r="U101" s="2724"/>
      <c r="V101" s="2724"/>
      <c r="W101" s="2724"/>
      <c r="X101" s="2724"/>
      <c r="Y101" s="2724"/>
      <c r="Z101" s="2724"/>
      <c r="AA101" s="2724"/>
      <c r="AB101" s="2724"/>
      <c r="AC101" s="2724"/>
      <c r="AD101" s="2724"/>
    </row>
    <row r="102" spans="1:30">
      <c r="A102" s="936"/>
      <c r="B102" s="936"/>
      <c r="C102" s="936"/>
      <c r="D102" s="936"/>
      <c r="E102" s="936"/>
      <c r="F102" s="936"/>
      <c r="G102" s="936"/>
      <c r="H102" s="936"/>
      <c r="I102" s="936"/>
      <c r="J102" s="936"/>
      <c r="K102" s="937"/>
      <c r="L102" s="938"/>
      <c r="M102" s="936"/>
      <c r="N102" s="2724"/>
      <c r="O102" s="2724"/>
      <c r="P102" s="2724"/>
      <c r="Q102" s="2724"/>
      <c r="R102" s="2724"/>
      <c r="S102" s="2724"/>
      <c r="T102" s="2724"/>
      <c r="U102" s="2724"/>
      <c r="V102" s="2724"/>
      <c r="W102" s="2724"/>
      <c r="X102" s="2724"/>
      <c r="Y102" s="2724"/>
      <c r="Z102" s="2724"/>
      <c r="AA102" s="2724"/>
      <c r="AB102" s="2724"/>
      <c r="AC102" s="2724"/>
      <c r="AD102" s="2724"/>
    </row>
    <row r="103" spans="1:30">
      <c r="A103" s="936"/>
      <c r="B103" s="936"/>
      <c r="C103" s="936"/>
      <c r="D103" s="936"/>
      <c r="E103" s="936"/>
      <c r="F103" s="936"/>
      <c r="G103" s="936"/>
      <c r="H103" s="936"/>
      <c r="I103" s="936"/>
      <c r="J103" s="936"/>
      <c r="K103" s="937"/>
      <c r="L103" s="938"/>
      <c r="M103" s="936"/>
      <c r="N103" s="936"/>
      <c r="O103" s="936"/>
      <c r="P103" s="2724"/>
      <c r="Q103" s="2724"/>
      <c r="R103" s="2724"/>
      <c r="S103" s="2724"/>
      <c r="T103" s="2724"/>
      <c r="U103" s="2724"/>
      <c r="V103" s="2724"/>
      <c r="W103" s="2724"/>
      <c r="X103" s="2724"/>
      <c r="Y103" s="2724"/>
      <c r="Z103" s="2724"/>
      <c r="AA103" s="2724"/>
      <c r="AB103" s="2724"/>
      <c r="AC103" s="2724"/>
      <c r="AD103" s="2724"/>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54" priority="18" stopIfTrue="1" operator="containsText" text="超过">
      <formula>NOT(ISERROR(SEARCH("超过",F40)))</formula>
    </cfRule>
  </conditionalFormatting>
  <conditionalFormatting sqref="J42">
    <cfRule type="containsText" dxfId="53" priority="17" stopIfTrue="1" operator="containsText" text="超过">
      <formula>NOT(ISERROR(SEARCH("超过",J42)))</formula>
    </cfRule>
  </conditionalFormatting>
  <conditionalFormatting sqref="H42">
    <cfRule type="containsText" dxfId="52" priority="16" stopIfTrue="1" operator="containsText" text="超过">
      <formula>NOT(ISERROR(SEARCH("超过",H42)))</formula>
    </cfRule>
  </conditionalFormatting>
  <conditionalFormatting sqref="F42">
    <cfRule type="containsText" dxfId="51" priority="15" stopIfTrue="1" operator="containsText" text="超过">
      <formula>NOT(ISERROR(SEARCH("超过",F42)))</formula>
    </cfRule>
  </conditionalFormatting>
  <conditionalFormatting sqref="F41 H41 J41">
    <cfRule type="containsText" dxfId="50" priority="14" stopIfTrue="1" operator="containsText" text="超过">
      <formula>NOT(ISERROR(SEARCH("超过",F41)))</formula>
    </cfRule>
  </conditionalFormatting>
  <conditionalFormatting sqref="E40">
    <cfRule type="expression" dxfId="49" priority="13" stopIfTrue="1">
      <formula>$F$40="超过30%"</formula>
    </cfRule>
  </conditionalFormatting>
  <conditionalFormatting sqref="G42">
    <cfRule type="expression" dxfId="48" priority="12" stopIfTrue="1">
      <formula>$H$54+$H$42="超过30%"</formula>
    </cfRule>
  </conditionalFormatting>
  <conditionalFormatting sqref="E41">
    <cfRule type="expression" dxfId="47" priority="11" stopIfTrue="1">
      <formula>$F$41="超过20%"</formula>
    </cfRule>
  </conditionalFormatting>
  <conditionalFormatting sqref="E42">
    <cfRule type="expression" dxfId="46" priority="10" stopIfTrue="1">
      <formula>$F$42="超过30%"</formula>
    </cfRule>
  </conditionalFormatting>
  <conditionalFormatting sqref="G40">
    <cfRule type="expression" dxfId="45" priority="9" stopIfTrue="1">
      <formula>$H$52+$H$40="超过30%"</formula>
    </cfRule>
  </conditionalFormatting>
  <conditionalFormatting sqref="G41">
    <cfRule type="expression" dxfId="44" priority="8" stopIfTrue="1">
      <formula>$H$53+$H$41="超过20%"</formula>
    </cfRule>
  </conditionalFormatting>
  <conditionalFormatting sqref="I40">
    <cfRule type="expression" dxfId="43" priority="7" stopIfTrue="1">
      <formula>$J$40="超过30%"</formula>
    </cfRule>
  </conditionalFormatting>
  <conditionalFormatting sqref="I41">
    <cfRule type="expression" dxfId="42" priority="6" stopIfTrue="1">
      <formula>$J$41="超过20%"</formula>
    </cfRule>
  </conditionalFormatting>
  <conditionalFormatting sqref="I42">
    <cfRule type="expression" dxfId="41" priority="5" stopIfTrue="1">
      <formula>$J$42="超过30%"</formula>
    </cfRule>
  </conditionalFormatting>
  <conditionalFormatting sqref="F36">
    <cfRule type="expression" dxfId="40" priority="4">
      <formula>$D$36="简单平均"</formula>
    </cfRule>
  </conditionalFormatting>
  <conditionalFormatting sqref="H36">
    <cfRule type="expression" dxfId="39" priority="3">
      <formula>$D$36="简单平均"</formula>
    </cfRule>
  </conditionalFormatting>
  <conditionalFormatting sqref="J36">
    <cfRule type="expression" dxfId="38" priority="2">
      <formula>$D$36="简单平均"</formula>
    </cfRule>
  </conditionalFormatting>
  <conditionalFormatting sqref="F7:F34 H7:H34 J7:J34">
    <cfRule type="cellIs" dxfId="37"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3"/>
      <c r="M2" s="2734"/>
      <c r="N2" s="2734"/>
      <c r="O2" s="2734"/>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3"/>
      <c r="E3" s="908"/>
      <c r="F3" s="909"/>
      <c r="G3" s="908"/>
      <c r="H3" s="908"/>
      <c r="I3" s="908"/>
      <c r="J3" s="908"/>
      <c r="K3" s="910"/>
      <c r="L3" s="2733"/>
      <c r="M3" s="2734"/>
      <c r="N3" s="2734"/>
      <c r="O3" s="2734"/>
      <c r="P3" s="699"/>
      <c r="Q3" s="699"/>
      <c r="R3" s="699"/>
      <c r="S3" s="699"/>
      <c r="T3" s="699"/>
      <c r="U3" s="699"/>
      <c r="V3" s="699"/>
      <c r="W3" s="699"/>
      <c r="X3" s="699"/>
      <c r="Y3" s="699"/>
      <c r="Z3" s="699"/>
      <c r="AA3" s="699"/>
      <c r="AB3" s="716"/>
      <c r="AC3" s="713"/>
    </row>
    <row r="4" spans="1:30" ht="15">
      <c r="A4" s="355" t="s">
        <v>1769</v>
      </c>
      <c r="B4" s="356"/>
      <c r="C4" s="3810" t="s">
        <v>1770</v>
      </c>
      <c r="D4" s="3811"/>
      <c r="E4" s="3812" t="s">
        <v>1771</v>
      </c>
      <c r="F4" s="3813"/>
      <c r="G4" s="3810" t="s">
        <v>1772</v>
      </c>
      <c r="H4" s="3811"/>
      <c r="I4" s="3810" t="s">
        <v>1773</v>
      </c>
      <c r="J4" s="3811"/>
      <c r="K4" s="559" t="s">
        <v>1774</v>
      </c>
      <c r="L4" s="2714"/>
      <c r="M4" s="2715"/>
      <c r="N4" s="2715"/>
      <c r="O4" s="2715"/>
      <c r="P4" s="3814" t="s">
        <v>1775</v>
      </c>
      <c r="Q4" s="3815"/>
      <c r="R4" s="3797" t="s">
        <v>1771</v>
      </c>
      <c r="S4" s="3798"/>
      <c r="T4" s="3797" t="s">
        <v>1772</v>
      </c>
      <c r="U4" s="3798"/>
      <c r="V4" s="3822" t="s">
        <v>1773</v>
      </c>
      <c r="W4" s="3822"/>
      <c r="X4" s="1355"/>
      <c r="Y4" s="3797" t="s">
        <v>1775</v>
      </c>
      <c r="Z4" s="3798"/>
      <c r="AA4" s="3792" t="s">
        <v>1771</v>
      </c>
      <c r="AB4" s="3793" t="s">
        <v>1772</v>
      </c>
      <c r="AC4" s="3792" t="s">
        <v>1773</v>
      </c>
    </row>
    <row r="5" spans="1:30" ht="15">
      <c r="A5" s="358"/>
      <c r="B5" s="359"/>
      <c r="C5" s="3803" t="s">
        <v>1673</v>
      </c>
      <c r="D5" s="3804"/>
      <c r="E5" s="3801" t="s">
        <v>1674</v>
      </c>
      <c r="F5" s="3802"/>
      <c r="G5" s="3803" t="s">
        <v>1675</v>
      </c>
      <c r="H5" s="3804"/>
      <c r="I5" s="3803" t="s">
        <v>1676</v>
      </c>
      <c r="J5" s="3804"/>
      <c r="K5" s="559"/>
      <c r="L5" s="2714"/>
      <c r="M5" s="2715"/>
      <c r="N5" s="2715"/>
      <c r="O5" s="2715"/>
      <c r="P5" s="3816"/>
      <c r="Q5" s="3817"/>
      <c r="R5" s="3799"/>
      <c r="S5" s="3800"/>
      <c r="T5" s="3799"/>
      <c r="U5" s="3800"/>
      <c r="V5" s="3822"/>
      <c r="W5" s="3822"/>
      <c r="X5" s="1355"/>
      <c r="Y5" s="3799"/>
      <c r="Z5" s="3800"/>
      <c r="AA5" s="3793"/>
      <c r="AB5" s="3793"/>
      <c r="AC5" s="3793"/>
    </row>
    <row r="6" spans="1:30" ht="15.75" thickBot="1">
      <c r="A6" s="360"/>
      <c r="B6" s="361"/>
      <c r="C6" s="3805" t="s">
        <v>1677</v>
      </c>
      <c r="D6" s="3806"/>
      <c r="E6" s="3807" t="s">
        <v>1677</v>
      </c>
      <c r="F6" s="3808"/>
      <c r="G6" s="3805" t="s">
        <v>1677</v>
      </c>
      <c r="H6" s="3806"/>
      <c r="I6" s="3805" t="s">
        <v>1677</v>
      </c>
      <c r="J6" s="3806"/>
      <c r="K6" s="559" t="s">
        <v>1678</v>
      </c>
      <c r="L6" s="2714"/>
      <c r="M6" s="2715"/>
      <c r="N6" s="2715"/>
      <c r="O6" s="2715"/>
      <c r="P6" s="3818"/>
      <c r="Q6" s="3819"/>
      <c r="R6" s="3799"/>
      <c r="S6" s="3800"/>
      <c r="T6" s="3820"/>
      <c r="U6" s="3821"/>
      <c r="V6" s="3822"/>
      <c r="W6" s="3822"/>
      <c r="X6" s="1355"/>
      <c r="Y6" s="3820"/>
      <c r="Z6" s="3821"/>
      <c r="AA6" s="3794"/>
      <c r="AB6" s="3794"/>
      <c r="AC6" s="3794"/>
    </row>
    <row r="7" spans="1:30" s="108" customFormat="1" ht="15.75" thickBot="1">
      <c r="A7" s="362" t="s">
        <v>1679</v>
      </c>
      <c r="B7" s="363"/>
      <c r="C7" s="364">
        <f>'数据-取费表'!B2</f>
        <v>44926</v>
      </c>
      <c r="D7" s="365">
        <v>100</v>
      </c>
      <c r="E7" s="366"/>
      <c r="F7" s="367">
        <f>SUMIF(69:69,YEAR(E7)&amp;"-"&amp;INT((MONTH(E7)+2)/3),70:70)</f>
        <v>0</v>
      </c>
      <c r="G7" s="1974"/>
      <c r="H7" s="365">
        <f>SUMIF(69:69,YEAR(G7)&amp;"-"&amp;INT((MONTH(G7)+2)/3),70:70)</f>
        <v>0</v>
      </c>
      <c r="I7" s="1974"/>
      <c r="J7" s="365">
        <f>SUMIF(69:69,YEAR(I7)&amp;"-"&amp;INT((MONTH(I7)+2)/3),70:70)</f>
        <v>0</v>
      </c>
      <c r="K7" s="560"/>
      <c r="L7" s="2716"/>
      <c r="M7" s="2717"/>
      <c r="N7" s="2717"/>
      <c r="O7" s="2717"/>
      <c r="P7" s="3795" t="s">
        <v>1680</v>
      </c>
      <c r="Q7" s="3823"/>
      <c r="R7" s="701" t="s">
        <v>14</v>
      </c>
      <c r="S7" s="702">
        <f t="shared" ref="S7:S15" si="0">F7</f>
        <v>0</v>
      </c>
      <c r="T7" s="701" t="s">
        <v>14</v>
      </c>
      <c r="U7" s="702">
        <f t="shared" ref="U7:U15" si="1">H7</f>
        <v>0</v>
      </c>
      <c r="V7" s="701" t="s">
        <v>14</v>
      </c>
      <c r="W7" s="702">
        <f t="shared" ref="W7:W15" si="2">J7</f>
        <v>0</v>
      </c>
      <c r="X7" s="703"/>
      <c r="Y7" s="3795" t="s">
        <v>1680</v>
      </c>
      <c r="Z7" s="3796"/>
      <c r="AA7" s="704" t="e">
        <f>D7/F7</f>
        <v>#DIV/0!</v>
      </c>
      <c r="AB7" s="704" t="e">
        <f>D7/H7</f>
        <v>#DIV/0!</v>
      </c>
      <c r="AC7" s="704"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6"/>
      <c r="M8" s="2717"/>
      <c r="N8" s="2717"/>
      <c r="O8" s="2717"/>
      <c r="P8" s="3795" t="s">
        <v>1683</v>
      </c>
      <c r="Q8" s="3796"/>
      <c r="R8" s="701" t="s">
        <v>14</v>
      </c>
      <c r="S8" s="702">
        <f t="shared" si="0"/>
        <v>0</v>
      </c>
      <c r="T8" s="701" t="s">
        <v>14</v>
      </c>
      <c r="U8" s="702">
        <f t="shared" si="1"/>
        <v>0</v>
      </c>
      <c r="V8" s="701" t="s">
        <v>14</v>
      </c>
      <c r="W8" s="702">
        <f t="shared" si="2"/>
        <v>0</v>
      </c>
      <c r="X8" s="703"/>
      <c r="Y8" s="3795" t="s">
        <v>1683</v>
      </c>
      <c r="Z8" s="3796"/>
      <c r="AA8" s="704" t="e">
        <f t="shared" ref="AA8:AA45" si="3">D8/F8</f>
        <v>#DIV/0!</v>
      </c>
      <c r="AB8" s="704" t="e">
        <f t="shared" ref="AB8:AB45" si="4">D8/H8</f>
        <v>#DIV/0!</v>
      </c>
      <c r="AC8" s="704" t="e">
        <f t="shared" ref="AC8:AC45" si="5">D8/J8</f>
        <v>#DIV/0!</v>
      </c>
    </row>
    <row r="9" spans="1:30" s="108" customFormat="1">
      <c r="A9" s="369" t="s">
        <v>1684</v>
      </c>
      <c r="B9" s="63" t="s">
        <v>1685</v>
      </c>
      <c r="C9" s="1977"/>
      <c r="D9" s="126">
        <v>100</v>
      </c>
      <c r="E9" s="1977"/>
      <c r="F9" s="126">
        <f>SUMIF(74:74,E9,75:75)-SUMIF(74:74,C9,75:75)+100</f>
        <v>100</v>
      </c>
      <c r="G9" s="1977"/>
      <c r="H9" s="126">
        <f>SUMIF(74:74,G9,75:75)-SUMIF(74:74,C9,75:75)+100</f>
        <v>100</v>
      </c>
      <c r="I9" s="1977"/>
      <c r="J9" s="126">
        <f>SUMIF(74:74,I9,75:75)-SUMIF(74:74,C9,75:75)+100</f>
        <v>100</v>
      </c>
      <c r="K9" s="560"/>
      <c r="L9" s="2716"/>
      <c r="M9" s="2717"/>
      <c r="N9" s="2717"/>
      <c r="O9" s="2771"/>
      <c r="P9" s="3827" t="s">
        <v>1686</v>
      </c>
      <c r="Q9" s="1343" t="str">
        <f t="shared" ref="Q9:Q15" si="6">B9</f>
        <v>用途</v>
      </c>
      <c r="R9" s="701" t="s">
        <v>14</v>
      </c>
      <c r="S9" s="702">
        <f t="shared" si="0"/>
        <v>100</v>
      </c>
      <c r="T9" s="701" t="s">
        <v>14</v>
      </c>
      <c r="U9" s="702">
        <f t="shared" si="1"/>
        <v>100</v>
      </c>
      <c r="V9" s="701" t="s">
        <v>14</v>
      </c>
      <c r="W9" s="702">
        <f t="shared" si="2"/>
        <v>100</v>
      </c>
      <c r="X9" s="703"/>
      <c r="Y9" s="3720" t="s">
        <v>1687</v>
      </c>
      <c r="Z9" s="52" t="str">
        <f t="shared" ref="Z9:Z15" si="7">Q9</f>
        <v>用途</v>
      </c>
      <c r="AA9" s="704">
        <f t="shared" si="3"/>
        <v>1</v>
      </c>
      <c r="AB9" s="704">
        <f t="shared" si="4"/>
        <v>1</v>
      </c>
      <c r="AC9" s="704">
        <f t="shared" si="5"/>
        <v>1</v>
      </c>
    </row>
    <row r="10" spans="1:30" s="378" customFormat="1" ht="27">
      <c r="A10" s="374"/>
      <c r="B10" s="375" t="s">
        <v>1688</v>
      </c>
      <c r="C10" s="383"/>
      <c r="D10" s="127">
        <v>100</v>
      </c>
      <c r="E10" s="416"/>
      <c r="F10" s="127">
        <f>ROUND(100/'数据-取费表'!G16,0)</f>
        <v>133</v>
      </c>
      <c r="G10" s="414"/>
      <c r="H10" s="127">
        <f>ROUND(100/'数据-取费表'!G16,0)</f>
        <v>133</v>
      </c>
      <c r="I10" s="414"/>
      <c r="J10" s="127">
        <f>ROUND(100/'数据-取费表'!G16,0)</f>
        <v>133</v>
      </c>
      <c r="K10" s="620"/>
      <c r="L10" s="2718"/>
      <c r="M10" s="2719"/>
      <c r="N10" s="2719"/>
      <c r="O10" s="2772"/>
      <c r="P10" s="3827"/>
      <c r="Q10" s="1343" t="str">
        <f t="shared" si="6"/>
        <v>土地使用年限（年）</v>
      </c>
      <c r="R10" s="701" t="s">
        <v>14</v>
      </c>
      <c r="S10" s="702">
        <f t="shared" si="0"/>
        <v>133</v>
      </c>
      <c r="T10" s="701" t="s">
        <v>14</v>
      </c>
      <c r="U10" s="702">
        <f t="shared" si="1"/>
        <v>133</v>
      </c>
      <c r="V10" s="701" t="s">
        <v>14</v>
      </c>
      <c r="W10" s="702">
        <f t="shared" si="2"/>
        <v>133</v>
      </c>
      <c r="X10" s="703"/>
      <c r="Y10" s="3720"/>
      <c r="Z10" s="52" t="str">
        <f t="shared" si="7"/>
        <v>土地使用年限（年）</v>
      </c>
      <c r="AA10" s="704">
        <f t="shared" si="3"/>
        <v>0.75187969924812026</v>
      </c>
      <c r="AB10" s="704">
        <f t="shared" si="4"/>
        <v>0.75187969924812026</v>
      </c>
      <c r="AC10" s="704">
        <f t="shared" si="5"/>
        <v>0.75187969924812026</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20"/>
      <c r="M11" s="2715"/>
      <c r="N11" s="2715"/>
      <c r="O11" s="2773"/>
      <c r="P11" s="3827"/>
      <c r="Q11" s="1343" t="str">
        <f t="shared" si="6"/>
        <v>容积率</v>
      </c>
      <c r="R11" s="701" t="s">
        <v>14</v>
      </c>
      <c r="S11" s="702" t="e">
        <f t="shared" si="0"/>
        <v>#N/A</v>
      </c>
      <c r="T11" s="701" t="s">
        <v>14</v>
      </c>
      <c r="U11" s="702" t="e">
        <f t="shared" si="1"/>
        <v>#N/A</v>
      </c>
      <c r="V11" s="701" t="s">
        <v>14</v>
      </c>
      <c r="W11" s="702" t="e">
        <f t="shared" si="2"/>
        <v>#N/A</v>
      </c>
      <c r="X11" s="703"/>
      <c r="Y11" s="3720"/>
      <c r="Z11" s="52" t="str">
        <f t="shared" si="7"/>
        <v>容积率</v>
      </c>
      <c r="AA11" s="704" t="e">
        <f t="shared" si="3"/>
        <v>#N/A</v>
      </c>
      <c r="AB11" s="704" t="e">
        <f t="shared" si="4"/>
        <v>#N/A</v>
      </c>
      <c r="AC11" s="704" t="e">
        <f t="shared" si="5"/>
        <v>#N/A</v>
      </c>
    </row>
    <row r="12" spans="1:30" s="108" customFormat="1" ht="15">
      <c r="A12" s="382"/>
      <c r="B12" s="1893" t="s">
        <v>1870</v>
      </c>
      <c r="C12" s="383"/>
      <c r="D12" s="384">
        <v>100</v>
      </c>
      <c r="E12" s="416"/>
      <c r="F12" s="127">
        <f>SUMIF(81:81,E12,82:82)-SUMIF(81:81,C12,82:82)+100</f>
        <v>100</v>
      </c>
      <c r="G12" s="414"/>
      <c r="H12" s="127">
        <f>SUMIF(81:81,G12,82:82)-SUMIF(81:81,C12,82:82)+100</f>
        <v>100</v>
      </c>
      <c r="I12" s="416"/>
      <c r="J12" s="127">
        <f>SUMIF(81:81,I12,82:82)-SUMIF(81:81,C12,82:82)+100</f>
        <v>100</v>
      </c>
      <c r="K12" s="620"/>
      <c r="L12" s="2716"/>
      <c r="M12" s="2717"/>
      <c r="N12" s="2717"/>
      <c r="O12" s="2771"/>
      <c r="P12" s="3827"/>
      <c r="Q12" s="1343" t="str">
        <f t="shared" si="6"/>
        <v>配建</v>
      </c>
      <c r="R12" s="701" t="s">
        <v>14</v>
      </c>
      <c r="S12" s="702">
        <f t="shared" si="0"/>
        <v>100</v>
      </c>
      <c r="T12" s="701" t="s">
        <v>14</v>
      </c>
      <c r="U12" s="702">
        <f t="shared" si="1"/>
        <v>100</v>
      </c>
      <c r="V12" s="701" t="s">
        <v>14</v>
      </c>
      <c r="W12" s="702">
        <f t="shared" si="2"/>
        <v>100</v>
      </c>
      <c r="X12" s="703"/>
      <c r="Y12" s="3720"/>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1"/>
      <c r="M13" s="2715"/>
      <c r="N13" s="2715"/>
      <c r="O13" s="2773"/>
      <c r="P13" s="3827"/>
      <c r="Q13" s="1343">
        <f t="shared" si="6"/>
        <v>111</v>
      </c>
      <c r="R13" s="701" t="s">
        <v>14</v>
      </c>
      <c r="S13" s="702">
        <f t="shared" si="0"/>
        <v>100</v>
      </c>
      <c r="T13" s="701" t="s">
        <v>14</v>
      </c>
      <c r="U13" s="702">
        <f t="shared" si="1"/>
        <v>100</v>
      </c>
      <c r="V13" s="701" t="s">
        <v>14</v>
      </c>
      <c r="W13" s="702">
        <f t="shared" si="2"/>
        <v>100</v>
      </c>
      <c r="X13" s="703"/>
      <c r="Y13" s="3720"/>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1"/>
      <c r="M14" s="2715"/>
      <c r="N14" s="2715"/>
      <c r="O14" s="2773"/>
      <c r="P14" s="3827"/>
      <c r="Q14" s="1343">
        <f t="shared" si="6"/>
        <v>111</v>
      </c>
      <c r="R14" s="701" t="s">
        <v>14</v>
      </c>
      <c r="S14" s="702">
        <f t="shared" si="0"/>
        <v>100</v>
      </c>
      <c r="T14" s="701" t="s">
        <v>14</v>
      </c>
      <c r="U14" s="702">
        <f t="shared" si="1"/>
        <v>100</v>
      </c>
      <c r="V14" s="701" t="s">
        <v>14</v>
      </c>
      <c r="W14" s="702">
        <f t="shared" si="2"/>
        <v>100</v>
      </c>
      <c r="X14" s="703"/>
      <c r="Y14" s="3720"/>
      <c r="Z14" s="52">
        <f t="shared" si="7"/>
        <v>111</v>
      </c>
      <c r="AA14" s="704">
        <f>D14/F14</f>
        <v>1</v>
      </c>
      <c r="AB14" s="704">
        <f>D14/H14</f>
        <v>1</v>
      </c>
      <c r="AC14" s="704">
        <f>D14/J14</f>
        <v>1</v>
      </c>
    </row>
    <row r="15" spans="1:30" ht="99.75">
      <c r="A15" s="391" t="s">
        <v>1690</v>
      </c>
      <c r="B15" s="61" t="s">
        <v>1257</v>
      </c>
      <c r="C15" s="1896"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1"/>
      <c r="M15" s="2715"/>
      <c r="N15" s="2715"/>
      <c r="O15" s="2773"/>
      <c r="P15" s="3829" t="s">
        <v>1691</v>
      </c>
      <c r="Q15" s="1352" t="str">
        <f t="shared" si="6"/>
        <v>居住社区成熟度</v>
      </c>
      <c r="R15" s="705" t="s">
        <v>14</v>
      </c>
      <c r="S15" s="706">
        <f t="shared" si="0"/>
        <v>100</v>
      </c>
      <c r="T15" s="705" t="s">
        <v>14</v>
      </c>
      <c r="U15" s="706">
        <f t="shared" si="1"/>
        <v>100</v>
      </c>
      <c r="V15" s="705" t="s">
        <v>14</v>
      </c>
      <c r="W15" s="706">
        <f t="shared" si="2"/>
        <v>100</v>
      </c>
      <c r="X15" s="1355"/>
      <c r="Y15" s="3829" t="s">
        <v>1691</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1"/>
      <c r="M16" s="2715"/>
      <c r="N16" s="2715"/>
      <c r="O16" s="2773"/>
      <c r="P16" s="3830"/>
      <c r="Q16" s="1352"/>
      <c r="R16" s="705"/>
      <c r="S16" s="706"/>
      <c r="T16" s="705"/>
      <c r="U16" s="706"/>
      <c r="V16" s="705"/>
      <c r="W16" s="706"/>
      <c r="X16" s="1355"/>
      <c r="Y16" s="3830"/>
      <c r="Z16" s="1356"/>
      <c r="AA16" s="1353">
        <v>1</v>
      </c>
      <c r="AB16" s="1353">
        <v>1</v>
      </c>
      <c r="AC16" s="1353">
        <v>1</v>
      </c>
    </row>
    <row r="17" spans="1:29" ht="71.25">
      <c r="A17" s="379"/>
      <c r="B17" s="402" t="s">
        <v>1777</v>
      </c>
      <c r="C17" s="1955"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1"/>
      <c r="M17" s="2715"/>
      <c r="N17" s="2715"/>
      <c r="O17" s="2773"/>
      <c r="P17" s="3830"/>
      <c r="Q17" s="1352" t="str">
        <f>B17</f>
        <v>商业繁华度</v>
      </c>
      <c r="R17" s="705" t="s">
        <v>14</v>
      </c>
      <c r="S17" s="706">
        <f>F17</f>
        <v>100</v>
      </c>
      <c r="T17" s="705" t="s">
        <v>14</v>
      </c>
      <c r="U17" s="706">
        <f>H17</f>
        <v>100</v>
      </c>
      <c r="V17" s="705" t="s">
        <v>14</v>
      </c>
      <c r="W17" s="706">
        <f>J17</f>
        <v>100</v>
      </c>
      <c r="X17" s="1355"/>
      <c r="Y17" s="3830"/>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1"/>
      <c r="M18" s="2715"/>
      <c r="N18" s="2715"/>
      <c r="O18" s="2773"/>
      <c r="P18" s="3830"/>
      <c r="Q18" s="1352"/>
      <c r="R18" s="705"/>
      <c r="S18" s="706"/>
      <c r="T18" s="705"/>
      <c r="U18" s="706"/>
      <c r="V18" s="705"/>
      <c r="W18" s="706"/>
      <c r="X18" s="1355"/>
      <c r="Y18" s="3830"/>
      <c r="Z18" s="1356"/>
      <c r="AA18" s="1353">
        <v>1</v>
      </c>
      <c r="AB18" s="1353">
        <v>1</v>
      </c>
      <c r="AC18" s="1353">
        <v>1</v>
      </c>
    </row>
    <row r="19" spans="1:29" ht="71.25">
      <c r="A19" s="379"/>
      <c r="B19" s="402" t="s">
        <v>1811</v>
      </c>
      <c r="C19" s="1955"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1"/>
      <c r="M19" s="2715"/>
      <c r="N19" s="2715"/>
      <c r="O19" s="2773"/>
      <c r="P19" s="3830"/>
      <c r="Q19" s="1352" t="str">
        <f>B19</f>
        <v>办公集聚程度</v>
      </c>
      <c r="R19" s="705" t="s">
        <v>14</v>
      </c>
      <c r="S19" s="706">
        <f>F19</f>
        <v>100</v>
      </c>
      <c r="T19" s="705" t="s">
        <v>14</v>
      </c>
      <c r="U19" s="706">
        <f>H19</f>
        <v>100</v>
      </c>
      <c r="V19" s="705" t="s">
        <v>14</v>
      </c>
      <c r="W19" s="706">
        <f>J19</f>
        <v>100</v>
      </c>
      <c r="X19" s="1355"/>
      <c r="Y19" s="3830"/>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1"/>
      <c r="M20" s="2715"/>
      <c r="N20" s="2715"/>
      <c r="O20" s="2773"/>
      <c r="P20" s="3830"/>
      <c r="Q20" s="1352"/>
      <c r="R20" s="705"/>
      <c r="S20" s="706"/>
      <c r="T20" s="705"/>
      <c r="U20" s="706"/>
      <c r="V20" s="705"/>
      <c r="W20" s="706"/>
      <c r="X20" s="1355"/>
      <c r="Y20" s="3830"/>
      <c r="Z20" s="1356"/>
      <c r="AA20" s="1353">
        <v>1</v>
      </c>
      <c r="AB20" s="1353">
        <v>1</v>
      </c>
      <c r="AC20" s="1353">
        <v>1</v>
      </c>
    </row>
    <row r="21" spans="1:29" ht="15">
      <c r="A21" s="379"/>
      <c r="B21" s="402" t="s">
        <v>1833</v>
      </c>
      <c r="C21" s="1900" t="str">
        <f>估价对象房地状况!C18</f>
        <v>光熙门536米</v>
      </c>
      <c r="D21" s="401">
        <v>100</v>
      </c>
      <c r="E21" s="403"/>
      <c r="F21" s="406">
        <f>SUMIF(93:93,E22,94:94)-SUMIF(93:93,C22,94:94)+100</f>
        <v>100</v>
      </c>
      <c r="G21" s="403"/>
      <c r="H21" s="401">
        <f>SUMIF(93:93,G22,94:94)-SUMIF(93:93,C22,94:94)+100</f>
        <v>100</v>
      </c>
      <c r="I21" s="405"/>
      <c r="J21" s="401">
        <f>SUMIF(93:93,I22,94:94)-SUMIF(93:93,C22,94:94)+100</f>
        <v>100</v>
      </c>
      <c r="K21" s="621"/>
      <c r="L21" s="2721"/>
      <c r="M21" s="2715"/>
      <c r="N21" s="2715"/>
      <c r="O21" s="2773"/>
      <c r="P21" s="3830"/>
      <c r="Q21" s="1352" t="str">
        <f>B21</f>
        <v>交通便捷度</v>
      </c>
      <c r="R21" s="705" t="s">
        <v>14</v>
      </c>
      <c r="S21" s="706">
        <f>F21</f>
        <v>100</v>
      </c>
      <c r="T21" s="705" t="s">
        <v>14</v>
      </c>
      <c r="U21" s="706">
        <f>H21</f>
        <v>100</v>
      </c>
      <c r="V21" s="705" t="s">
        <v>14</v>
      </c>
      <c r="W21" s="706">
        <f>J21</f>
        <v>100</v>
      </c>
      <c r="X21" s="1355"/>
      <c r="Y21" s="3830"/>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1"/>
      <c r="M22" s="2715"/>
      <c r="N22" s="2715"/>
      <c r="O22" s="2773"/>
      <c r="P22" s="3830"/>
      <c r="Q22" s="1352"/>
      <c r="R22" s="705"/>
      <c r="S22" s="706"/>
      <c r="T22" s="705"/>
      <c r="U22" s="706"/>
      <c r="V22" s="705"/>
      <c r="W22" s="706"/>
      <c r="X22" s="1355"/>
      <c r="Y22" s="3830"/>
      <c r="Z22" s="1356"/>
      <c r="AA22" s="1353">
        <v>1</v>
      </c>
      <c r="AB22" s="1353">
        <v>1</v>
      </c>
      <c r="AC22" s="1353">
        <v>1</v>
      </c>
    </row>
    <row r="23" spans="1:29" ht="15">
      <c r="A23" s="358"/>
      <c r="B23" s="402" t="s">
        <v>1871</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1"/>
      <c r="M23" s="2715"/>
      <c r="N23" s="2715"/>
      <c r="O23" s="2773"/>
      <c r="P23" s="3830"/>
      <c r="Q23" s="1352" t="str">
        <f t="shared" ref="Q23:Q37" si="8">B23</f>
        <v>区域土地利用方向</v>
      </c>
      <c r="R23" s="705" t="s">
        <v>14</v>
      </c>
      <c r="S23" s="706">
        <f>F23</f>
        <v>100</v>
      </c>
      <c r="T23" s="705" t="s">
        <v>14</v>
      </c>
      <c r="U23" s="706">
        <f>H23</f>
        <v>100</v>
      </c>
      <c r="V23" s="705" t="s">
        <v>14</v>
      </c>
      <c r="W23" s="706">
        <f>J23</f>
        <v>100</v>
      </c>
      <c r="X23" s="1355"/>
      <c r="Y23" s="3830"/>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1"/>
      <c r="M24" s="2715"/>
      <c r="N24" s="2715"/>
      <c r="O24" s="2773"/>
      <c r="P24" s="3830"/>
      <c r="Q24" s="1352"/>
      <c r="R24" s="705"/>
      <c r="S24" s="706"/>
      <c r="T24" s="705"/>
      <c r="U24" s="706"/>
      <c r="V24" s="705"/>
      <c r="W24" s="706"/>
      <c r="X24" s="1355"/>
      <c r="Y24" s="3830"/>
      <c r="Z24" s="1356"/>
      <c r="AA24" s="1353"/>
      <c r="AB24" s="1353"/>
      <c r="AC24" s="1353"/>
    </row>
    <row r="25" spans="1:29" ht="57">
      <c r="A25" s="358"/>
      <c r="B25" s="1131" t="s">
        <v>1872</v>
      </c>
      <c r="C25" s="1955"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1"/>
      <c r="M25" s="2715"/>
      <c r="N25" s="2715"/>
      <c r="O25" s="2773"/>
      <c r="P25" s="3830"/>
      <c r="Q25" s="1352" t="str">
        <f t="shared" si="8"/>
        <v>自然及人文环境状况</v>
      </c>
      <c r="R25" s="705" t="s">
        <v>14</v>
      </c>
      <c r="S25" s="706">
        <f>F25</f>
        <v>100</v>
      </c>
      <c r="T25" s="705" t="s">
        <v>14</v>
      </c>
      <c r="U25" s="706">
        <f>H25</f>
        <v>100</v>
      </c>
      <c r="V25" s="705" t="s">
        <v>14</v>
      </c>
      <c r="W25" s="706">
        <f>J25</f>
        <v>100</v>
      </c>
      <c r="X25" s="1355"/>
      <c r="Y25" s="3830"/>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1"/>
      <c r="M26" s="2715"/>
      <c r="N26" s="2715"/>
      <c r="O26" s="2773"/>
      <c r="P26" s="3830"/>
      <c r="Q26" s="1352"/>
      <c r="R26" s="705"/>
      <c r="S26" s="706"/>
      <c r="T26" s="705"/>
      <c r="U26" s="706"/>
      <c r="V26" s="705"/>
      <c r="W26" s="706"/>
      <c r="X26" s="1355"/>
      <c r="Y26" s="3830"/>
      <c r="Z26" s="1356"/>
      <c r="AA26" s="1353">
        <v>1</v>
      </c>
      <c r="AB26" s="1353">
        <v>1</v>
      </c>
      <c r="AC26" s="1353">
        <v>1</v>
      </c>
    </row>
    <row r="27" spans="1:29" s="108" customFormat="1" ht="42.75">
      <c r="A27" s="597"/>
      <c r="B27" s="1131" t="s">
        <v>1778</v>
      </c>
      <c r="C27" s="1900"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6"/>
      <c r="M27" s="2717"/>
      <c r="N27" s="2717"/>
      <c r="O27" s="2771"/>
      <c r="P27" s="3830"/>
      <c r="Q27" s="1343" t="str">
        <f t="shared" si="8"/>
        <v>公共配套设施</v>
      </c>
      <c r="R27" s="701" t="s">
        <v>14</v>
      </c>
      <c r="S27" s="702">
        <f>F27</f>
        <v>100</v>
      </c>
      <c r="T27" s="701" t="s">
        <v>14</v>
      </c>
      <c r="U27" s="702">
        <f>H27</f>
        <v>100</v>
      </c>
      <c r="V27" s="701" t="s">
        <v>14</v>
      </c>
      <c r="W27" s="702">
        <f>J27</f>
        <v>100</v>
      </c>
      <c r="X27" s="703"/>
      <c r="Y27" s="3830"/>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6"/>
      <c r="M28" s="2717"/>
      <c r="N28" s="2717"/>
      <c r="O28" s="2771"/>
      <c r="P28" s="3830"/>
      <c r="Q28" s="1343"/>
      <c r="R28" s="701"/>
      <c r="S28" s="702"/>
      <c r="T28" s="701"/>
      <c r="U28" s="702"/>
      <c r="V28" s="701"/>
      <c r="W28" s="702"/>
      <c r="X28" s="703"/>
      <c r="Y28" s="3830"/>
      <c r="Z28" s="52"/>
      <c r="AA28" s="1353">
        <v>1</v>
      </c>
      <c r="AB28" s="1353">
        <v>1</v>
      </c>
      <c r="AC28" s="1353">
        <v>1</v>
      </c>
    </row>
    <row r="29" spans="1:29" s="108" customFormat="1" ht="28.5">
      <c r="A29" s="597"/>
      <c r="B29" s="1131" t="s">
        <v>1779</v>
      </c>
      <c r="C29" s="1900"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6"/>
      <c r="M29" s="2717"/>
      <c r="N29" s="2717"/>
      <c r="O29" s="2771"/>
      <c r="P29" s="3830"/>
      <c r="Q29" s="1343" t="str">
        <f t="shared" ref="Q29" si="9">B29</f>
        <v>基础设施水平</v>
      </c>
      <c r="R29" s="701" t="s">
        <v>14</v>
      </c>
      <c r="S29" s="702">
        <f>F29</f>
        <v>100</v>
      </c>
      <c r="T29" s="701" t="s">
        <v>14</v>
      </c>
      <c r="U29" s="702">
        <f>H29</f>
        <v>100</v>
      </c>
      <c r="V29" s="701" t="s">
        <v>14</v>
      </c>
      <c r="W29" s="702">
        <f>J29</f>
        <v>100</v>
      </c>
      <c r="X29" s="703"/>
      <c r="Y29" s="3830"/>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6"/>
      <c r="M30" s="2717"/>
      <c r="N30" s="2717"/>
      <c r="O30" s="2771"/>
      <c r="P30" s="3830"/>
      <c r="Q30" s="1343"/>
      <c r="R30" s="701"/>
      <c r="S30" s="702"/>
      <c r="T30" s="701"/>
      <c r="U30" s="702"/>
      <c r="V30" s="701"/>
      <c r="W30" s="702"/>
      <c r="X30" s="703"/>
      <c r="Y30" s="3830"/>
      <c r="Z30" s="52"/>
      <c r="AA30" s="1353">
        <v>1</v>
      </c>
      <c r="AB30" s="1353">
        <v>1</v>
      </c>
      <c r="AC30" s="1353">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1"/>
      <c r="M31" s="2715"/>
      <c r="N31" s="2715"/>
      <c r="O31" s="2773"/>
      <c r="P31" s="3830"/>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830"/>
      <c r="Z31" s="1356" t="str">
        <f t="shared" ref="Z31:Z45" si="13">Q31</f>
        <v>临街状况</v>
      </c>
      <c r="AA31" s="1353">
        <f t="shared" si="3"/>
        <v>1</v>
      </c>
      <c r="AB31" s="1353">
        <f t="shared" si="4"/>
        <v>1</v>
      </c>
      <c r="AC31" s="1353">
        <f t="shared" si="5"/>
        <v>1</v>
      </c>
    </row>
    <row r="32" spans="1:29" ht="27">
      <c r="A32" s="379"/>
      <c r="B32" s="1131"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1"/>
      <c r="M32" s="2715"/>
      <c r="N32" s="2715"/>
      <c r="O32" s="2773"/>
      <c r="P32" s="3830"/>
      <c r="Q32" s="1352" t="str">
        <f t="shared" si="8"/>
        <v>毗邻道路的类型与等级</v>
      </c>
      <c r="R32" s="705" t="s">
        <v>14</v>
      </c>
      <c r="S32" s="706">
        <f t="shared" si="10"/>
        <v>100</v>
      </c>
      <c r="T32" s="705" t="s">
        <v>14</v>
      </c>
      <c r="U32" s="706">
        <f t="shared" si="11"/>
        <v>100</v>
      </c>
      <c r="V32" s="705" t="s">
        <v>14</v>
      </c>
      <c r="W32" s="706">
        <f t="shared" si="12"/>
        <v>100</v>
      </c>
      <c r="X32" s="1355"/>
      <c r="Y32" s="3830"/>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1"/>
      <c r="M33" s="2715"/>
      <c r="N33" s="2715"/>
      <c r="O33" s="2773"/>
      <c r="P33" s="3830"/>
      <c r="Q33" s="1352"/>
      <c r="R33" s="705"/>
      <c r="S33" s="706"/>
      <c r="T33" s="705"/>
      <c r="U33" s="706"/>
      <c r="V33" s="705"/>
      <c r="W33" s="706"/>
      <c r="X33" s="1355"/>
      <c r="Y33" s="3830"/>
      <c r="Z33" s="1356"/>
      <c r="AA33" s="1353">
        <v>1</v>
      </c>
      <c r="AB33" s="1353">
        <v>1</v>
      </c>
      <c r="AC33" s="1353">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1"/>
      <c r="M34" s="2715"/>
      <c r="N34" s="2715"/>
      <c r="O34" s="2773"/>
      <c r="P34" s="3830"/>
      <c r="Q34" s="1352" t="str">
        <f t="shared" si="8"/>
        <v>土地级别</v>
      </c>
      <c r="R34" s="705" t="s">
        <v>14</v>
      </c>
      <c r="S34" s="706">
        <f t="shared" si="10"/>
        <v>100</v>
      </c>
      <c r="T34" s="705" t="s">
        <v>14</v>
      </c>
      <c r="U34" s="706">
        <f t="shared" si="11"/>
        <v>100</v>
      </c>
      <c r="V34" s="705" t="s">
        <v>14</v>
      </c>
      <c r="W34" s="706">
        <f t="shared" si="12"/>
        <v>100</v>
      </c>
      <c r="X34" s="1355"/>
      <c r="Y34" s="3830"/>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1"/>
      <c r="M35" s="2715"/>
      <c r="N35" s="2715"/>
      <c r="O35" s="2773"/>
      <c r="P35" s="3830"/>
      <c r="Q35" s="1352">
        <f t="shared" si="8"/>
        <v>111</v>
      </c>
      <c r="R35" s="705" t="s">
        <v>14</v>
      </c>
      <c r="S35" s="706">
        <f t="shared" si="10"/>
        <v>100</v>
      </c>
      <c r="T35" s="705" t="s">
        <v>14</v>
      </c>
      <c r="U35" s="706">
        <f t="shared" si="11"/>
        <v>100</v>
      </c>
      <c r="V35" s="705" t="s">
        <v>14</v>
      </c>
      <c r="W35" s="706">
        <f t="shared" si="12"/>
        <v>100</v>
      </c>
      <c r="X35" s="1355"/>
      <c r="Y35" s="3830"/>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1"/>
      <c r="M36" s="2715"/>
      <c r="N36" s="2715"/>
      <c r="O36" s="2773"/>
      <c r="P36" s="3856" t="s">
        <v>1696</v>
      </c>
      <c r="Q36" s="1352">
        <f t="shared" si="8"/>
        <v>111</v>
      </c>
      <c r="R36" s="705" t="s">
        <v>14</v>
      </c>
      <c r="S36" s="706">
        <f t="shared" si="10"/>
        <v>100</v>
      </c>
      <c r="T36" s="705" t="s">
        <v>14</v>
      </c>
      <c r="U36" s="706">
        <f t="shared" si="11"/>
        <v>100</v>
      </c>
      <c r="V36" s="705" t="s">
        <v>14</v>
      </c>
      <c r="W36" s="706">
        <f t="shared" si="12"/>
        <v>100</v>
      </c>
      <c r="X36" s="1355"/>
      <c r="Y36" s="3834" t="s">
        <v>1696</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20"/>
      <c r="M37" s="2722"/>
      <c r="N37" s="2722"/>
      <c r="O37" s="2774"/>
      <c r="P37" s="3834"/>
      <c r="Q37" s="1352">
        <f t="shared" si="8"/>
        <v>111</v>
      </c>
      <c r="R37" s="708" t="s">
        <v>14</v>
      </c>
      <c r="S37" s="709">
        <f t="shared" si="10"/>
        <v>100</v>
      </c>
      <c r="T37" s="708" t="s">
        <v>14</v>
      </c>
      <c r="U37" s="709">
        <f t="shared" si="11"/>
        <v>100</v>
      </c>
      <c r="V37" s="708" t="s">
        <v>14</v>
      </c>
      <c r="W37" s="709">
        <f t="shared" si="12"/>
        <v>100</v>
      </c>
      <c r="X37" s="710"/>
      <c r="Y37" s="3834"/>
      <c r="Z37" s="711">
        <f t="shared" si="13"/>
        <v>111</v>
      </c>
      <c r="AA37" s="1353">
        <f t="shared" si="3"/>
        <v>1</v>
      </c>
      <c r="AB37" s="1353">
        <f t="shared" si="4"/>
        <v>1</v>
      </c>
      <c r="AC37" s="1353">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1"/>
      <c r="M38" s="2715"/>
      <c r="N38" s="2715"/>
      <c r="O38" s="2773"/>
      <c r="P38" s="3834"/>
      <c r="Q38" s="1352" t="str">
        <f>B38</f>
        <v>宗地面积</v>
      </c>
      <c r="R38" s="705" t="s">
        <v>14</v>
      </c>
      <c r="S38" s="706" t="e">
        <f t="shared" si="10"/>
        <v>#N/A</v>
      </c>
      <c r="T38" s="705" t="s">
        <v>14</v>
      </c>
      <c r="U38" s="706" t="e">
        <f t="shared" si="11"/>
        <v>#N/A</v>
      </c>
      <c r="V38" s="705" t="s">
        <v>14</v>
      </c>
      <c r="W38" s="706" t="e">
        <f t="shared" si="12"/>
        <v>#N/A</v>
      </c>
      <c r="X38" s="1355"/>
      <c r="Y38" s="3834"/>
      <c r="Z38" s="1356" t="str">
        <f t="shared" si="13"/>
        <v>宗地面积</v>
      </c>
      <c r="AA38" s="1353" t="e">
        <f t="shared" si="3"/>
        <v>#N/A</v>
      </c>
      <c r="AB38" s="1353" t="e">
        <f t="shared" si="4"/>
        <v>#N/A</v>
      </c>
      <c r="AC38" s="1353" t="e">
        <f t="shared" si="5"/>
        <v>#N/A</v>
      </c>
    </row>
    <row r="39" spans="1:29" ht="15">
      <c r="A39" s="423"/>
      <c r="B39" s="375" t="s">
        <v>1875</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1"/>
      <c r="M39" s="2715"/>
      <c r="N39" s="2715"/>
      <c r="O39" s="2773"/>
      <c r="P39" s="3834"/>
      <c r="Q39" s="1352" t="str">
        <f t="shared" ref="Q39:Q45" si="14">B39</f>
        <v>宗地形状</v>
      </c>
      <c r="R39" s="705" t="s">
        <v>14</v>
      </c>
      <c r="S39" s="706">
        <f t="shared" si="10"/>
        <v>100</v>
      </c>
      <c r="T39" s="705" t="s">
        <v>14</v>
      </c>
      <c r="U39" s="706">
        <f t="shared" si="11"/>
        <v>100</v>
      </c>
      <c r="V39" s="705" t="s">
        <v>14</v>
      </c>
      <c r="W39" s="706">
        <f t="shared" si="12"/>
        <v>100</v>
      </c>
      <c r="X39" s="1355"/>
      <c r="Y39" s="3834"/>
      <c r="Z39" s="1356" t="str">
        <f t="shared" si="13"/>
        <v>宗地形状</v>
      </c>
      <c r="AA39" s="1353">
        <f t="shared" si="3"/>
        <v>1</v>
      </c>
      <c r="AB39" s="1353">
        <f t="shared" si="4"/>
        <v>1</v>
      </c>
      <c r="AC39" s="1353">
        <f t="shared" si="5"/>
        <v>1</v>
      </c>
    </row>
    <row r="40" spans="1:29" ht="15">
      <c r="A40" s="423"/>
      <c r="B40" s="375" t="s">
        <v>1876</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1"/>
      <c r="M40" s="2715"/>
      <c r="N40" s="2715"/>
      <c r="O40" s="2773"/>
      <c r="P40" s="3834"/>
      <c r="Q40" s="1352" t="str">
        <f t="shared" si="14"/>
        <v>临街宽度及深度</v>
      </c>
      <c r="R40" s="705" t="s">
        <v>14</v>
      </c>
      <c r="S40" s="706">
        <f t="shared" si="10"/>
        <v>100</v>
      </c>
      <c r="T40" s="705" t="s">
        <v>14</v>
      </c>
      <c r="U40" s="706">
        <f t="shared" si="11"/>
        <v>100</v>
      </c>
      <c r="V40" s="705" t="s">
        <v>14</v>
      </c>
      <c r="W40" s="706">
        <f t="shared" si="12"/>
        <v>100</v>
      </c>
      <c r="X40" s="1355"/>
      <c r="Y40" s="3834"/>
      <c r="Z40" s="1356" t="str">
        <f t="shared" si="13"/>
        <v>临街宽度及深度</v>
      </c>
      <c r="AA40" s="1353">
        <f t="shared" si="3"/>
        <v>1</v>
      </c>
      <c r="AB40" s="1353">
        <f t="shared" si="4"/>
        <v>1</v>
      </c>
      <c r="AC40" s="1353">
        <f t="shared" si="5"/>
        <v>1</v>
      </c>
    </row>
    <row r="41" spans="1:29" s="108" customFormat="1" ht="15">
      <c r="A41" s="424"/>
      <c r="B41" s="375" t="s">
        <v>1877</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6"/>
      <c r="M41" s="2717"/>
      <c r="N41" s="2717"/>
      <c r="O41" s="2771"/>
      <c r="P41" s="3834"/>
      <c r="Q41" s="1352" t="str">
        <f t="shared" si="14"/>
        <v>宗地开发程度</v>
      </c>
      <c r="R41" s="701" t="s">
        <v>14</v>
      </c>
      <c r="S41" s="702">
        <f t="shared" si="10"/>
        <v>100</v>
      </c>
      <c r="T41" s="701" t="s">
        <v>14</v>
      </c>
      <c r="U41" s="702">
        <f t="shared" si="11"/>
        <v>100</v>
      </c>
      <c r="V41" s="701" t="s">
        <v>14</v>
      </c>
      <c r="W41" s="702">
        <f t="shared" si="12"/>
        <v>100</v>
      </c>
      <c r="X41" s="703"/>
      <c r="Y41" s="3834"/>
      <c r="Z41" s="52" t="str">
        <f t="shared" si="13"/>
        <v>宗地开发程度</v>
      </c>
      <c r="AA41" s="704">
        <f t="shared" si="3"/>
        <v>1</v>
      </c>
      <c r="AB41" s="704">
        <f t="shared" si="4"/>
        <v>1</v>
      </c>
      <c r="AC41" s="704">
        <f t="shared" si="5"/>
        <v>1</v>
      </c>
    </row>
    <row r="42" spans="1:29" ht="15">
      <c r="A42" s="423"/>
      <c r="B42" s="375" t="s">
        <v>1878</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1"/>
      <c r="M42" s="2715"/>
      <c r="N42" s="2715"/>
      <c r="O42" s="2773"/>
      <c r="P42" s="3834" t="s">
        <v>1696</v>
      </c>
      <c r="Q42" s="1352" t="str">
        <f t="shared" si="14"/>
        <v>工程地质条件</v>
      </c>
      <c r="R42" s="705" t="s">
        <v>14</v>
      </c>
      <c r="S42" s="706">
        <f t="shared" si="10"/>
        <v>100</v>
      </c>
      <c r="T42" s="705" t="s">
        <v>14</v>
      </c>
      <c r="U42" s="706">
        <f t="shared" si="11"/>
        <v>100</v>
      </c>
      <c r="V42" s="705" t="s">
        <v>14</v>
      </c>
      <c r="W42" s="706">
        <f t="shared" si="12"/>
        <v>100</v>
      </c>
      <c r="X42" s="1355"/>
      <c r="Y42" s="3834" t="s">
        <v>1696</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1"/>
      <c r="M43" s="2715"/>
      <c r="N43" s="2715"/>
      <c r="O43" s="2773"/>
      <c r="P43" s="3834"/>
      <c r="Q43" s="1352">
        <f t="shared" si="14"/>
        <v>111</v>
      </c>
      <c r="R43" s="705" t="s">
        <v>14</v>
      </c>
      <c r="S43" s="706">
        <f t="shared" si="10"/>
        <v>100</v>
      </c>
      <c r="T43" s="705" t="s">
        <v>14</v>
      </c>
      <c r="U43" s="706">
        <f t="shared" si="11"/>
        <v>100</v>
      </c>
      <c r="V43" s="705" t="s">
        <v>14</v>
      </c>
      <c r="W43" s="706">
        <f t="shared" si="12"/>
        <v>100</v>
      </c>
      <c r="X43" s="1355"/>
      <c r="Y43" s="3834"/>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1"/>
      <c r="M44" s="2715"/>
      <c r="N44" s="2715"/>
      <c r="O44" s="2773"/>
      <c r="P44" s="3834"/>
      <c r="Q44" s="1352">
        <f t="shared" si="14"/>
        <v>111</v>
      </c>
      <c r="R44" s="705" t="s">
        <v>14</v>
      </c>
      <c r="S44" s="706">
        <f t="shared" si="10"/>
        <v>100</v>
      </c>
      <c r="T44" s="705" t="s">
        <v>14</v>
      </c>
      <c r="U44" s="706">
        <f t="shared" si="11"/>
        <v>100</v>
      </c>
      <c r="V44" s="705" t="s">
        <v>14</v>
      </c>
      <c r="W44" s="706">
        <f t="shared" si="12"/>
        <v>100</v>
      </c>
      <c r="X44" s="1355"/>
      <c r="Y44" s="3834"/>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20"/>
      <c r="M45" s="2722"/>
      <c r="N45" s="2722"/>
      <c r="O45" s="2774"/>
      <c r="P45" s="3834"/>
      <c r="Q45" s="1352">
        <f t="shared" si="14"/>
        <v>111</v>
      </c>
      <c r="R45" s="708" t="s">
        <v>14</v>
      </c>
      <c r="S45" s="709">
        <f t="shared" si="10"/>
        <v>100</v>
      </c>
      <c r="T45" s="708" t="s">
        <v>14</v>
      </c>
      <c r="U45" s="709">
        <f t="shared" si="11"/>
        <v>100</v>
      </c>
      <c r="V45" s="708" t="s">
        <v>14</v>
      </c>
      <c r="W45" s="709">
        <f t="shared" si="12"/>
        <v>100</v>
      </c>
      <c r="X45" s="710"/>
      <c r="Y45" s="3834"/>
      <c r="Z45" s="711">
        <f t="shared" si="13"/>
        <v>111</v>
      </c>
      <c r="AA45" s="1353">
        <f t="shared" si="3"/>
        <v>1</v>
      </c>
      <c r="AB45" s="1353">
        <f t="shared" si="4"/>
        <v>1</v>
      </c>
      <c r="AC45" s="1353">
        <f t="shared" si="5"/>
        <v>1</v>
      </c>
    </row>
    <row r="46" spans="1:29" ht="15">
      <c r="A46" s="430" t="s">
        <v>1844</v>
      </c>
      <c r="B46" s="1982" t="s">
        <v>1879</v>
      </c>
      <c r="C46" s="630" t="s">
        <v>0</v>
      </c>
      <c r="D46" s="432"/>
      <c r="E46" s="433"/>
      <c r="F46" s="434"/>
      <c r="G46" s="435"/>
      <c r="H46" s="436"/>
      <c r="I46" s="433"/>
      <c r="J46" s="436"/>
      <c r="K46" s="714"/>
      <c r="L46" s="2723"/>
      <c r="M46" s="2724"/>
      <c r="N46" s="2715"/>
      <c r="O46" s="2724"/>
      <c r="P46" s="3827" t="str">
        <f>A46</f>
        <v>成交单价</v>
      </c>
      <c r="Q46" s="3827"/>
      <c r="R46" s="3822">
        <f>E46</f>
        <v>0</v>
      </c>
      <c r="S46" s="3822"/>
      <c r="T46" s="3822">
        <f>G46</f>
        <v>0</v>
      </c>
      <c r="U46" s="3822"/>
      <c r="V46" s="3822">
        <f>I46</f>
        <v>0</v>
      </c>
      <c r="W46" s="3822"/>
      <c r="X46" s="690"/>
      <c r="Y46" s="712"/>
      <c r="Z46" s="690"/>
      <c r="AA46" s="690"/>
      <c r="AB46" s="690"/>
      <c r="AC46" s="690"/>
    </row>
    <row r="47" spans="1:29" ht="15.75" thickBot="1">
      <c r="A47" s="437" t="s">
        <v>1793</v>
      </c>
      <c r="B47" s="631"/>
      <c r="C47" s="440" t="e">
        <f>R48</f>
        <v>#DIV/0!</v>
      </c>
      <c r="D47" s="2317" t="s">
        <v>2138</v>
      </c>
      <c r="E47" s="440" t="e">
        <f>R47</f>
        <v>#DIV/0!</v>
      </c>
      <c r="F47" s="2318"/>
      <c r="G47" s="439" t="e">
        <f>T47</f>
        <v>#DIV/0!</v>
      </c>
      <c r="H47" s="2318"/>
      <c r="I47" s="440" t="e">
        <f>V47</f>
        <v>#DIV/0!</v>
      </c>
      <c r="J47" s="2318"/>
      <c r="K47" s="2320">
        <f>F47+H47+J47</f>
        <v>0</v>
      </c>
      <c r="L47" s="2723"/>
      <c r="M47" s="2724"/>
      <c r="N47" s="2724"/>
      <c r="O47" s="2724"/>
      <c r="P47" s="3827" t="str">
        <f>A47</f>
        <v>比较价值（元/平方米）</v>
      </c>
      <c r="Q47" s="3827"/>
      <c r="R47" s="3858" t="e">
        <f>ROUND(PRODUCT(R46,AA7:AA45),0)</f>
        <v>#DIV/0!</v>
      </c>
      <c r="S47" s="3858"/>
      <c r="T47" s="3858" t="e">
        <f>ROUND(PRODUCT(T46,AB7:AB45),0)</f>
        <v>#DIV/0!</v>
      </c>
      <c r="U47" s="3858"/>
      <c r="V47" s="3858" t="e">
        <f>ROUND(PRODUCT(V46,AC7:AC45),0)</f>
        <v>#DIV/0!</v>
      </c>
      <c r="W47" s="3858"/>
      <c r="X47" s="690"/>
      <c r="Y47" s="690"/>
      <c r="Z47" s="690"/>
      <c r="AA47" s="690"/>
      <c r="AB47" s="690"/>
      <c r="AC47" s="690"/>
    </row>
    <row r="48" spans="1:29" ht="15.75" thickBot="1">
      <c r="A48" s="441" t="s">
        <v>1880</v>
      </c>
      <c r="B48" s="442"/>
      <c r="C48" s="443" t="e">
        <f>R48</f>
        <v>#DIV/0!</v>
      </c>
      <c r="D48" s="443"/>
      <c r="E48" s="443"/>
      <c r="F48" s="443"/>
      <c r="G48" s="443"/>
      <c r="H48" s="443"/>
      <c r="I48" s="443"/>
      <c r="J48" s="443"/>
      <c r="K48" s="715"/>
      <c r="L48" s="2723"/>
      <c r="M48" s="2724"/>
      <c r="N48" s="2724"/>
      <c r="O48" s="2724"/>
      <c r="P48" s="3824" t="str">
        <f>A48</f>
        <v>估价对象XX用房的比较价值（楼面单价，元/平方米）</v>
      </c>
      <c r="Q48" s="3825"/>
      <c r="R48" s="3859" t="e">
        <f>ROUND(IF(D47="简单平均",AVERAGE(R47:W47),R47*F47+T47*H47+V47*J47),0)</f>
        <v>#DIV/0!</v>
      </c>
      <c r="S48" s="3859"/>
      <c r="T48" s="3859"/>
      <c r="U48" s="3859"/>
      <c r="V48" s="3859"/>
      <c r="W48" s="3859"/>
      <c r="X48" s="690"/>
      <c r="Y48" s="690"/>
      <c r="Z48" s="690"/>
      <c r="AA48" s="690"/>
      <c r="AB48" s="690"/>
      <c r="AC48" s="690"/>
    </row>
    <row r="49" spans="1:29">
      <c r="A49" s="2724"/>
      <c r="B49" s="2724"/>
      <c r="C49" s="2724"/>
      <c r="D49" s="2724"/>
      <c r="E49" s="2724"/>
      <c r="F49" s="2724"/>
      <c r="G49" s="2728"/>
      <c r="H49" s="2724"/>
      <c r="I49" s="2724"/>
      <c r="J49" s="2724"/>
      <c r="K49" s="2729"/>
      <c r="L49" s="2725"/>
      <c r="M49" s="2724"/>
      <c r="N49" s="2724"/>
      <c r="O49" s="2724"/>
      <c r="P49" s="2724"/>
      <c r="Q49" s="2724"/>
      <c r="R49" s="2724"/>
      <c r="S49" s="2724"/>
      <c r="T49" s="2724"/>
      <c r="U49" s="2724"/>
      <c r="V49" s="2724"/>
      <c r="W49" s="2724"/>
      <c r="X49" s="2724"/>
      <c r="Y49" s="2724"/>
      <c r="Z49" s="2724"/>
      <c r="AA49" s="2724"/>
      <c r="AB49" s="2724"/>
      <c r="AC49" s="2724"/>
    </row>
    <row r="50" spans="1:29">
      <c r="A50" s="2724"/>
      <c r="B50" s="2724"/>
      <c r="C50" s="2724"/>
      <c r="D50" s="2724"/>
      <c r="E50" s="2724"/>
      <c r="F50" s="2724"/>
      <c r="G50" s="2724"/>
      <c r="H50" s="2724"/>
      <c r="I50" s="2724"/>
      <c r="J50" s="2724"/>
      <c r="K50" s="2729"/>
      <c r="L50" s="2725"/>
      <c r="M50" s="2724"/>
      <c r="N50" s="2724"/>
      <c r="O50" s="2724"/>
      <c r="P50" s="2724"/>
      <c r="Q50" s="2724"/>
      <c r="R50" s="2724"/>
      <c r="S50" s="2724"/>
      <c r="T50" s="2724"/>
      <c r="U50" s="2724"/>
      <c r="V50" s="2724"/>
      <c r="W50" s="2724"/>
      <c r="X50" s="2724"/>
      <c r="Y50" s="2724"/>
      <c r="Z50" s="2724"/>
      <c r="AA50" s="2724"/>
      <c r="AB50" s="2724"/>
      <c r="AC50" s="2724"/>
    </row>
    <row r="51" spans="1:29" ht="13.5" customHeight="1">
      <c r="A51" s="2724"/>
      <c r="B51" s="2724"/>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9"/>
      <c r="L51" s="2725"/>
      <c r="M51" s="2724"/>
      <c r="N51" s="2724"/>
      <c r="O51" s="2724"/>
      <c r="P51" s="2724"/>
      <c r="Q51" s="2724"/>
      <c r="R51" s="2724"/>
      <c r="S51" s="2724"/>
      <c r="T51" s="2724"/>
      <c r="U51" s="2724"/>
      <c r="V51" s="2724"/>
      <c r="W51" s="2724"/>
      <c r="X51" s="2724"/>
      <c r="Y51" s="2724"/>
      <c r="Z51" s="2724"/>
      <c r="AA51" s="2724"/>
      <c r="AB51" s="2724"/>
      <c r="AC51" s="2724"/>
    </row>
    <row r="52" spans="1:29" ht="13.5" customHeight="1">
      <c r="A52" s="2724"/>
      <c r="B52" s="2724"/>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9"/>
      <c r="L52" s="2725"/>
      <c r="M52" s="2724"/>
      <c r="N52" s="2724"/>
      <c r="O52" s="2724"/>
      <c r="P52" s="2724"/>
      <c r="Q52" s="2724"/>
      <c r="R52" s="2724"/>
      <c r="S52" s="2724"/>
      <c r="T52" s="2724"/>
      <c r="U52" s="2724"/>
      <c r="V52" s="2724"/>
      <c r="W52" s="2724"/>
      <c r="X52" s="2724"/>
      <c r="Y52" s="2724"/>
      <c r="Z52" s="2724"/>
      <c r="AA52" s="2724"/>
      <c r="AB52" s="2724"/>
      <c r="AC52" s="2724"/>
    </row>
    <row r="53" spans="1:29" s="451" customFormat="1" ht="13.5" customHeight="1">
      <c r="A53" s="2727"/>
      <c r="B53" s="2727"/>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2"/>
      <c r="L53" s="2726"/>
      <c r="M53" s="2727"/>
      <c r="N53" s="2727"/>
      <c r="O53" s="2727"/>
      <c r="P53" s="2727"/>
      <c r="Q53" s="2727"/>
      <c r="R53" s="2727"/>
      <c r="S53" s="2727"/>
      <c r="T53" s="2727"/>
      <c r="U53" s="2727"/>
      <c r="V53" s="2727"/>
      <c r="W53" s="2727"/>
      <c r="X53" s="2727"/>
      <c r="Y53" s="2727"/>
      <c r="Z53" s="2727"/>
      <c r="AA53" s="2727"/>
      <c r="AB53" s="2727"/>
      <c r="AC53" s="2727"/>
    </row>
    <row r="54" spans="1:29" s="451" customFormat="1" ht="15" thickBot="1">
      <c r="A54" s="2727"/>
      <c r="B54" s="2730"/>
      <c r="C54" s="693"/>
      <c r="D54" s="691"/>
      <c r="E54" s="691"/>
      <c r="F54" s="691"/>
      <c r="G54" s="691"/>
      <c r="H54" s="691"/>
      <c r="I54" s="691"/>
      <c r="J54" s="691"/>
      <c r="K54" s="2732"/>
      <c r="L54" s="2726"/>
      <c r="M54" s="2727"/>
      <c r="N54" s="2727"/>
      <c r="O54" s="2727"/>
      <c r="P54" s="2727"/>
      <c r="Q54" s="2727"/>
      <c r="R54" s="2727"/>
      <c r="S54" s="2727"/>
      <c r="T54" s="2727"/>
      <c r="U54" s="2727"/>
      <c r="V54" s="2727"/>
      <c r="W54" s="2727"/>
      <c r="X54" s="2727"/>
      <c r="Y54" s="2727"/>
      <c r="Z54" s="2727"/>
      <c r="AA54" s="2727"/>
      <c r="AB54" s="2727"/>
      <c r="AC54" s="2727"/>
    </row>
    <row r="55" spans="1:29" ht="27" customHeight="1">
      <c r="A55" s="632" t="s">
        <v>1881</v>
      </c>
      <c r="B55" s="633" t="s">
        <v>1882</v>
      </c>
      <c r="C55" s="1983" t="s">
        <v>1883</v>
      </c>
      <c r="D55" s="1984" t="s">
        <v>1884</v>
      </c>
      <c r="E55" s="634" t="s">
        <v>1885</v>
      </c>
      <c r="F55" s="890" t="s">
        <v>1886</v>
      </c>
      <c r="G55" s="3810" t="s">
        <v>1887</v>
      </c>
      <c r="H55" s="3860"/>
      <c r="I55" s="135" t="s">
        <v>1888</v>
      </c>
      <c r="J55" s="1985">
        <f>项目基本情况!F35</f>
        <v>0</v>
      </c>
      <c r="K55" s="1986" t="s">
        <v>1889</v>
      </c>
      <c r="L55" s="2725"/>
      <c r="M55" s="2724"/>
      <c r="N55" s="2724"/>
      <c r="O55" s="2724"/>
      <c r="P55" s="2724"/>
      <c r="Q55" s="2724"/>
      <c r="R55" s="2724"/>
      <c r="S55" s="2724"/>
      <c r="T55" s="2724"/>
      <c r="U55" s="2724"/>
      <c r="V55" s="2724"/>
      <c r="W55" s="2724"/>
      <c r="X55" s="2724"/>
      <c r="Y55" s="2724"/>
      <c r="Z55" s="2724"/>
      <c r="AA55" s="2724"/>
      <c r="AB55" s="2724"/>
      <c r="AC55" s="2724"/>
    </row>
    <row r="56" spans="1:29" s="640" customFormat="1">
      <c r="A56" s="636" t="s">
        <v>1890</v>
      </c>
      <c r="B56" s="637" t="e">
        <f>C48</f>
        <v>#DIV/0!</v>
      </c>
      <c r="C56" s="638">
        <v>1</v>
      </c>
      <c r="D56" s="944">
        <v>1</v>
      </c>
      <c r="E56" s="638">
        <f>'数据-汇总表'!E8+'数据-汇总表'!E9</f>
        <v>31541.83</v>
      </c>
      <c r="F56" s="886" t="e">
        <f t="shared" ref="F56:F64" si="15">ROUND(B56*E56/10000,0)</f>
        <v>#DIV/0!</v>
      </c>
      <c r="G56" s="3809"/>
      <c r="H56" s="3827"/>
      <c r="I56" s="891">
        <v>1</v>
      </c>
      <c r="J56" s="894">
        <v>1</v>
      </c>
      <c r="K56" s="2727"/>
      <c r="L56" s="2781"/>
      <c r="M56" s="2781"/>
      <c r="N56" s="2781"/>
      <c r="O56" s="2781"/>
      <c r="P56" s="2781"/>
      <c r="Q56" s="2781"/>
      <c r="R56" s="2781"/>
      <c r="S56" s="2781"/>
      <c r="T56" s="2781"/>
      <c r="U56" s="2781"/>
      <c r="V56" s="2781"/>
      <c r="W56" s="2781"/>
      <c r="X56" s="2781"/>
      <c r="Y56" s="2781"/>
      <c r="Z56" s="2781"/>
      <c r="AA56" s="2781"/>
      <c r="AB56" s="2781"/>
      <c r="AC56" s="2781"/>
    </row>
    <row r="57" spans="1:29" s="640" customFormat="1">
      <c r="A57" s="641" t="s">
        <v>1891</v>
      </c>
      <c r="B57" s="218" t="e">
        <f>ROUND($C$48*C57*D57,0)</f>
        <v>#DIV/0!</v>
      </c>
      <c r="C57" s="171">
        <f t="shared" ref="C57:C64" si="16">IF($C$55="北京市系数",I57,J57)</f>
        <v>0.6</v>
      </c>
      <c r="D57" s="945">
        <v>0.25</v>
      </c>
      <c r="E57" s="642"/>
      <c r="F57" s="886" t="e">
        <f t="shared" si="15"/>
        <v>#DIV/0!</v>
      </c>
      <c r="G57" s="3005" t="s">
        <v>1892</v>
      </c>
      <c r="H57" s="887" t="str">
        <f>项目基本情况!B37</f>
        <v>三级</v>
      </c>
      <c r="I57" s="891">
        <f>SUMIF(修正!A57:A68,H57,修正!B57:B68)</f>
        <v>0.6</v>
      </c>
      <c r="J57" s="895"/>
      <c r="K57" s="2724"/>
      <c r="L57" s="2781"/>
      <c r="M57" s="2781"/>
      <c r="N57" s="2781"/>
      <c r="O57" s="2781"/>
      <c r="P57" s="2781"/>
      <c r="Q57" s="2781"/>
      <c r="R57" s="2781"/>
      <c r="S57" s="2781"/>
      <c r="T57" s="2781"/>
      <c r="U57" s="2781"/>
      <c r="V57" s="2781"/>
      <c r="W57" s="2781"/>
      <c r="X57" s="2781"/>
      <c r="Y57" s="2781"/>
      <c r="Z57" s="2781"/>
      <c r="AA57" s="2781"/>
      <c r="AB57" s="2781"/>
      <c r="AC57" s="2781"/>
    </row>
    <row r="58" spans="1:29" s="640" customFormat="1">
      <c r="A58" s="641" t="s">
        <v>1893</v>
      </c>
      <c r="B58" s="218" t="e">
        <f t="shared" ref="B58:B64" si="17">ROUND($C$48*C58*D58,0)</f>
        <v>#DIV/0!</v>
      </c>
      <c r="C58" s="171">
        <f t="shared" si="16"/>
        <v>0.3</v>
      </c>
      <c r="D58" s="945">
        <v>0.25</v>
      </c>
      <c r="E58" s="642"/>
      <c r="F58" s="886" t="e">
        <f t="shared" si="15"/>
        <v>#DIV/0!</v>
      </c>
      <c r="G58" s="3006"/>
      <c r="H58" s="887" t="str">
        <f>项目基本情况!B37</f>
        <v>三级</v>
      </c>
      <c r="I58" s="891">
        <f>SUMIF(修正!A57:A68,H58,修正!C57:C68)</f>
        <v>0.3</v>
      </c>
      <c r="J58" s="895"/>
      <c r="K58" s="2727"/>
      <c r="L58" s="2781"/>
      <c r="M58" s="2781"/>
      <c r="N58" s="2781"/>
      <c r="O58" s="2781"/>
      <c r="P58" s="2781"/>
      <c r="Q58" s="2781"/>
      <c r="R58" s="2781"/>
      <c r="S58" s="2781"/>
      <c r="T58" s="2781"/>
      <c r="U58" s="2781"/>
      <c r="V58" s="2781"/>
      <c r="W58" s="2781"/>
      <c r="X58" s="2781"/>
      <c r="Y58" s="2781"/>
      <c r="Z58" s="2781"/>
      <c r="AA58" s="2781"/>
      <c r="AB58" s="2781"/>
      <c r="AC58" s="2781"/>
    </row>
    <row r="59" spans="1:29" s="640" customFormat="1">
      <c r="A59" s="641" t="s">
        <v>1894</v>
      </c>
      <c r="B59" s="218" t="e">
        <f t="shared" si="17"/>
        <v>#DIV/0!</v>
      </c>
      <c r="C59" s="171">
        <f t="shared" si="16"/>
        <v>0.25</v>
      </c>
      <c r="D59" s="945">
        <v>0.25</v>
      </c>
      <c r="E59" s="642"/>
      <c r="F59" s="886" t="e">
        <f t="shared" si="15"/>
        <v>#DIV/0!</v>
      </c>
      <c r="G59" s="3006"/>
      <c r="H59" s="887" t="str">
        <f>项目基本情况!B37</f>
        <v>三级</v>
      </c>
      <c r="I59" s="891">
        <f>SUMIF(修正!A57:A68,H59,修正!D57:D68)</f>
        <v>0.25</v>
      </c>
      <c r="J59" s="895"/>
      <c r="K59" s="2724"/>
      <c r="L59" s="2781"/>
      <c r="M59" s="2781"/>
      <c r="N59" s="2781"/>
      <c r="O59" s="2781"/>
      <c r="P59" s="2781"/>
      <c r="Q59" s="2781"/>
      <c r="R59" s="2781"/>
      <c r="S59" s="2781"/>
      <c r="T59" s="2781"/>
      <c r="U59" s="2781"/>
      <c r="V59" s="2781"/>
      <c r="W59" s="2781"/>
      <c r="X59" s="2781"/>
      <c r="Y59" s="2781"/>
      <c r="Z59" s="2781"/>
      <c r="AA59" s="2781"/>
      <c r="AB59" s="2781"/>
      <c r="AC59" s="2781"/>
    </row>
    <row r="60" spans="1:29" s="640" customFormat="1">
      <c r="A60" s="641" t="s">
        <v>1895</v>
      </c>
      <c r="B60" s="218" t="e">
        <f t="shared" si="17"/>
        <v>#DIV/0!</v>
      </c>
      <c r="C60" s="171">
        <f t="shared" si="16"/>
        <v>0</v>
      </c>
      <c r="D60" s="945">
        <v>0.25</v>
      </c>
      <c r="E60" s="217">
        <f>'数据-汇总表'!E11</f>
        <v>0</v>
      </c>
      <c r="F60" s="886" t="e">
        <f t="shared" si="15"/>
        <v>#DIV/0!</v>
      </c>
      <c r="G60" s="1987" t="s">
        <v>1896</v>
      </c>
      <c r="H60" s="887">
        <f>项目基本情况!C37</f>
        <v>0</v>
      </c>
      <c r="I60" s="891">
        <f>SUMIF(修正!A57:A68,H60,修正!E57:E68)</f>
        <v>0</v>
      </c>
      <c r="J60" s="895"/>
      <c r="K60" s="2724"/>
      <c r="L60" s="2781"/>
      <c r="M60" s="2781"/>
      <c r="N60" s="2781"/>
      <c r="O60" s="2781"/>
      <c r="P60" s="2781"/>
      <c r="Q60" s="2781"/>
      <c r="R60" s="2781"/>
      <c r="S60" s="2781"/>
      <c r="T60" s="2781"/>
      <c r="U60" s="2781"/>
      <c r="V60" s="2781"/>
      <c r="W60" s="2781"/>
      <c r="X60" s="2781"/>
      <c r="Y60" s="2781"/>
      <c r="Z60" s="2781"/>
      <c r="AA60" s="2781"/>
      <c r="AB60" s="2781"/>
      <c r="AC60" s="2781"/>
    </row>
    <row r="61" spans="1:29" s="640" customFormat="1">
      <c r="A61" s="641" t="s">
        <v>1897</v>
      </c>
      <c r="B61" s="218" t="e">
        <f t="shared" si="17"/>
        <v>#DIV/0!</v>
      </c>
      <c r="C61" s="171">
        <f t="shared" si="16"/>
        <v>0</v>
      </c>
      <c r="D61" s="945">
        <v>0.25</v>
      </c>
      <c r="E61" s="217">
        <f>'数据-汇总表'!E12</f>
        <v>0</v>
      </c>
      <c r="F61" s="886" t="e">
        <f t="shared" si="15"/>
        <v>#DIV/0!</v>
      </c>
      <c r="G61" s="892" t="s">
        <v>1898</v>
      </c>
      <c r="H61" s="887">
        <f>IF(G61="商业",项目基本情况!B37,IF(G61="办公",项目基本情况!C37,IF(G61="住宅",项目基本情况!D37,项目基本情况!E37)))</f>
        <v>0</v>
      </c>
      <c r="I61" s="891">
        <f>SUMIF(修正!A57:A68,H61,修正!F57:F68)</f>
        <v>0</v>
      </c>
      <c r="J61" s="895"/>
      <c r="K61" s="2727"/>
      <c r="L61" s="2781"/>
      <c r="M61" s="2781"/>
      <c r="N61" s="2781"/>
      <c r="O61" s="2781"/>
      <c r="P61" s="2781"/>
      <c r="Q61" s="2781"/>
      <c r="R61" s="2781"/>
      <c r="S61" s="2781"/>
      <c r="T61" s="2781"/>
      <c r="U61" s="2781"/>
      <c r="V61" s="2781"/>
      <c r="W61" s="2781"/>
      <c r="X61" s="2781"/>
      <c r="Y61" s="2781"/>
      <c r="Z61" s="2781"/>
      <c r="AA61" s="2781"/>
      <c r="AB61" s="2781"/>
      <c r="AC61" s="2781"/>
    </row>
    <row r="62" spans="1:29" s="640" customFormat="1">
      <c r="A62" s="641" t="s">
        <v>1899</v>
      </c>
      <c r="B62" s="218" t="e">
        <f t="shared" si="17"/>
        <v>#DIV/0!</v>
      </c>
      <c r="C62" s="171">
        <f t="shared" si="16"/>
        <v>0</v>
      </c>
      <c r="D62" s="945">
        <v>0.25</v>
      </c>
      <c r="E62" s="217">
        <f>'数据-汇总表'!E13</f>
        <v>19492.63</v>
      </c>
      <c r="F62" s="886" t="e">
        <f t="shared" si="15"/>
        <v>#DIV/0!</v>
      </c>
      <c r="G62" s="892" t="s">
        <v>1900</v>
      </c>
      <c r="H62" s="887">
        <f>IF(G62="商业",项目基本情况!B37,IF(G62="办公",项目基本情况!C37,IF(G62="住宅",项目基本情况!D37,项目基本情况!E37)))</f>
        <v>0</v>
      </c>
      <c r="I62" s="891">
        <f>SUMIF(修正!A57:A68,H62,修正!G57:G68)</f>
        <v>0</v>
      </c>
      <c r="J62" s="895"/>
      <c r="K62" s="2724"/>
      <c r="L62" s="2781"/>
      <c r="M62" s="2781"/>
      <c r="N62" s="2781"/>
      <c r="O62" s="2781"/>
      <c r="P62" s="2781"/>
      <c r="Q62" s="2781"/>
      <c r="R62" s="2781"/>
      <c r="S62" s="2781"/>
      <c r="T62" s="2781"/>
      <c r="U62" s="2781"/>
      <c r="V62" s="2781"/>
      <c r="W62" s="2781"/>
      <c r="X62" s="2781"/>
      <c r="Y62" s="2781"/>
      <c r="Z62" s="2781"/>
      <c r="AA62" s="2781"/>
      <c r="AB62" s="2781"/>
      <c r="AC62" s="2781"/>
    </row>
    <row r="63" spans="1:29" s="640" customFormat="1">
      <c r="A63" s="641" t="s">
        <v>1901</v>
      </c>
      <c r="B63" s="218" t="e">
        <f t="shared" si="17"/>
        <v>#DIV/0!</v>
      </c>
      <c r="C63" s="171">
        <f t="shared" si="16"/>
        <v>0.15</v>
      </c>
      <c r="D63" s="945">
        <v>0.25</v>
      </c>
      <c r="E63" s="217">
        <f>'数据-汇总表'!E14</f>
        <v>0</v>
      </c>
      <c r="F63" s="886" t="e">
        <f t="shared" si="15"/>
        <v>#DIV/0!</v>
      </c>
      <c r="G63" s="1987" t="s">
        <v>1892</v>
      </c>
      <c r="H63" s="887" t="str">
        <f>项目基本情况!B37</f>
        <v>三级</v>
      </c>
      <c r="I63" s="891">
        <f>SUMIF(修正!A57:A68,H63,修正!G57:G68)</f>
        <v>0.15</v>
      </c>
      <c r="J63" s="895"/>
      <c r="K63" s="2727"/>
      <c r="L63" s="2781"/>
      <c r="M63" s="2781"/>
      <c r="N63" s="2781"/>
      <c r="O63" s="2781"/>
      <c r="P63" s="2781"/>
      <c r="Q63" s="2781"/>
      <c r="R63" s="2781"/>
      <c r="S63" s="2781"/>
      <c r="T63" s="2781"/>
      <c r="U63" s="2781"/>
      <c r="V63" s="2781"/>
      <c r="W63" s="2781"/>
      <c r="X63" s="2781"/>
      <c r="Y63" s="2781"/>
      <c r="Z63" s="2781"/>
      <c r="AA63" s="2781"/>
      <c r="AB63" s="2781"/>
      <c r="AC63" s="2781"/>
    </row>
    <row r="64" spans="1:29" s="640" customFormat="1" ht="15" thickBot="1">
      <c r="A64" s="641" t="s">
        <v>1902</v>
      </c>
      <c r="B64" s="218" t="e">
        <f t="shared" si="17"/>
        <v>#DIV/0!</v>
      </c>
      <c r="C64" s="171">
        <f t="shared" si="16"/>
        <v>0</v>
      </c>
      <c r="D64" s="945">
        <v>0.25</v>
      </c>
      <c r="E64" s="217">
        <f>'数据-汇总表'!E15</f>
        <v>0</v>
      </c>
      <c r="F64" s="886" t="e">
        <f t="shared" si="15"/>
        <v>#DIV/0!</v>
      </c>
      <c r="G64" s="1988" t="s">
        <v>1896</v>
      </c>
      <c r="H64" s="897">
        <f>项目基本情况!C37</f>
        <v>0</v>
      </c>
      <c r="I64" s="893">
        <f>SUMIF(修正!A57:A68,H64,修正!G57:G68)</f>
        <v>0</v>
      </c>
      <c r="J64" s="896"/>
      <c r="K64" s="2724"/>
      <c r="L64" s="2781"/>
      <c r="M64" s="2781"/>
      <c r="N64" s="2781"/>
      <c r="O64" s="2781"/>
      <c r="P64" s="2781"/>
      <c r="Q64" s="2781"/>
      <c r="R64" s="2781"/>
      <c r="S64" s="2781"/>
      <c r="T64" s="2781"/>
      <c r="U64" s="2781"/>
      <c r="V64" s="2781"/>
      <c r="W64" s="2781"/>
      <c r="X64" s="2781"/>
      <c r="Y64" s="2781"/>
      <c r="Z64" s="2781"/>
      <c r="AA64" s="2781"/>
      <c r="AB64" s="2781"/>
      <c r="AC64" s="2781"/>
    </row>
    <row r="65" spans="1:29" s="640" customFormat="1" ht="13.5" thickBot="1">
      <c r="A65" s="643" t="s">
        <v>1903</v>
      </c>
      <c r="B65" s="644" t="s">
        <v>22</v>
      </c>
      <c r="C65" s="644" t="s">
        <v>23</v>
      </c>
      <c r="D65" s="644" t="s">
        <v>392</v>
      </c>
      <c r="E65" s="644">
        <f>IF(B46="楼面地价",SUM(E56:E64),'数据-汇总表'!D3)</f>
        <v>51034.460000000006</v>
      </c>
      <c r="F65" s="645" t="e">
        <f>IF(B46="楼面地价",SUM(F56:F64),ROUND(C48*E65/10000,0))</f>
        <v>#DIV/0!</v>
      </c>
      <c r="G65" s="717"/>
      <c r="H65" s="717"/>
      <c r="I65" s="717"/>
      <c r="J65" s="717"/>
      <c r="K65" s="2782"/>
      <c r="L65" s="2781"/>
      <c r="M65" s="2781"/>
      <c r="N65" s="2781"/>
      <c r="O65" s="2781"/>
      <c r="P65" s="2781"/>
      <c r="Q65" s="2781"/>
      <c r="R65" s="2781"/>
      <c r="S65" s="2781"/>
      <c r="T65" s="2781"/>
      <c r="U65" s="2781"/>
      <c r="V65" s="2781"/>
      <c r="W65" s="2781"/>
      <c r="X65" s="2781"/>
      <c r="Y65" s="2781"/>
      <c r="Z65" s="2781"/>
      <c r="AA65" s="2781"/>
      <c r="AB65" s="2781"/>
      <c r="AC65" s="2781"/>
    </row>
    <row r="66" spans="1:29">
      <c r="A66" s="690"/>
      <c r="B66" s="692"/>
      <c r="C66" s="693"/>
      <c r="D66" s="690"/>
      <c r="E66" s="690"/>
      <c r="F66" s="690"/>
      <c r="G66" s="690"/>
      <c r="H66" s="690"/>
      <c r="I66" s="690"/>
      <c r="J66" s="927"/>
      <c r="K66" s="888"/>
      <c r="L66" s="889"/>
      <c r="M66" s="927"/>
      <c r="N66" s="927"/>
      <c r="O66" s="927"/>
      <c r="P66" s="2724"/>
      <c r="Q66" s="2724"/>
      <c r="R66" s="2724"/>
      <c r="S66" s="2724"/>
      <c r="T66" s="2724"/>
      <c r="U66" s="2724"/>
      <c r="V66" s="2724"/>
      <c r="W66" s="2724"/>
      <c r="X66" s="2724"/>
      <c r="Y66" s="2724"/>
      <c r="Z66" s="2724"/>
      <c r="AA66" s="2724"/>
      <c r="AB66" s="2724"/>
      <c r="AC66" s="2724"/>
    </row>
    <row r="67" spans="1:29">
      <c r="A67" s="690"/>
      <c r="B67" s="692"/>
      <c r="C67" s="692" t="str">
        <f>YEAR(C7)&amp;"-"&amp;MONTH(C7)&amp;"-1"</f>
        <v>2022-12-1</v>
      </c>
      <c r="D67" s="692">
        <f>EDATE(C67,-3)</f>
        <v>44805</v>
      </c>
      <c r="E67" s="692">
        <f>EDATE(D67,-3)</f>
        <v>44713</v>
      </c>
      <c r="F67" s="692">
        <f t="shared" ref="F67:O67" si="18">EDATE(E67,-3)</f>
        <v>44621</v>
      </c>
      <c r="G67" s="692">
        <f t="shared" si="18"/>
        <v>44531</v>
      </c>
      <c r="H67" s="692">
        <f t="shared" si="18"/>
        <v>44440</v>
      </c>
      <c r="I67" s="692">
        <f t="shared" si="18"/>
        <v>44348</v>
      </c>
      <c r="J67" s="692">
        <f t="shared" si="18"/>
        <v>44256</v>
      </c>
      <c r="K67" s="692">
        <f t="shared" si="18"/>
        <v>44166</v>
      </c>
      <c r="L67" s="692">
        <f t="shared" si="18"/>
        <v>44075</v>
      </c>
      <c r="M67" s="692">
        <f t="shared" si="18"/>
        <v>43983</v>
      </c>
      <c r="N67" s="692">
        <f t="shared" si="18"/>
        <v>43891</v>
      </c>
      <c r="O67" s="692">
        <f t="shared" si="18"/>
        <v>43800</v>
      </c>
      <c r="P67" s="2724"/>
      <c r="Q67" s="2724"/>
      <c r="R67" s="2724"/>
      <c r="S67" s="2724"/>
      <c r="T67" s="2724"/>
      <c r="U67" s="2724"/>
      <c r="V67" s="2724"/>
      <c r="W67" s="2724"/>
      <c r="X67" s="2724"/>
      <c r="Y67" s="2724"/>
      <c r="Z67" s="2724"/>
      <c r="AA67" s="2724"/>
      <c r="AB67" s="2724"/>
      <c r="AC67" s="2724"/>
    </row>
    <row r="68" spans="1:29" ht="21.75" thickBot="1">
      <c r="A68" s="694" t="s">
        <v>1798</v>
      </c>
      <c r="B68" s="690"/>
      <c r="C68" s="695"/>
      <c r="D68" s="695"/>
      <c r="E68" s="695"/>
      <c r="F68" s="696"/>
      <c r="G68" s="696"/>
      <c r="H68" s="695"/>
      <c r="I68" s="695"/>
      <c r="J68" s="940"/>
      <c r="K68" s="941"/>
      <c r="L68" s="942"/>
      <c r="M68" s="940"/>
      <c r="N68" s="2768"/>
      <c r="O68" s="2768"/>
      <c r="P68" s="2768"/>
      <c r="Q68" s="2738"/>
      <c r="R68" s="2724"/>
      <c r="S68" s="2724"/>
      <c r="T68" s="2724"/>
      <c r="U68" s="2724"/>
      <c r="V68" s="2724"/>
      <c r="W68" s="2724"/>
      <c r="X68" s="2724"/>
      <c r="Y68" s="2724"/>
      <c r="Z68" s="2724"/>
      <c r="AA68" s="2724"/>
      <c r="AB68" s="2724"/>
      <c r="AC68" s="2724"/>
    </row>
    <row r="69" spans="1:29" s="457" customFormat="1" ht="15">
      <c r="A69" s="1989" t="s">
        <v>1904</v>
      </c>
      <c r="B69" s="1109"/>
      <c r="C69" s="1182" t="str">
        <f>YEAR(C67)&amp;"-"&amp;ROUNDUP(MONTH(C67)/3,0)</f>
        <v>2022-4</v>
      </c>
      <c r="D69" s="1182" t="str">
        <f>YEAR(D67)&amp;"-"&amp;ROUNDUP(MONTH(D67)/3,0)</f>
        <v>2022-3</v>
      </c>
      <c r="E69" s="1182" t="str">
        <f t="shared" ref="E69:O69" si="19">YEAR(E67)&amp;"-"&amp;ROUNDUP(MONTH(E67)/3,0)</f>
        <v>2022-2</v>
      </c>
      <c r="F69" s="1182" t="str">
        <f t="shared" si="19"/>
        <v>2022-1</v>
      </c>
      <c r="G69" s="1182" t="str">
        <f t="shared" si="19"/>
        <v>2021-4</v>
      </c>
      <c r="H69" s="1182" t="str">
        <f t="shared" si="19"/>
        <v>2021-3</v>
      </c>
      <c r="I69" s="1182" t="str">
        <f t="shared" si="19"/>
        <v>2021-2</v>
      </c>
      <c r="J69" s="1182" t="str">
        <f t="shared" si="19"/>
        <v>2021-1</v>
      </c>
      <c r="K69" s="1182" t="str">
        <f t="shared" si="19"/>
        <v>2020-4</v>
      </c>
      <c r="L69" s="1182" t="str">
        <f t="shared" si="19"/>
        <v>2020-3</v>
      </c>
      <c r="M69" s="1182" t="str">
        <f t="shared" si="19"/>
        <v>2020-2</v>
      </c>
      <c r="N69" s="1182" t="str">
        <f t="shared" si="19"/>
        <v>2020-1</v>
      </c>
      <c r="O69" s="1182" t="str">
        <f t="shared" si="19"/>
        <v>2019-4</v>
      </c>
      <c r="P69" s="2775"/>
      <c r="Q69" s="2740"/>
      <c r="R69" s="2740"/>
      <c r="S69" s="2740"/>
      <c r="T69" s="2740"/>
      <c r="U69" s="2740"/>
      <c r="V69" s="2740"/>
      <c r="W69" s="2740"/>
      <c r="X69" s="2740"/>
      <c r="Y69" s="2740"/>
      <c r="Z69" s="2740"/>
      <c r="AA69" s="2740"/>
      <c r="AB69" s="2740"/>
      <c r="AC69" s="2740"/>
    </row>
    <row r="70" spans="1:29" s="108" customFormat="1" ht="30" customHeight="1">
      <c r="A70" s="1990" t="s">
        <v>1905</v>
      </c>
      <c r="B70" s="288" t="str">
        <f>"北京市平均增长率"&amp;TEXT(SUMIF(基准地价修正!N25:N29,A70,基准地价修正!P25:P29),"0.00%")</f>
        <v>北京市平均增长率1.66%</v>
      </c>
      <c r="C70" s="552">
        <v>100</v>
      </c>
      <c r="D70" s="544"/>
      <c r="E70" s="544"/>
      <c r="F70" s="544"/>
      <c r="G70" s="544"/>
      <c r="H70" s="544"/>
      <c r="I70" s="544"/>
      <c r="J70" s="544"/>
      <c r="K70" s="544"/>
      <c r="L70" s="544"/>
      <c r="M70" s="1178"/>
      <c r="N70" s="544"/>
      <c r="O70" s="1179"/>
      <c r="P70" s="2738"/>
      <c r="Q70" s="2660"/>
      <c r="R70" s="2660"/>
      <c r="S70" s="2660"/>
      <c r="T70" s="2660"/>
      <c r="U70" s="2660"/>
      <c r="V70" s="2660"/>
      <c r="W70" s="2660"/>
      <c r="X70" s="2660"/>
      <c r="Y70" s="2660"/>
      <c r="Z70" s="2660"/>
      <c r="AA70" s="2660"/>
      <c r="AB70" s="2660"/>
      <c r="AC70" s="2660"/>
    </row>
    <row r="71" spans="1:29" s="108" customFormat="1" ht="15.75" thickBot="1">
      <c r="A71" s="464" t="s">
        <v>1716</v>
      </c>
      <c r="B71" s="465"/>
      <c r="C71" s="466"/>
      <c r="D71" s="467"/>
      <c r="E71" s="467"/>
      <c r="F71" s="467"/>
      <c r="G71" s="467"/>
      <c r="H71" s="467"/>
      <c r="I71" s="467"/>
      <c r="J71" s="467"/>
      <c r="K71" s="467"/>
      <c r="L71" s="467"/>
      <c r="M71" s="468"/>
      <c r="N71" s="467"/>
      <c r="O71" s="943"/>
      <c r="P71" s="2738"/>
      <c r="Q71" s="2738"/>
      <c r="R71" s="2660"/>
      <c r="S71" s="2660"/>
      <c r="T71" s="2660"/>
      <c r="U71" s="2660"/>
      <c r="V71" s="2660"/>
      <c r="W71" s="2660"/>
      <c r="X71" s="2660"/>
      <c r="Y71" s="2660"/>
      <c r="Z71" s="2660"/>
      <c r="AA71" s="2660"/>
      <c r="AB71" s="2660"/>
      <c r="AC71" s="2660"/>
    </row>
    <row r="72" spans="1:29" s="108" customFormat="1" ht="15">
      <c r="A72" s="470" t="s">
        <v>1681</v>
      </c>
      <c r="B72" s="459"/>
      <c r="C72" s="471" t="s">
        <v>1776</v>
      </c>
      <c r="D72" s="472"/>
      <c r="E72" s="472"/>
      <c r="F72" s="472"/>
      <c r="G72" s="472"/>
      <c r="H72" s="472"/>
      <c r="I72" s="472"/>
      <c r="J72" s="472"/>
      <c r="K72" s="472"/>
      <c r="L72" s="473"/>
      <c r="M72" s="474"/>
      <c r="N72" s="2751"/>
      <c r="O72" s="2751"/>
      <c r="P72" s="2776"/>
      <c r="Q72" s="2738"/>
      <c r="R72" s="2660"/>
      <c r="S72" s="2660"/>
      <c r="T72" s="2660"/>
      <c r="U72" s="2660"/>
      <c r="V72" s="2660"/>
      <c r="W72" s="2660"/>
      <c r="X72" s="2660"/>
      <c r="Y72" s="2660"/>
      <c r="Z72" s="2660"/>
      <c r="AA72" s="2660"/>
      <c r="AB72" s="2660"/>
      <c r="AC72" s="2660"/>
    </row>
    <row r="73" spans="1:29" s="108" customFormat="1" ht="15.75" thickBot="1">
      <c r="A73" s="470"/>
      <c r="B73" s="459"/>
      <c r="C73" s="587">
        <v>100</v>
      </c>
      <c r="D73" s="461"/>
      <c r="E73" s="461"/>
      <c r="F73" s="461"/>
      <c r="G73" s="461"/>
      <c r="H73" s="461"/>
      <c r="I73" s="461"/>
      <c r="J73" s="461"/>
      <c r="K73" s="461"/>
      <c r="L73" s="461"/>
      <c r="M73" s="463"/>
      <c r="N73" s="2751"/>
      <c r="O73" s="2751"/>
      <c r="P73" s="2738"/>
      <c r="Q73" s="2738"/>
      <c r="R73" s="2660"/>
      <c r="S73" s="2660"/>
      <c r="T73" s="2660"/>
      <c r="U73" s="2660"/>
      <c r="V73" s="2660"/>
      <c r="W73" s="2660"/>
      <c r="X73" s="2660"/>
      <c r="Y73" s="2660"/>
      <c r="Z73" s="2660"/>
      <c r="AA73" s="2660"/>
      <c r="AB73" s="2660"/>
      <c r="AC73" s="2660"/>
    </row>
    <row r="74" spans="1:29">
      <c r="A74" s="476" t="s">
        <v>1719</v>
      </c>
      <c r="B74" s="477" t="s">
        <v>1685</v>
      </c>
      <c r="C74" s="479"/>
      <c r="D74" s="479"/>
      <c r="E74" s="479"/>
      <c r="F74" s="479"/>
      <c r="G74" s="479"/>
      <c r="H74" s="479"/>
      <c r="I74" s="479"/>
      <c r="J74" s="479"/>
      <c r="K74" s="480"/>
      <c r="L74" s="481"/>
      <c r="M74" s="482"/>
      <c r="N74" s="2752"/>
      <c r="O74" s="2752"/>
      <c r="P74" s="2777"/>
      <c r="Q74" s="2738"/>
      <c r="R74" s="2724"/>
      <c r="S74" s="2724"/>
      <c r="T74" s="2724"/>
      <c r="U74" s="2724"/>
      <c r="V74" s="2724"/>
      <c r="W74" s="2724"/>
      <c r="X74" s="2724"/>
      <c r="Y74" s="2724"/>
      <c r="Z74" s="2724"/>
      <c r="AA74" s="2724"/>
      <c r="AB74" s="2724"/>
      <c r="AC74" s="2724"/>
    </row>
    <row r="75" spans="1:29" ht="15.75" thickBot="1">
      <c r="A75" s="483"/>
      <c r="B75" s="484"/>
      <c r="C75" s="485"/>
      <c r="D75" s="485"/>
      <c r="E75" s="485"/>
      <c r="F75" s="485"/>
      <c r="G75" s="485"/>
      <c r="H75" s="485"/>
      <c r="I75" s="485"/>
      <c r="J75" s="485"/>
      <c r="K75" s="485"/>
      <c r="L75" s="485"/>
      <c r="M75" s="486"/>
      <c r="N75" s="2753"/>
      <c r="O75" s="2753"/>
      <c r="P75" s="2777"/>
      <c r="Q75" s="2738"/>
      <c r="R75" s="2724"/>
      <c r="S75" s="2724"/>
      <c r="T75" s="2724"/>
      <c r="U75" s="2724"/>
      <c r="V75" s="2724"/>
      <c r="W75" s="2724"/>
      <c r="X75" s="2724"/>
      <c r="Y75" s="2724"/>
      <c r="Z75" s="2724"/>
      <c r="AA75" s="2724"/>
      <c r="AB75" s="2724"/>
      <c r="AC75" s="2724"/>
    </row>
    <row r="76" spans="1:29" ht="27.75" thickTop="1">
      <c r="A76" s="483"/>
      <c r="B76" s="487" t="s">
        <v>1688</v>
      </c>
      <c r="C76" s="488"/>
      <c r="D76" s="488"/>
      <c r="E76" s="488"/>
      <c r="F76" s="488"/>
      <c r="G76" s="488"/>
      <c r="H76" s="488"/>
      <c r="I76" s="488"/>
      <c r="J76" s="488"/>
      <c r="K76" s="489"/>
      <c r="L76" s="490"/>
      <c r="M76" s="491"/>
      <c r="N76" s="2752"/>
      <c r="O76" s="2752"/>
      <c r="P76" s="2777"/>
      <c r="Q76" s="2738"/>
      <c r="R76" s="2724"/>
      <c r="S76" s="2724"/>
      <c r="T76" s="2724"/>
      <c r="U76" s="2724"/>
      <c r="V76" s="2724"/>
      <c r="W76" s="2724"/>
      <c r="X76" s="2724"/>
      <c r="Y76" s="2724"/>
      <c r="Z76" s="2724"/>
      <c r="AA76" s="2724"/>
      <c r="AB76" s="2724"/>
      <c r="AC76" s="2724"/>
    </row>
    <row r="77" spans="1:29" ht="15.75" thickBot="1">
      <c r="A77" s="483"/>
      <c r="B77" s="492"/>
      <c r="C77" s="493"/>
      <c r="D77" s="493"/>
      <c r="E77" s="493"/>
      <c r="F77" s="493"/>
      <c r="G77" s="493"/>
      <c r="H77" s="493"/>
      <c r="I77" s="493"/>
      <c r="J77" s="493"/>
      <c r="K77" s="493"/>
      <c r="L77" s="493"/>
      <c r="M77" s="494"/>
      <c r="N77" s="2753"/>
      <c r="O77" s="2753"/>
      <c r="P77" s="2777"/>
      <c r="Q77" s="2738"/>
      <c r="R77" s="2724"/>
      <c r="S77" s="2724"/>
      <c r="T77" s="2724"/>
      <c r="U77" s="2724"/>
      <c r="V77" s="2724"/>
      <c r="W77" s="2724"/>
      <c r="X77" s="2724"/>
      <c r="Y77" s="2724"/>
      <c r="Z77" s="2724"/>
      <c r="AA77" s="2724"/>
      <c r="AB77" s="2724"/>
      <c r="AC77" s="2724"/>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3"/>
      <c r="O78" s="2753"/>
      <c r="P78" s="2777"/>
      <c r="Q78" s="2738"/>
      <c r="R78" s="2724"/>
      <c r="S78" s="2724"/>
      <c r="T78" s="2724"/>
      <c r="U78" s="2724"/>
      <c r="V78" s="2724"/>
      <c r="W78" s="2724"/>
      <c r="X78" s="2724"/>
      <c r="Y78" s="2724"/>
      <c r="Z78" s="2724"/>
      <c r="AA78" s="2724"/>
      <c r="AB78" s="2724"/>
      <c r="AC78" s="2724"/>
    </row>
    <row r="79" spans="1:29" ht="15">
      <c r="A79" s="483"/>
      <c r="B79" s="497"/>
      <c r="C79" s="498"/>
      <c r="D79" s="498"/>
      <c r="E79" s="498"/>
      <c r="F79" s="498"/>
      <c r="G79" s="498"/>
      <c r="H79" s="498"/>
      <c r="I79" s="498"/>
      <c r="J79" s="498"/>
      <c r="K79" s="499"/>
      <c r="L79" s="500"/>
      <c r="M79" s="501"/>
      <c r="N79" s="2752"/>
      <c r="O79" s="2752"/>
      <c r="P79" s="2777"/>
      <c r="Q79" s="2738"/>
      <c r="R79" s="2724"/>
      <c r="S79" s="2724"/>
      <c r="T79" s="2724"/>
      <c r="U79" s="2724"/>
      <c r="V79" s="2724"/>
      <c r="W79" s="2724"/>
      <c r="X79" s="2724"/>
      <c r="Y79" s="2724"/>
      <c r="Z79" s="2724"/>
      <c r="AA79" s="2724"/>
      <c r="AB79" s="2724"/>
      <c r="AC79" s="2724"/>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3"/>
      <c r="O80" s="2753"/>
      <c r="P80" s="2777"/>
      <c r="Q80" s="2738"/>
      <c r="R80" s="2724"/>
      <c r="S80" s="2724"/>
      <c r="T80" s="2724"/>
      <c r="U80" s="2724"/>
      <c r="V80" s="2724"/>
      <c r="W80" s="2724"/>
      <c r="X80" s="2724"/>
      <c r="Y80" s="2724"/>
      <c r="Z80" s="2724"/>
      <c r="AA80" s="2724"/>
      <c r="AB80" s="2724"/>
      <c r="AC80" s="2724"/>
    </row>
    <row r="81" spans="1:29" s="422" customFormat="1" ht="15.75" thickTop="1">
      <c r="A81" s="502"/>
      <c r="B81" s="487" t="str">
        <f>B12</f>
        <v>配建</v>
      </c>
      <c r="C81" s="503"/>
      <c r="D81" s="503"/>
      <c r="E81" s="503"/>
      <c r="F81" s="503"/>
      <c r="G81" s="503"/>
      <c r="H81" s="504"/>
      <c r="I81" s="504"/>
      <c r="J81" s="504"/>
      <c r="K81" s="504"/>
      <c r="L81" s="505"/>
      <c r="M81" s="506"/>
      <c r="N81" s="2754"/>
      <c r="O81" s="2754"/>
      <c r="P81" s="2778"/>
      <c r="Q81" s="2745"/>
      <c r="R81" s="2746"/>
      <c r="S81" s="2746"/>
      <c r="T81" s="2746"/>
      <c r="U81" s="2746"/>
      <c r="V81" s="2746"/>
      <c r="W81" s="2746"/>
      <c r="X81" s="2746"/>
      <c r="Y81" s="2746"/>
      <c r="Z81" s="2746"/>
      <c r="AA81" s="2746"/>
      <c r="AB81" s="2746"/>
      <c r="AC81" s="2746"/>
    </row>
    <row r="82" spans="1:29" s="422" customFormat="1" ht="15.75" thickBot="1">
      <c r="A82" s="502"/>
      <c r="B82" s="492"/>
      <c r="C82" s="509"/>
      <c r="D82" s="485"/>
      <c r="E82" s="485"/>
      <c r="F82" s="485"/>
      <c r="G82" s="485"/>
      <c r="H82" s="485"/>
      <c r="I82" s="485"/>
      <c r="J82" s="485"/>
      <c r="K82" s="485"/>
      <c r="L82" s="485"/>
      <c r="M82" s="486"/>
      <c r="N82" s="2753"/>
      <c r="O82" s="2753"/>
      <c r="P82" s="2778"/>
      <c r="Q82" s="2745"/>
      <c r="R82" s="2746"/>
      <c r="S82" s="2746"/>
      <c r="T82" s="2746"/>
      <c r="U82" s="2746"/>
      <c r="V82" s="2746"/>
      <c r="W82" s="2746"/>
      <c r="X82" s="2746"/>
      <c r="Y82" s="2746"/>
      <c r="Z82" s="2746"/>
      <c r="AA82" s="2746"/>
      <c r="AB82" s="2746"/>
      <c r="AC82" s="2746"/>
    </row>
    <row r="83" spans="1:29" s="422" customFormat="1" ht="15.75" thickTop="1">
      <c r="A83" s="502"/>
      <c r="B83" s="487">
        <f>B13</f>
        <v>111</v>
      </c>
      <c r="C83" s="503"/>
      <c r="D83" s="503"/>
      <c r="E83" s="503"/>
      <c r="F83" s="503"/>
      <c r="G83" s="503"/>
      <c r="H83" s="504"/>
      <c r="I83" s="504"/>
      <c r="J83" s="504"/>
      <c r="K83" s="504"/>
      <c r="L83" s="505"/>
      <c r="M83" s="506"/>
      <c r="N83" s="2754"/>
      <c r="O83" s="2754"/>
      <c r="P83" s="2722"/>
      <c r="Q83" s="2748"/>
      <c r="R83" s="2746"/>
      <c r="S83" s="2746"/>
      <c r="T83" s="2746"/>
      <c r="U83" s="2746"/>
      <c r="V83" s="2746"/>
      <c r="W83" s="2746"/>
      <c r="X83" s="2746"/>
      <c r="Y83" s="2746"/>
      <c r="Z83" s="2746"/>
      <c r="AA83" s="2746"/>
      <c r="AB83" s="2746"/>
      <c r="AC83" s="2746"/>
    </row>
    <row r="84" spans="1:29" s="422" customFormat="1" ht="15.75" thickBot="1">
      <c r="A84" s="502"/>
      <c r="B84" s="492"/>
      <c r="C84" s="509"/>
      <c r="D84" s="509"/>
      <c r="E84" s="509"/>
      <c r="F84" s="509"/>
      <c r="G84" s="509"/>
      <c r="H84" s="511"/>
      <c r="I84" s="511"/>
      <c r="J84" s="511"/>
      <c r="K84" s="511"/>
      <c r="L84" s="511"/>
      <c r="M84" s="512"/>
      <c r="N84" s="2754"/>
      <c r="O84" s="2754"/>
      <c r="P84" s="2778"/>
      <c r="Q84" s="2745"/>
      <c r="R84" s="2746"/>
      <c r="S84" s="2746"/>
      <c r="T84" s="2746"/>
      <c r="U84" s="2746"/>
      <c r="V84" s="2746"/>
      <c r="W84" s="2746"/>
      <c r="X84" s="2746"/>
      <c r="Y84" s="2746"/>
      <c r="Z84" s="2746"/>
      <c r="AA84" s="2746"/>
      <c r="AB84" s="2746"/>
      <c r="AC84" s="2746"/>
    </row>
    <row r="85" spans="1:29" s="422" customFormat="1" ht="15.75" thickTop="1">
      <c r="A85" s="502"/>
      <c r="B85" s="495">
        <f>B14</f>
        <v>111</v>
      </c>
      <c r="C85" s="472"/>
      <c r="D85" s="472"/>
      <c r="E85" s="472"/>
      <c r="F85" s="472"/>
      <c r="G85" s="472"/>
      <c r="H85" s="513"/>
      <c r="I85" s="513"/>
      <c r="J85" s="513"/>
      <c r="K85" s="513"/>
      <c r="L85" s="514"/>
      <c r="M85" s="515"/>
      <c r="N85" s="2754"/>
      <c r="O85" s="2754"/>
      <c r="P85" s="2783"/>
      <c r="Q85" s="2745"/>
      <c r="R85" s="2746"/>
      <c r="S85" s="2746"/>
      <c r="T85" s="2746"/>
      <c r="U85" s="2746"/>
      <c r="V85" s="2746"/>
      <c r="W85" s="2746"/>
      <c r="X85" s="2746"/>
      <c r="Y85" s="2746"/>
      <c r="Z85" s="2746"/>
      <c r="AA85" s="2746"/>
      <c r="AB85" s="2746"/>
      <c r="AC85" s="2746"/>
    </row>
    <row r="86" spans="1:29" s="422" customFormat="1" ht="15.75" thickBot="1">
      <c r="A86" s="517"/>
      <c r="B86" s="518"/>
      <c r="C86" s="519"/>
      <c r="D86" s="519"/>
      <c r="E86" s="519"/>
      <c r="F86" s="519"/>
      <c r="G86" s="519"/>
      <c r="H86" s="520"/>
      <c r="I86" s="520"/>
      <c r="J86" s="520"/>
      <c r="K86" s="520"/>
      <c r="L86" s="520"/>
      <c r="M86" s="521"/>
      <c r="N86" s="2754"/>
      <c r="O86" s="2754"/>
      <c r="P86" s="2778"/>
      <c r="Q86" s="2745"/>
      <c r="R86" s="2746"/>
      <c r="S86" s="2746"/>
      <c r="T86" s="2746"/>
      <c r="U86" s="2746"/>
      <c r="V86" s="2746"/>
      <c r="W86" s="2746"/>
      <c r="X86" s="2746"/>
      <c r="Y86" s="2746"/>
      <c r="Z86" s="2746"/>
      <c r="AA86" s="2746"/>
      <c r="AB86" s="2746"/>
      <c r="AC86" s="2746"/>
    </row>
    <row r="87" spans="1:29">
      <c r="A87" s="476" t="s">
        <v>1690</v>
      </c>
      <c r="B87" s="477" t="s">
        <v>1720</v>
      </c>
      <c r="C87" s="522" t="s">
        <v>1721</v>
      </c>
      <c r="D87" s="522" t="s">
        <v>1722</v>
      </c>
      <c r="E87" s="522" t="s">
        <v>1723</v>
      </c>
      <c r="F87" s="522" t="s">
        <v>1724</v>
      </c>
      <c r="G87" s="522" t="s">
        <v>1725</v>
      </c>
      <c r="H87" s="478"/>
      <c r="I87" s="478"/>
      <c r="J87" s="478"/>
      <c r="K87" s="523"/>
      <c r="L87" s="524"/>
      <c r="M87" s="525"/>
      <c r="N87" s="2752"/>
      <c r="O87" s="2752"/>
      <c r="P87" s="2779"/>
      <c r="Q87" s="2738"/>
      <c r="R87" s="2724"/>
      <c r="S87" s="2724"/>
      <c r="T87" s="2724"/>
      <c r="U87" s="2724"/>
      <c r="V87" s="2724"/>
      <c r="W87" s="2724"/>
      <c r="X87" s="2724"/>
      <c r="Y87" s="2724"/>
      <c r="Z87" s="2724"/>
      <c r="AA87" s="2724"/>
      <c r="AB87" s="2724"/>
      <c r="AC87" s="2724"/>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3"/>
      <c r="O88" s="2753"/>
      <c r="P88" s="2777"/>
      <c r="Q88" s="2738"/>
      <c r="R88" s="2724"/>
      <c r="S88" s="2724"/>
      <c r="T88" s="2724"/>
      <c r="U88" s="2724"/>
      <c r="V88" s="2724"/>
      <c r="W88" s="2724"/>
      <c r="X88" s="2724"/>
      <c r="Y88" s="2724"/>
      <c r="Z88" s="2724"/>
      <c r="AA88" s="2724"/>
      <c r="AB88" s="2724"/>
      <c r="AC88" s="2724"/>
    </row>
    <row r="89" spans="1:29" ht="15.75" thickTop="1">
      <c r="A89" s="483"/>
      <c r="B89" s="487" t="s">
        <v>1906</v>
      </c>
      <c r="C89" s="527" t="s">
        <v>1721</v>
      </c>
      <c r="D89" s="527" t="s">
        <v>1722</v>
      </c>
      <c r="E89" s="527" t="s">
        <v>1723</v>
      </c>
      <c r="F89" s="527" t="s">
        <v>1724</v>
      </c>
      <c r="G89" s="527" t="s">
        <v>1725</v>
      </c>
      <c r="H89" s="488"/>
      <c r="I89" s="488"/>
      <c r="J89" s="488"/>
      <c r="K89" s="489"/>
      <c r="L89" s="490"/>
      <c r="M89" s="491"/>
      <c r="N89" s="2752"/>
      <c r="O89" s="2752"/>
      <c r="P89" s="2777"/>
      <c r="Q89" s="2738"/>
      <c r="R89" s="2724"/>
      <c r="S89" s="2724"/>
      <c r="T89" s="2724"/>
      <c r="U89" s="2724"/>
      <c r="V89" s="2724"/>
      <c r="W89" s="2724"/>
      <c r="X89" s="2724"/>
      <c r="Y89" s="2724"/>
      <c r="Z89" s="2724"/>
      <c r="AA89" s="2724"/>
      <c r="AB89" s="2724"/>
      <c r="AC89" s="2724"/>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3"/>
      <c r="O90" s="2753"/>
      <c r="P90" s="2777"/>
      <c r="Q90" s="2738"/>
      <c r="R90" s="2724"/>
      <c r="S90" s="2724"/>
      <c r="T90" s="2724"/>
      <c r="U90" s="2724"/>
      <c r="V90" s="2724"/>
      <c r="W90" s="2724"/>
      <c r="X90" s="2724"/>
      <c r="Y90" s="2724"/>
      <c r="Z90" s="2724"/>
      <c r="AA90" s="2724"/>
      <c r="AB90" s="2724"/>
      <c r="AC90" s="2724"/>
    </row>
    <row r="91" spans="1:29" ht="15.75" thickTop="1">
      <c r="A91" s="483"/>
      <c r="B91" s="487" t="s">
        <v>1821</v>
      </c>
      <c r="C91" s="527" t="s">
        <v>1721</v>
      </c>
      <c r="D91" s="527" t="s">
        <v>1722</v>
      </c>
      <c r="E91" s="527" t="s">
        <v>1723</v>
      </c>
      <c r="F91" s="527" t="s">
        <v>1724</v>
      </c>
      <c r="G91" s="527" t="s">
        <v>1725</v>
      </c>
      <c r="H91" s="488"/>
      <c r="I91" s="488"/>
      <c r="J91" s="488"/>
      <c r="K91" s="489"/>
      <c r="L91" s="490"/>
      <c r="M91" s="491"/>
      <c r="N91" s="2752"/>
      <c r="O91" s="2752"/>
      <c r="P91" s="2777"/>
      <c r="Q91" s="2738"/>
      <c r="R91" s="2724"/>
      <c r="S91" s="2724"/>
      <c r="T91" s="2724"/>
      <c r="U91" s="2724"/>
      <c r="V91" s="2724"/>
      <c r="W91" s="2724"/>
      <c r="X91" s="2724"/>
      <c r="Y91" s="2724"/>
      <c r="Z91" s="2724"/>
      <c r="AA91" s="2724"/>
      <c r="AB91" s="2724"/>
      <c r="AC91" s="2724"/>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3"/>
      <c r="O92" s="2753"/>
      <c r="P92" s="2777"/>
      <c r="Q92" s="2738"/>
      <c r="R92" s="2724"/>
      <c r="S92" s="2724"/>
      <c r="T92" s="2724"/>
      <c r="U92" s="2724"/>
      <c r="V92" s="2724"/>
      <c r="W92" s="2724"/>
      <c r="X92" s="2724"/>
      <c r="Y92" s="2724"/>
      <c r="Z92" s="2724"/>
      <c r="AA92" s="2724"/>
      <c r="AB92" s="2724"/>
      <c r="AC92" s="2724"/>
    </row>
    <row r="93" spans="1:29" ht="15.75" thickTop="1">
      <c r="A93" s="483"/>
      <c r="B93" s="487" t="s">
        <v>1726</v>
      </c>
      <c r="C93" s="527" t="s">
        <v>1721</v>
      </c>
      <c r="D93" s="527" t="s">
        <v>1722</v>
      </c>
      <c r="E93" s="527" t="s">
        <v>1723</v>
      </c>
      <c r="F93" s="527" t="s">
        <v>1724</v>
      </c>
      <c r="G93" s="527" t="s">
        <v>1725</v>
      </c>
      <c r="H93" s="488"/>
      <c r="I93" s="488"/>
      <c r="J93" s="488"/>
      <c r="K93" s="489"/>
      <c r="L93" s="490"/>
      <c r="M93" s="491"/>
      <c r="N93" s="2752"/>
      <c r="O93" s="2752"/>
      <c r="P93" s="2777"/>
      <c r="Q93" s="2738"/>
      <c r="R93" s="2724"/>
      <c r="S93" s="2724"/>
      <c r="T93" s="2724"/>
      <c r="U93" s="2724"/>
      <c r="V93" s="2724"/>
      <c r="W93" s="2724"/>
      <c r="X93" s="2724"/>
      <c r="Y93" s="2724"/>
      <c r="Z93" s="2724"/>
      <c r="AA93" s="2724"/>
      <c r="AB93" s="2724"/>
      <c r="AC93" s="2724"/>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3"/>
      <c r="O94" s="2753"/>
      <c r="P94" s="2777"/>
      <c r="Q94" s="2738"/>
      <c r="R94" s="2724"/>
      <c r="S94" s="2724"/>
      <c r="T94" s="2724"/>
      <c r="U94" s="2724"/>
      <c r="V94" s="2724"/>
      <c r="W94" s="2724"/>
      <c r="X94" s="2724"/>
      <c r="Y94" s="2724"/>
      <c r="Z94" s="2724"/>
      <c r="AA94" s="2724"/>
      <c r="AB94" s="2724"/>
      <c r="AC94" s="2724"/>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51"/>
      <c r="O95" s="2751"/>
      <c r="P95" s="2777"/>
      <c r="Q95" s="2738"/>
      <c r="R95" s="2660"/>
      <c r="S95" s="2660"/>
      <c r="T95" s="2660"/>
      <c r="U95" s="2660"/>
      <c r="V95" s="2660"/>
      <c r="W95" s="2660"/>
      <c r="X95" s="2660"/>
      <c r="Y95" s="2660"/>
      <c r="Z95" s="2660"/>
      <c r="AA95" s="2660"/>
      <c r="AB95" s="2660"/>
      <c r="AC95" s="2660"/>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3"/>
      <c r="O96" s="2753"/>
      <c r="P96" s="2777"/>
      <c r="Q96" s="2738"/>
      <c r="R96" s="2660"/>
      <c r="S96" s="2660"/>
      <c r="T96" s="2660"/>
      <c r="U96" s="2660"/>
      <c r="V96" s="2660"/>
      <c r="W96" s="2660"/>
      <c r="X96" s="2660"/>
      <c r="Y96" s="2660"/>
      <c r="Z96" s="2660"/>
      <c r="AA96" s="2660"/>
      <c r="AB96" s="2660"/>
      <c r="AC96" s="2660"/>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51"/>
      <c r="O97" s="2751"/>
      <c r="P97" s="2777"/>
      <c r="Q97" s="2738"/>
      <c r="R97" s="2660"/>
      <c r="S97" s="2660"/>
      <c r="T97" s="2660"/>
      <c r="U97" s="2660"/>
      <c r="V97" s="2660"/>
      <c r="W97" s="2660"/>
      <c r="X97" s="2660"/>
      <c r="Y97" s="2660"/>
      <c r="Z97" s="2660"/>
      <c r="AA97" s="2660"/>
      <c r="AB97" s="2660"/>
      <c r="AC97" s="2660"/>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3"/>
      <c r="O98" s="2753"/>
      <c r="P98" s="2777"/>
      <c r="Q98" s="2738"/>
      <c r="R98" s="2660"/>
      <c r="S98" s="2660"/>
      <c r="T98" s="2660"/>
      <c r="U98" s="2660"/>
      <c r="V98" s="2660"/>
      <c r="W98" s="2660"/>
      <c r="X98" s="2660"/>
      <c r="Y98" s="2660"/>
      <c r="Z98" s="2660"/>
      <c r="AA98" s="2660"/>
      <c r="AB98" s="2660"/>
      <c r="AC98" s="2660"/>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4"/>
      <c r="O99" s="2754"/>
      <c r="P99" s="2778"/>
      <c r="Q99" s="2745"/>
      <c r="R99" s="2746"/>
      <c r="S99" s="2746"/>
      <c r="T99" s="2746"/>
      <c r="U99" s="2746"/>
      <c r="V99" s="2746"/>
      <c r="W99" s="2746"/>
      <c r="X99" s="2746"/>
      <c r="Y99" s="2746"/>
      <c r="Z99" s="2746"/>
      <c r="AA99" s="2746"/>
      <c r="AB99" s="2746"/>
      <c r="AC99" s="2746"/>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4"/>
      <c r="O100" s="2754"/>
      <c r="P100" s="2778"/>
      <c r="Q100" s="2745"/>
      <c r="R100" s="2746"/>
      <c r="S100" s="2746"/>
      <c r="T100" s="2746"/>
      <c r="U100" s="2746"/>
      <c r="V100" s="2746"/>
      <c r="W100" s="2746"/>
      <c r="X100" s="2746"/>
      <c r="Y100" s="2746"/>
      <c r="Z100" s="2746"/>
      <c r="AA100" s="2746"/>
      <c r="AB100" s="2746"/>
      <c r="AC100" s="2746"/>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2"/>
      <c r="N101" s="2754"/>
      <c r="O101" s="2754"/>
      <c r="P101" s="2778"/>
      <c r="Q101" s="2745"/>
      <c r="R101" s="2746"/>
      <c r="S101" s="2746"/>
      <c r="T101" s="2746"/>
      <c r="U101" s="2746"/>
      <c r="V101" s="2746"/>
      <c r="W101" s="2746"/>
      <c r="X101" s="2746"/>
      <c r="Y101" s="2746"/>
      <c r="Z101" s="2746"/>
      <c r="AA101" s="2746"/>
      <c r="AB101" s="2746"/>
      <c r="AC101" s="2746"/>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4"/>
      <c r="O102" s="2754"/>
      <c r="P102" s="2778"/>
      <c r="Q102" s="2745"/>
      <c r="R102" s="2746"/>
      <c r="S102" s="2746"/>
      <c r="T102" s="2746"/>
      <c r="U102" s="2746"/>
      <c r="V102" s="2746"/>
      <c r="W102" s="2746"/>
      <c r="X102" s="2746"/>
      <c r="Y102" s="2746"/>
      <c r="Z102" s="2746"/>
      <c r="AA102" s="2746"/>
      <c r="AB102" s="2746"/>
      <c r="AC102" s="2746"/>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2"/>
      <c r="O103" s="2752"/>
      <c r="P103" s="2777"/>
      <c r="Q103" s="2738"/>
      <c r="R103" s="2724"/>
      <c r="S103" s="2724"/>
      <c r="T103" s="2724"/>
      <c r="U103" s="2724"/>
      <c r="V103" s="2724"/>
      <c r="W103" s="2724"/>
      <c r="X103" s="2724"/>
      <c r="Y103" s="2724"/>
      <c r="Z103" s="2724"/>
      <c r="AA103" s="2724"/>
      <c r="AB103" s="2724"/>
      <c r="AC103" s="2724"/>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3"/>
      <c r="O104" s="2753"/>
      <c r="P104" s="2777"/>
      <c r="Q104" s="2738"/>
      <c r="R104" s="2724"/>
      <c r="S104" s="2724"/>
      <c r="T104" s="2724"/>
      <c r="U104" s="2724"/>
      <c r="V104" s="2724"/>
      <c r="W104" s="2724"/>
      <c r="X104" s="2724"/>
      <c r="Y104" s="2724"/>
      <c r="Z104" s="2724"/>
      <c r="AA104" s="2724"/>
      <c r="AB104" s="2724"/>
      <c r="AC104" s="2724"/>
    </row>
    <row r="105" spans="1:29" ht="27.75" thickTop="1">
      <c r="A105" s="483"/>
      <c r="B105" s="487" t="s">
        <v>1815</v>
      </c>
      <c r="C105" s="503"/>
      <c r="D105" s="503"/>
      <c r="E105" s="503"/>
      <c r="F105" s="503"/>
      <c r="G105" s="503"/>
      <c r="H105" s="532"/>
      <c r="I105" s="532"/>
      <c r="J105" s="532"/>
      <c r="K105" s="533"/>
      <c r="L105" s="534"/>
      <c r="M105" s="535"/>
      <c r="N105" s="2752"/>
      <c r="O105" s="2752"/>
      <c r="P105" s="2777"/>
      <c r="Q105" s="2738"/>
      <c r="R105" s="2724"/>
      <c r="S105" s="2724"/>
      <c r="T105" s="2724"/>
      <c r="U105" s="2724"/>
      <c r="V105" s="2724"/>
      <c r="W105" s="2724"/>
      <c r="X105" s="2724"/>
      <c r="Y105" s="2724"/>
      <c r="Z105" s="2724"/>
      <c r="AA105" s="2724"/>
      <c r="AB105" s="2724"/>
      <c r="AC105" s="2724"/>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3"/>
      <c r="O106" s="2753"/>
      <c r="P106" s="2777"/>
      <c r="Q106" s="2738"/>
      <c r="R106" s="2724"/>
      <c r="S106" s="2724"/>
      <c r="T106" s="2724"/>
      <c r="U106" s="2724"/>
      <c r="V106" s="2724"/>
      <c r="W106" s="2724"/>
      <c r="X106" s="2724"/>
      <c r="Y106" s="2724"/>
      <c r="Z106" s="2724"/>
      <c r="AA106" s="2724"/>
      <c r="AB106" s="2724"/>
      <c r="AC106" s="2724"/>
    </row>
    <row r="107" spans="1:29" ht="15.75" thickTop="1">
      <c r="A107" s="483"/>
      <c r="B107" s="487" t="s">
        <v>1873</v>
      </c>
      <c r="C107" s="532"/>
      <c r="D107" s="532"/>
      <c r="E107" s="532"/>
      <c r="F107" s="532"/>
      <c r="G107" s="532"/>
      <c r="H107" s="532"/>
      <c r="I107" s="532"/>
      <c r="J107" s="532"/>
      <c r="K107" s="533"/>
      <c r="L107" s="534"/>
      <c r="M107" s="535"/>
      <c r="N107" s="2752"/>
      <c r="O107" s="2752"/>
      <c r="P107" s="2777"/>
      <c r="Q107" s="2738"/>
      <c r="R107" s="2724"/>
      <c r="S107" s="2724"/>
      <c r="T107" s="2724"/>
      <c r="U107" s="2724"/>
      <c r="V107" s="2724"/>
      <c r="W107" s="2724"/>
      <c r="X107" s="2724"/>
      <c r="Y107" s="2724"/>
      <c r="Z107" s="2724"/>
      <c r="AA107" s="2724"/>
      <c r="AB107" s="2724"/>
      <c r="AC107" s="2724"/>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3"/>
      <c r="O108" s="2753"/>
      <c r="P108" s="2777"/>
      <c r="Q108" s="2738"/>
      <c r="R108" s="2724"/>
      <c r="S108" s="2724"/>
      <c r="T108" s="2724"/>
      <c r="U108" s="2724"/>
      <c r="V108" s="2724"/>
      <c r="W108" s="2724"/>
      <c r="X108" s="2724"/>
      <c r="Y108" s="2724"/>
      <c r="Z108" s="2724"/>
      <c r="AA108" s="2724"/>
      <c r="AB108" s="2724"/>
      <c r="AC108" s="2724"/>
    </row>
    <row r="109" spans="1:29" ht="15.75" thickTop="1">
      <c r="A109" s="483"/>
      <c r="B109" s="495">
        <f>B35</f>
        <v>111</v>
      </c>
      <c r="C109" s="503"/>
      <c r="D109" s="503"/>
      <c r="E109" s="503"/>
      <c r="F109" s="503"/>
      <c r="G109" s="536"/>
      <c r="H109" s="536"/>
      <c r="I109" s="536"/>
      <c r="J109" s="536"/>
      <c r="K109" s="537"/>
      <c r="L109" s="538"/>
      <c r="M109" s="539"/>
      <c r="N109" s="2752"/>
      <c r="O109" s="2752"/>
      <c r="P109" s="2777"/>
      <c r="Q109" s="2738"/>
      <c r="R109" s="2724"/>
      <c r="S109" s="2724"/>
      <c r="T109" s="2724"/>
      <c r="U109" s="2724"/>
      <c r="V109" s="2724"/>
      <c r="W109" s="2724"/>
      <c r="X109" s="2724"/>
      <c r="Y109" s="2724"/>
      <c r="Z109" s="2724"/>
      <c r="AA109" s="2724"/>
      <c r="AB109" s="2724"/>
      <c r="AC109" s="2724"/>
    </row>
    <row r="110" spans="1:29" ht="15.75" thickBot="1">
      <c r="A110" s="483"/>
      <c r="B110" s="518"/>
      <c r="C110" s="509"/>
      <c r="D110" s="509"/>
      <c r="E110" s="509"/>
      <c r="F110" s="509"/>
      <c r="G110" s="540"/>
      <c r="H110" s="540"/>
      <c r="I110" s="540"/>
      <c r="J110" s="540"/>
      <c r="K110" s="540"/>
      <c r="L110" s="540"/>
      <c r="M110" s="541"/>
      <c r="N110" s="2753"/>
      <c r="O110" s="2753"/>
      <c r="P110" s="2777"/>
      <c r="Q110" s="2738"/>
      <c r="R110" s="2724"/>
      <c r="S110" s="2724"/>
      <c r="T110" s="2724"/>
      <c r="U110" s="2724"/>
      <c r="V110" s="2724"/>
      <c r="W110" s="2724"/>
      <c r="X110" s="2724"/>
      <c r="Y110" s="2724"/>
      <c r="Z110" s="2724"/>
      <c r="AA110" s="2724"/>
      <c r="AB110" s="2724"/>
      <c r="AC110" s="2724"/>
    </row>
    <row r="111" spans="1:29" ht="15" thickTop="1">
      <c r="A111" s="623"/>
      <c r="B111" s="487">
        <f>B36</f>
        <v>111</v>
      </c>
      <c r="C111" s="472"/>
      <c r="D111" s="472"/>
      <c r="E111" s="472"/>
      <c r="F111" s="472"/>
      <c r="G111" s="532"/>
      <c r="H111" s="532"/>
      <c r="I111" s="532"/>
      <c r="J111" s="532"/>
      <c r="K111" s="533"/>
      <c r="L111" s="534"/>
      <c r="M111" s="535"/>
      <c r="N111" s="2752"/>
      <c r="O111" s="2752"/>
      <c r="P111" s="2777"/>
      <c r="Q111" s="2738"/>
      <c r="R111" s="2724"/>
      <c r="S111" s="2724"/>
      <c r="T111" s="2724"/>
      <c r="U111" s="2724"/>
      <c r="V111" s="2724"/>
      <c r="W111" s="2724"/>
      <c r="X111" s="2724"/>
      <c r="Y111" s="2724"/>
      <c r="Z111" s="2724"/>
      <c r="AA111" s="2724"/>
      <c r="AB111" s="2724"/>
      <c r="AC111" s="2724"/>
    </row>
    <row r="112" spans="1:29" ht="15.75" thickBot="1">
      <c r="A112" s="483"/>
      <c r="B112" s="492"/>
      <c r="C112" s="519"/>
      <c r="D112" s="519"/>
      <c r="E112" s="519"/>
      <c r="F112" s="519"/>
      <c r="G112" s="485"/>
      <c r="H112" s="485"/>
      <c r="I112" s="485"/>
      <c r="J112" s="485"/>
      <c r="K112" s="485"/>
      <c r="L112" s="485"/>
      <c r="M112" s="486"/>
      <c r="N112" s="2753"/>
      <c r="O112" s="2753"/>
      <c r="P112" s="2777"/>
      <c r="Q112" s="2738"/>
      <c r="R112" s="2724"/>
      <c r="S112" s="2724"/>
      <c r="T112" s="2724"/>
      <c r="U112" s="2724"/>
      <c r="V112" s="2724"/>
      <c r="W112" s="2724"/>
      <c r="X112" s="2724"/>
      <c r="Y112" s="2724"/>
      <c r="Z112" s="2724"/>
      <c r="AA112" s="2724"/>
      <c r="AB112" s="2724"/>
      <c r="AC112" s="2724"/>
    </row>
    <row r="113" spans="1:29" s="422" customFormat="1" ht="15" thickTop="1">
      <c r="A113" s="542"/>
      <c r="B113" s="543">
        <f>B37</f>
        <v>111</v>
      </c>
      <c r="C113" s="544"/>
      <c r="D113" s="544"/>
      <c r="E113" s="544"/>
      <c r="F113" s="544"/>
      <c r="G113" s="544"/>
      <c r="H113" s="544"/>
      <c r="I113" s="544"/>
      <c r="J113" s="545"/>
      <c r="K113" s="545"/>
      <c r="L113" s="546"/>
      <c r="M113" s="547"/>
      <c r="N113" s="2754"/>
      <c r="O113" s="2754"/>
      <c r="P113" s="2778"/>
      <c r="Q113" s="2745"/>
      <c r="R113" s="2746"/>
      <c r="S113" s="2746"/>
      <c r="T113" s="2746"/>
      <c r="U113" s="2746"/>
      <c r="V113" s="2746"/>
      <c r="W113" s="2746"/>
      <c r="X113" s="2746"/>
      <c r="Y113" s="2746"/>
      <c r="Z113" s="2746"/>
      <c r="AA113" s="2746"/>
      <c r="AB113" s="2746"/>
      <c r="AC113" s="2746"/>
    </row>
    <row r="114" spans="1:29" s="422" customFormat="1" ht="15.75" thickBot="1">
      <c r="A114" s="502"/>
      <c r="B114" s="495"/>
      <c r="C114" s="461"/>
      <c r="D114" s="625"/>
      <c r="E114" s="625"/>
      <c r="F114" s="625"/>
      <c r="G114" s="625"/>
      <c r="H114" s="625"/>
      <c r="I114" s="625"/>
      <c r="J114" s="625"/>
      <c r="K114" s="625"/>
      <c r="L114" s="625"/>
      <c r="M114" s="647"/>
      <c r="N114" s="2753"/>
      <c r="O114" s="2753"/>
      <c r="P114" s="2778"/>
      <c r="Q114" s="2745"/>
      <c r="R114" s="2746"/>
      <c r="S114" s="2746"/>
      <c r="T114" s="2746"/>
      <c r="U114" s="2746"/>
      <c r="V114" s="2746"/>
      <c r="W114" s="2746"/>
      <c r="X114" s="2746"/>
      <c r="Y114" s="2746"/>
      <c r="Z114" s="2746"/>
      <c r="AA114" s="2746"/>
      <c r="AB114" s="2746"/>
      <c r="AC114" s="2746"/>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2"/>
      <c r="O115" s="2752"/>
      <c r="P115" s="2777"/>
      <c r="Q115" s="2738"/>
      <c r="R115" s="2724"/>
      <c r="S115" s="2724"/>
      <c r="T115" s="2724"/>
      <c r="U115" s="2724"/>
      <c r="V115" s="2724"/>
      <c r="W115" s="2724"/>
      <c r="X115" s="2724"/>
      <c r="Y115" s="2724"/>
      <c r="Z115" s="2724"/>
      <c r="AA115" s="2724"/>
      <c r="AB115" s="2724"/>
      <c r="AC115" s="2724"/>
    </row>
    <row r="116" spans="1:29" ht="15">
      <c r="A116" s="483"/>
      <c r="B116" s="495"/>
      <c r="C116" s="544"/>
      <c r="D116" s="544"/>
      <c r="E116" s="544"/>
      <c r="F116" s="544"/>
      <c r="G116" s="544"/>
      <c r="H116" s="544"/>
      <c r="I116" s="544"/>
      <c r="J116" s="545"/>
      <c r="K116" s="545"/>
      <c r="L116" s="546"/>
      <c r="M116" s="547"/>
      <c r="N116" s="2752"/>
      <c r="O116" s="2752"/>
      <c r="P116" s="2777"/>
      <c r="Q116" s="2738"/>
      <c r="R116" s="2724"/>
      <c r="S116" s="2724"/>
      <c r="T116" s="2724"/>
      <c r="U116" s="2724"/>
      <c r="V116" s="2724"/>
      <c r="W116" s="2724"/>
      <c r="X116" s="2724"/>
      <c r="Y116" s="2724"/>
      <c r="Z116" s="2724"/>
      <c r="AA116" s="2724"/>
      <c r="AB116" s="2724"/>
      <c r="AC116" s="2724"/>
    </row>
    <row r="117" spans="1:29" ht="15.75" thickBot="1">
      <c r="A117" s="483"/>
      <c r="B117" s="492"/>
      <c r="C117" s="519"/>
      <c r="D117" s="540"/>
      <c r="E117" s="540"/>
      <c r="F117" s="540"/>
      <c r="G117" s="540"/>
      <c r="H117" s="540"/>
      <c r="I117" s="540"/>
      <c r="J117" s="540"/>
      <c r="K117" s="540"/>
      <c r="L117" s="540"/>
      <c r="M117" s="541"/>
      <c r="N117" s="2753"/>
      <c r="O117" s="2753"/>
      <c r="P117" s="2777"/>
      <c r="Q117" s="2738"/>
      <c r="R117" s="2724"/>
      <c r="S117" s="2724"/>
      <c r="T117" s="2724"/>
      <c r="U117" s="2724"/>
      <c r="V117" s="2724"/>
      <c r="W117" s="2724"/>
      <c r="X117" s="2724"/>
      <c r="Y117" s="2724"/>
      <c r="Z117" s="2724"/>
      <c r="AA117" s="2724"/>
      <c r="AB117" s="2724"/>
      <c r="AC117" s="2724"/>
    </row>
    <row r="118" spans="1:29" ht="15" thickTop="1">
      <c r="A118" s="548"/>
      <c r="B118" s="487" t="s">
        <v>1914</v>
      </c>
      <c r="C118" s="532"/>
      <c r="D118" s="532"/>
      <c r="E118" s="532"/>
      <c r="F118" s="532"/>
      <c r="G118" s="532"/>
      <c r="H118" s="532"/>
      <c r="I118" s="532"/>
      <c r="J118" s="532"/>
      <c r="K118" s="533"/>
      <c r="L118" s="534"/>
      <c r="M118" s="535"/>
      <c r="N118" s="2752"/>
      <c r="O118" s="2752"/>
      <c r="P118" s="2777"/>
      <c r="Q118" s="2738"/>
      <c r="R118" s="2724"/>
      <c r="S118" s="2724"/>
      <c r="T118" s="2724"/>
      <c r="U118" s="2724"/>
      <c r="V118" s="2724"/>
      <c r="W118" s="2724"/>
      <c r="X118" s="2724"/>
      <c r="Y118" s="2724"/>
      <c r="Z118" s="2724"/>
      <c r="AA118" s="2724"/>
      <c r="AB118" s="2724"/>
      <c r="AC118" s="2724"/>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3"/>
      <c r="O119" s="2753"/>
      <c r="P119" s="2777"/>
      <c r="Q119" s="2738"/>
      <c r="R119" s="2724"/>
      <c r="S119" s="2724"/>
      <c r="T119" s="2724"/>
      <c r="U119" s="2724"/>
      <c r="V119" s="2724"/>
      <c r="W119" s="2724"/>
      <c r="X119" s="2724"/>
      <c r="Y119" s="2724"/>
      <c r="Z119" s="2724"/>
      <c r="AA119" s="2724"/>
      <c r="AB119" s="2724"/>
      <c r="AC119" s="2724"/>
    </row>
    <row r="120" spans="1:29" ht="15" thickTop="1">
      <c r="A120" s="548"/>
      <c r="B120" s="487" t="s">
        <v>1915</v>
      </c>
      <c r="C120" s="503"/>
      <c r="D120" s="503"/>
      <c r="E120" s="503"/>
      <c r="F120" s="532"/>
      <c r="G120" s="532"/>
      <c r="H120" s="532"/>
      <c r="I120" s="532"/>
      <c r="J120" s="532"/>
      <c r="K120" s="533"/>
      <c r="L120" s="534"/>
      <c r="M120" s="535"/>
      <c r="N120" s="2752"/>
      <c r="O120" s="2752"/>
      <c r="P120" s="2777"/>
      <c r="Q120" s="2738"/>
      <c r="R120" s="2724"/>
      <c r="S120" s="2724"/>
      <c r="T120" s="2724"/>
      <c r="U120" s="2724"/>
      <c r="V120" s="2724"/>
      <c r="W120" s="2724"/>
      <c r="X120" s="2724"/>
      <c r="Y120" s="2724"/>
      <c r="Z120" s="2724"/>
      <c r="AA120" s="2724"/>
      <c r="AB120" s="2724"/>
      <c r="AC120" s="2724"/>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3"/>
      <c r="O121" s="2753"/>
      <c r="P121" s="2777"/>
      <c r="Q121" s="2738"/>
      <c r="R121" s="2724"/>
      <c r="S121" s="2724"/>
      <c r="T121" s="2724"/>
      <c r="U121" s="2724"/>
      <c r="V121" s="2724"/>
      <c r="W121" s="2724"/>
      <c r="X121" s="2724"/>
      <c r="Y121" s="2724"/>
      <c r="Z121" s="2724"/>
      <c r="AA121" s="2724"/>
      <c r="AB121" s="2724"/>
      <c r="AC121" s="2724"/>
    </row>
    <row r="122" spans="1:29" s="422" customFormat="1" ht="15" thickTop="1">
      <c r="A122" s="542"/>
      <c r="B122" s="487" t="s">
        <v>1916</v>
      </c>
      <c r="C122" s="503"/>
      <c r="D122" s="503"/>
      <c r="E122" s="503"/>
      <c r="F122" s="503"/>
      <c r="G122" s="503"/>
      <c r="H122" s="532"/>
      <c r="I122" s="532"/>
      <c r="J122" s="532"/>
      <c r="K122" s="533"/>
      <c r="L122" s="534"/>
      <c r="M122" s="535"/>
      <c r="N122" s="2754"/>
      <c r="O122" s="2754"/>
      <c r="P122" s="2778"/>
      <c r="Q122" s="2745"/>
      <c r="R122" s="2746"/>
      <c r="S122" s="2746"/>
      <c r="T122" s="2746"/>
      <c r="U122" s="2746"/>
      <c r="V122" s="2746"/>
      <c r="W122" s="2746"/>
      <c r="X122" s="2746"/>
      <c r="Y122" s="2746"/>
      <c r="Z122" s="2746"/>
      <c r="AA122" s="2746"/>
      <c r="AB122" s="2746"/>
      <c r="AC122" s="2746"/>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4"/>
      <c r="O123" s="2754"/>
      <c r="P123" s="2778"/>
      <c r="Q123" s="2745"/>
      <c r="R123" s="2746"/>
      <c r="S123" s="2746"/>
      <c r="T123" s="2746"/>
      <c r="U123" s="2746"/>
      <c r="V123" s="2746"/>
      <c r="W123" s="2746"/>
      <c r="X123" s="2746"/>
      <c r="Y123" s="2746"/>
      <c r="Z123" s="2746"/>
      <c r="AA123" s="2746"/>
      <c r="AB123" s="2746"/>
      <c r="AC123" s="2746"/>
    </row>
    <row r="124" spans="1:29" ht="15" thickTop="1">
      <c r="A124" s="548"/>
      <c r="B124" s="487" t="s">
        <v>1917</v>
      </c>
      <c r="C124" s="503"/>
      <c r="D124" s="503"/>
      <c r="E124" s="532"/>
      <c r="F124" s="532"/>
      <c r="G124" s="532"/>
      <c r="H124" s="532"/>
      <c r="I124" s="532"/>
      <c r="J124" s="532"/>
      <c r="K124" s="533"/>
      <c r="L124" s="534"/>
      <c r="M124" s="535"/>
      <c r="N124" s="2752"/>
      <c r="O124" s="2752"/>
      <c r="P124" s="2777"/>
      <c r="Q124" s="2738"/>
      <c r="R124" s="2724"/>
      <c r="S124" s="2724"/>
      <c r="T124" s="2724"/>
      <c r="U124" s="2724"/>
      <c r="V124" s="2724"/>
      <c r="W124" s="2724"/>
      <c r="X124" s="2724"/>
      <c r="Y124" s="2724"/>
      <c r="Z124" s="2724"/>
      <c r="AA124" s="2724"/>
      <c r="AB124" s="2724"/>
      <c r="AC124" s="2724"/>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3"/>
      <c r="O125" s="2753"/>
      <c r="P125" s="2777"/>
      <c r="Q125" s="2738"/>
      <c r="R125" s="2724"/>
      <c r="S125" s="2724"/>
      <c r="T125" s="2724"/>
      <c r="U125" s="2724"/>
      <c r="V125" s="2724"/>
      <c r="W125" s="2724"/>
      <c r="X125" s="2724"/>
      <c r="Y125" s="2724"/>
      <c r="Z125" s="2724"/>
      <c r="AA125" s="2724"/>
      <c r="AB125" s="2724"/>
      <c r="AC125" s="2724"/>
    </row>
    <row r="126" spans="1:29" ht="15" thickTop="1">
      <c r="A126" s="548"/>
      <c r="B126" s="487">
        <f>B43</f>
        <v>111</v>
      </c>
      <c r="C126" s="503"/>
      <c r="D126" s="503"/>
      <c r="E126" s="503"/>
      <c r="F126" s="503"/>
      <c r="G126" s="503"/>
      <c r="H126" s="532"/>
      <c r="I126" s="532"/>
      <c r="J126" s="532"/>
      <c r="K126" s="533"/>
      <c r="L126" s="534"/>
      <c r="M126" s="535"/>
      <c r="N126" s="2752"/>
      <c r="O126" s="2752"/>
      <c r="P126" s="2777"/>
      <c r="Q126" s="2738"/>
      <c r="R126" s="2724"/>
      <c r="S126" s="2724"/>
      <c r="T126" s="2724"/>
      <c r="U126" s="2724"/>
      <c r="V126" s="2724"/>
      <c r="W126" s="2724"/>
      <c r="X126" s="2724"/>
      <c r="Y126" s="2724"/>
      <c r="Z126" s="2724"/>
      <c r="AA126" s="2724"/>
      <c r="AB126" s="2724"/>
      <c r="AC126" s="2724"/>
    </row>
    <row r="127" spans="1:29" ht="15.75" thickBot="1">
      <c r="A127" s="483"/>
      <c r="B127" s="492"/>
      <c r="C127" s="509"/>
      <c r="D127" s="509"/>
      <c r="E127" s="509"/>
      <c r="F127" s="509"/>
      <c r="G127" s="485"/>
      <c r="H127" s="485"/>
      <c r="I127" s="485"/>
      <c r="J127" s="485"/>
      <c r="K127" s="485"/>
      <c r="L127" s="485"/>
      <c r="M127" s="486"/>
      <c r="N127" s="2753"/>
      <c r="O127" s="2753"/>
      <c r="P127" s="2777"/>
      <c r="Q127" s="2738"/>
      <c r="R127" s="2724"/>
      <c r="S127" s="2724"/>
      <c r="T127" s="2724"/>
      <c r="U127" s="2724"/>
      <c r="V127" s="2724"/>
      <c r="W127" s="2724"/>
      <c r="X127" s="2724"/>
      <c r="Y127" s="2724"/>
      <c r="Z127" s="2724"/>
      <c r="AA127" s="2724"/>
      <c r="AB127" s="2724"/>
      <c r="AC127" s="2724"/>
    </row>
    <row r="128" spans="1:29" ht="15" thickTop="1">
      <c r="A128" s="548"/>
      <c r="B128" s="487">
        <f>B44</f>
        <v>111</v>
      </c>
      <c r="C128" s="472"/>
      <c r="D128" s="472"/>
      <c r="E128" s="472"/>
      <c r="F128" s="472"/>
      <c r="G128" s="532"/>
      <c r="H128" s="532"/>
      <c r="I128" s="532"/>
      <c r="J128" s="532"/>
      <c r="K128" s="533"/>
      <c r="L128" s="534"/>
      <c r="M128" s="535"/>
      <c r="N128" s="2752"/>
      <c r="O128" s="2752"/>
      <c r="P128" s="2777"/>
      <c r="Q128" s="2738"/>
      <c r="R128" s="2724"/>
      <c r="S128" s="2724"/>
      <c r="T128" s="2724"/>
      <c r="U128" s="2724"/>
      <c r="V128" s="2724"/>
      <c r="W128" s="2724"/>
      <c r="X128" s="2724"/>
      <c r="Y128" s="2724"/>
      <c r="Z128" s="2724"/>
      <c r="AA128" s="2724"/>
      <c r="AB128" s="2724"/>
      <c r="AC128" s="2724"/>
    </row>
    <row r="129" spans="1:29" ht="15.75" thickBot="1">
      <c r="A129" s="483"/>
      <c r="B129" s="492"/>
      <c r="C129" s="519"/>
      <c r="D129" s="519"/>
      <c r="E129" s="519"/>
      <c r="F129" s="519"/>
      <c r="G129" s="485"/>
      <c r="H129" s="485"/>
      <c r="I129" s="485"/>
      <c r="J129" s="485"/>
      <c r="K129" s="485"/>
      <c r="L129" s="485"/>
      <c r="M129" s="486"/>
      <c r="N129" s="2753"/>
      <c r="O129" s="2753"/>
      <c r="P129" s="2777"/>
      <c r="Q129" s="2738"/>
      <c r="R129" s="2724"/>
      <c r="S129" s="2724"/>
      <c r="T129" s="2724"/>
      <c r="U129" s="2724"/>
      <c r="V129" s="2724"/>
      <c r="W129" s="2724"/>
      <c r="X129" s="2724"/>
      <c r="Y129" s="2724"/>
      <c r="Z129" s="2724"/>
      <c r="AA129" s="2724"/>
      <c r="AB129" s="2724"/>
      <c r="AC129" s="2724"/>
    </row>
    <row r="130" spans="1:29" s="422" customFormat="1" ht="15" thickTop="1">
      <c r="A130" s="542"/>
      <c r="B130" s="487">
        <f>B45</f>
        <v>111</v>
      </c>
      <c r="C130" s="472"/>
      <c r="D130" s="472"/>
      <c r="E130" s="472"/>
      <c r="F130" s="472"/>
      <c r="G130" s="504"/>
      <c r="H130" s="504"/>
      <c r="I130" s="504"/>
      <c r="J130" s="504"/>
      <c r="K130" s="504"/>
      <c r="L130" s="505"/>
      <c r="M130" s="506"/>
      <c r="N130" s="2754"/>
      <c r="O130" s="2754"/>
      <c r="P130" s="2778"/>
      <c r="Q130" s="2745"/>
      <c r="R130" s="2746"/>
      <c r="S130" s="2746"/>
      <c r="T130" s="2746"/>
      <c r="U130" s="2746"/>
      <c r="V130" s="2746"/>
      <c r="W130" s="2746"/>
      <c r="X130" s="2746"/>
      <c r="Y130" s="2746"/>
      <c r="Z130" s="2746"/>
      <c r="AA130" s="2746"/>
      <c r="AB130" s="2746"/>
      <c r="AC130" s="2746"/>
    </row>
    <row r="131" spans="1:29" s="422" customFormat="1" ht="15.75" thickBot="1">
      <c r="A131" s="517"/>
      <c r="B131" s="648"/>
      <c r="C131" s="519"/>
      <c r="D131" s="519"/>
      <c r="E131" s="519"/>
      <c r="F131" s="519"/>
      <c r="G131" s="540"/>
      <c r="H131" s="540"/>
      <c r="I131" s="540"/>
      <c r="J131" s="540"/>
      <c r="K131" s="540"/>
      <c r="L131" s="540"/>
      <c r="M131" s="541"/>
      <c r="N131" s="2754"/>
      <c r="O131" s="2754"/>
      <c r="P131" s="2778"/>
      <c r="Q131" s="2745"/>
      <c r="R131" s="2746"/>
      <c r="S131" s="2746"/>
      <c r="T131" s="2746"/>
      <c r="U131" s="2746"/>
      <c r="V131" s="2746"/>
      <c r="W131" s="2746"/>
      <c r="X131" s="2746"/>
      <c r="Y131" s="2746"/>
      <c r="Z131" s="2746"/>
      <c r="AA131" s="2746"/>
      <c r="AB131" s="2746"/>
      <c r="AC131" s="2746"/>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36" priority="18" stopIfTrue="1" operator="containsText" text="超过">
      <formula>NOT(ISERROR(SEARCH("超过",F51)))</formula>
    </cfRule>
  </conditionalFormatting>
  <conditionalFormatting sqref="J53">
    <cfRule type="containsText" dxfId="35" priority="17" stopIfTrue="1" operator="containsText" text="超过">
      <formula>NOT(ISERROR(SEARCH("超过",J53)))</formula>
    </cfRule>
  </conditionalFormatting>
  <conditionalFormatting sqref="H53">
    <cfRule type="containsText" dxfId="34" priority="16" stopIfTrue="1" operator="containsText" text="超过">
      <formula>NOT(ISERROR(SEARCH("超过",H53)))</formula>
    </cfRule>
  </conditionalFormatting>
  <conditionalFormatting sqref="F53">
    <cfRule type="containsText" dxfId="33" priority="15" stopIfTrue="1" operator="containsText" text="超过">
      <formula>NOT(ISERROR(SEARCH("超过",F53)))</formula>
    </cfRule>
  </conditionalFormatting>
  <conditionalFormatting sqref="F52 H52 J52">
    <cfRule type="containsText" dxfId="32" priority="14" stopIfTrue="1" operator="containsText" text="超过">
      <formula>NOT(ISERROR(SEARCH("超过",F52)))</formula>
    </cfRule>
  </conditionalFormatting>
  <conditionalFormatting sqref="E51">
    <cfRule type="expression" dxfId="31" priority="13" stopIfTrue="1">
      <formula>$F$51="超过30%"</formula>
    </cfRule>
  </conditionalFormatting>
  <conditionalFormatting sqref="G53">
    <cfRule type="expression" dxfId="30" priority="12" stopIfTrue="1">
      <formula>$H$53="超过30%"</formula>
    </cfRule>
  </conditionalFormatting>
  <conditionalFormatting sqref="E52">
    <cfRule type="expression" dxfId="29" priority="11" stopIfTrue="1">
      <formula>$F$52="超过20%"</formula>
    </cfRule>
  </conditionalFormatting>
  <conditionalFormatting sqref="E53">
    <cfRule type="expression" dxfId="28" priority="10" stopIfTrue="1">
      <formula>$F$53="超过30%"</formula>
    </cfRule>
  </conditionalFormatting>
  <conditionalFormatting sqref="G51">
    <cfRule type="expression" dxfId="27" priority="9" stopIfTrue="1">
      <formula>$H$53+$H$51="超过30%"</formula>
    </cfRule>
  </conditionalFormatting>
  <conditionalFormatting sqref="G52">
    <cfRule type="expression" dxfId="26" priority="8" stopIfTrue="1">
      <formula>$H$52="超过20%"</formula>
    </cfRule>
  </conditionalFormatting>
  <conditionalFormatting sqref="I51">
    <cfRule type="expression" dxfId="25" priority="7" stopIfTrue="1">
      <formula>$J$51="超过30%"</formula>
    </cfRule>
  </conditionalFormatting>
  <conditionalFormatting sqref="I52">
    <cfRule type="expression" dxfId="24" priority="6" stopIfTrue="1">
      <formula>$J$52="超过20%"</formula>
    </cfRule>
  </conditionalFormatting>
  <conditionalFormatting sqref="I53">
    <cfRule type="expression" dxfId="23" priority="5" stopIfTrue="1">
      <formula>$J$53="超过30%"</formula>
    </cfRule>
  </conditionalFormatting>
  <conditionalFormatting sqref="F47">
    <cfRule type="expression" dxfId="22" priority="4">
      <formula>$D$47="简单平均"</formula>
    </cfRule>
  </conditionalFormatting>
  <conditionalFormatting sqref="H47">
    <cfRule type="expression" dxfId="21" priority="3">
      <formula>$D$47="简单平均"</formula>
    </cfRule>
  </conditionalFormatting>
  <conditionalFormatting sqref="J47">
    <cfRule type="expression" dxfId="20" priority="2">
      <formula>$D$47="简单平均"</formula>
    </cfRule>
  </conditionalFormatting>
  <conditionalFormatting sqref="F7:F45 H7:H45 J7:J45">
    <cfRule type="cellIs" dxfId="19"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72" sqref="Q72"/>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8"/>
      <c r="D2" s="908"/>
      <c r="E2" s="908"/>
      <c r="F2" s="909"/>
      <c r="G2" s="908"/>
      <c r="H2" s="908"/>
      <c r="I2" s="908"/>
      <c r="J2" s="908"/>
      <c r="K2" s="910"/>
      <c r="L2" s="2733"/>
      <c r="M2" s="2734"/>
      <c r="N2" s="2734"/>
      <c r="O2" s="2734"/>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3"/>
      <c r="E3" s="908"/>
      <c r="F3" s="909"/>
      <c r="G3" s="908"/>
      <c r="H3" s="908"/>
      <c r="I3" s="908"/>
      <c r="J3" s="908"/>
      <c r="K3" s="910"/>
      <c r="L3" s="2733"/>
      <c r="M3" s="2734"/>
      <c r="N3" s="2734"/>
      <c r="O3" s="2734"/>
      <c r="P3" s="699"/>
      <c r="Q3" s="699"/>
      <c r="R3" s="699"/>
      <c r="S3" s="699"/>
      <c r="T3" s="699"/>
      <c r="U3" s="699"/>
      <c r="V3" s="699"/>
      <c r="W3" s="699"/>
      <c r="X3" s="699"/>
      <c r="Y3" s="699"/>
      <c r="Z3" s="699"/>
      <c r="AA3" s="699"/>
      <c r="AB3" s="716"/>
      <c r="AC3" s="713"/>
    </row>
    <row r="4" spans="1:29" ht="15">
      <c r="A4" s="355" t="s">
        <v>1769</v>
      </c>
      <c r="B4" s="356"/>
      <c r="C4" s="3810" t="s">
        <v>1770</v>
      </c>
      <c r="D4" s="3811"/>
      <c r="E4" s="3812" t="s">
        <v>1771</v>
      </c>
      <c r="F4" s="3813"/>
      <c r="G4" s="3810" t="s">
        <v>1772</v>
      </c>
      <c r="H4" s="3811"/>
      <c r="I4" s="3810" t="s">
        <v>1773</v>
      </c>
      <c r="J4" s="3811"/>
      <c r="K4" s="559" t="s">
        <v>1774</v>
      </c>
      <c r="L4" s="2714"/>
      <c r="M4" s="2715"/>
      <c r="N4" s="2715"/>
      <c r="O4" s="2715"/>
      <c r="P4" s="3814" t="s">
        <v>1775</v>
      </c>
      <c r="Q4" s="3815"/>
      <c r="R4" s="3797" t="s">
        <v>1771</v>
      </c>
      <c r="S4" s="3798"/>
      <c r="T4" s="3797" t="s">
        <v>1772</v>
      </c>
      <c r="U4" s="3798"/>
      <c r="V4" s="3822" t="s">
        <v>1773</v>
      </c>
      <c r="W4" s="3822"/>
      <c r="X4" s="1355"/>
      <c r="Y4" s="3797" t="s">
        <v>1775</v>
      </c>
      <c r="Z4" s="3798"/>
      <c r="AA4" s="3792" t="s">
        <v>1771</v>
      </c>
      <c r="AB4" s="3793" t="s">
        <v>1772</v>
      </c>
      <c r="AC4" s="3792" t="s">
        <v>1773</v>
      </c>
    </row>
    <row r="5" spans="1:29" ht="15">
      <c r="A5" s="358"/>
      <c r="B5" s="359"/>
      <c r="C5" s="3803" t="s">
        <v>1673</v>
      </c>
      <c r="D5" s="3804"/>
      <c r="E5" s="3801" t="s">
        <v>1674</v>
      </c>
      <c r="F5" s="3802"/>
      <c r="G5" s="3803" t="s">
        <v>1675</v>
      </c>
      <c r="H5" s="3804"/>
      <c r="I5" s="3803" t="s">
        <v>1676</v>
      </c>
      <c r="J5" s="3804"/>
      <c r="K5" s="559"/>
      <c r="L5" s="2714"/>
      <c r="M5" s="2715"/>
      <c r="N5" s="2715"/>
      <c r="O5" s="2715"/>
      <c r="P5" s="3816"/>
      <c r="Q5" s="3817"/>
      <c r="R5" s="3799"/>
      <c r="S5" s="3800"/>
      <c r="T5" s="3799"/>
      <c r="U5" s="3800"/>
      <c r="V5" s="3822"/>
      <c r="W5" s="3822"/>
      <c r="X5" s="1355"/>
      <c r="Y5" s="3799"/>
      <c r="Z5" s="3800"/>
      <c r="AA5" s="3793"/>
      <c r="AB5" s="3793"/>
      <c r="AC5" s="3793"/>
    </row>
    <row r="6" spans="1:29" ht="15.75" thickBot="1">
      <c r="A6" s="360"/>
      <c r="B6" s="361"/>
      <c r="C6" s="3861" t="s">
        <v>1919</v>
      </c>
      <c r="D6" s="3862"/>
      <c r="E6" s="3863" t="s">
        <v>1919</v>
      </c>
      <c r="F6" s="3864"/>
      <c r="G6" s="3861" t="s">
        <v>1919</v>
      </c>
      <c r="H6" s="3862"/>
      <c r="I6" s="3861" t="s">
        <v>1919</v>
      </c>
      <c r="J6" s="3862"/>
      <c r="K6" s="559" t="s">
        <v>1678</v>
      </c>
      <c r="L6" s="2714"/>
      <c r="M6" s="2715"/>
      <c r="N6" s="2715"/>
      <c r="O6" s="2715"/>
      <c r="P6" s="3818"/>
      <c r="Q6" s="3819"/>
      <c r="R6" s="3799"/>
      <c r="S6" s="3800"/>
      <c r="T6" s="3820"/>
      <c r="U6" s="3821"/>
      <c r="V6" s="3822"/>
      <c r="W6" s="3822"/>
      <c r="X6" s="1355"/>
      <c r="Y6" s="3820"/>
      <c r="Z6" s="3821"/>
      <c r="AA6" s="3794"/>
      <c r="AB6" s="3794"/>
      <c r="AC6" s="3794"/>
    </row>
    <row r="7" spans="1:29" s="108" customFormat="1" ht="15.75" thickBot="1">
      <c r="A7" s="362" t="s">
        <v>1679</v>
      </c>
      <c r="B7" s="363"/>
      <c r="C7" s="364">
        <f>'数据-取费表'!B2</f>
        <v>44926</v>
      </c>
      <c r="D7" s="365">
        <v>100</v>
      </c>
      <c r="E7" s="366"/>
      <c r="F7" s="367">
        <f>SUMIF(65:65,YEAR(E7)&amp;"-"&amp;INT((MONTH(E7)+2)/3),66:66)</f>
        <v>0</v>
      </c>
      <c r="G7" s="1974"/>
      <c r="H7" s="365">
        <f>SUMIF(65:65,YEAR(G7)&amp;"-"&amp;INT((MONTH(G7)+2)/3),66:66)</f>
        <v>0</v>
      </c>
      <c r="I7" s="1974"/>
      <c r="J7" s="365">
        <f>SUMIF(65:65,YEAR(I7)&amp;"-"&amp;INT((MONTH(I7)+2)/3),66:66)</f>
        <v>0</v>
      </c>
      <c r="K7" s="560"/>
      <c r="L7" s="2716"/>
      <c r="M7" s="2717"/>
      <c r="N7" s="2717"/>
      <c r="O7" s="2717"/>
      <c r="P7" s="3795" t="s">
        <v>1680</v>
      </c>
      <c r="Q7" s="3823"/>
      <c r="R7" s="701" t="s">
        <v>14</v>
      </c>
      <c r="S7" s="702">
        <f t="shared" ref="S7:S15" si="0">F7</f>
        <v>0</v>
      </c>
      <c r="T7" s="701" t="s">
        <v>14</v>
      </c>
      <c r="U7" s="702">
        <f t="shared" ref="U7:U15" si="1">H7</f>
        <v>0</v>
      </c>
      <c r="V7" s="701" t="s">
        <v>14</v>
      </c>
      <c r="W7" s="702">
        <f t="shared" ref="W7:W15" si="2">J7</f>
        <v>0</v>
      </c>
      <c r="X7" s="703"/>
      <c r="Y7" s="3795" t="s">
        <v>1680</v>
      </c>
      <c r="Z7" s="3796"/>
      <c r="AA7" s="704" t="e">
        <f>D7/F7</f>
        <v>#DIV/0!</v>
      </c>
      <c r="AB7" s="704" t="e">
        <f>D7/H7</f>
        <v>#DIV/0!</v>
      </c>
      <c r="AC7" s="704"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6"/>
      <c r="M8" s="2717"/>
      <c r="N8" s="2717"/>
      <c r="O8" s="2717"/>
      <c r="P8" s="3795" t="s">
        <v>1683</v>
      </c>
      <c r="Q8" s="3796"/>
      <c r="R8" s="701" t="s">
        <v>14</v>
      </c>
      <c r="S8" s="702">
        <f t="shared" si="0"/>
        <v>0</v>
      </c>
      <c r="T8" s="701" t="s">
        <v>14</v>
      </c>
      <c r="U8" s="702">
        <f t="shared" si="1"/>
        <v>0</v>
      </c>
      <c r="V8" s="701" t="s">
        <v>14</v>
      </c>
      <c r="W8" s="702">
        <f t="shared" si="2"/>
        <v>0</v>
      </c>
      <c r="X8" s="703"/>
      <c r="Y8" s="3795" t="s">
        <v>1683</v>
      </c>
      <c r="Z8" s="3796"/>
      <c r="AA8" s="704" t="e">
        <f t="shared" ref="AA8:AA40" si="3">D8/F8</f>
        <v>#DIV/0!</v>
      </c>
      <c r="AB8" s="704" t="e">
        <f t="shared" ref="AB8:AB40" si="4">D8/H8</f>
        <v>#DIV/0!</v>
      </c>
      <c r="AC8" s="704" t="e">
        <f t="shared" ref="AC8:AC40" si="5">D8/J8</f>
        <v>#DIV/0!</v>
      </c>
    </row>
    <row r="9" spans="1:29" s="108" customFormat="1">
      <c r="A9" s="369" t="s">
        <v>1684</v>
      </c>
      <c r="B9" s="63" t="s">
        <v>1685</v>
      </c>
      <c r="C9" s="1977"/>
      <c r="D9" s="126">
        <v>100</v>
      </c>
      <c r="E9" s="1977"/>
      <c r="F9" s="126">
        <f>SUMIF(70:70,E9,71:71)-SUMIF(70:70,C9,71:71)+100</f>
        <v>100</v>
      </c>
      <c r="G9" s="1977"/>
      <c r="H9" s="126">
        <f>SUMIF(70:70,G9,71:71)-SUMIF(70:70,C9,71:71)+100</f>
        <v>100</v>
      </c>
      <c r="I9" s="1977"/>
      <c r="J9" s="126">
        <f>SUMIF(70:70,I9,71:71)-SUMIF(70:70,C9,71:71)+100</f>
        <v>100</v>
      </c>
      <c r="K9" s="560"/>
      <c r="L9" s="2716"/>
      <c r="M9" s="2717"/>
      <c r="N9" s="2717"/>
      <c r="O9" s="2771"/>
      <c r="P9" s="3827" t="s">
        <v>1686</v>
      </c>
      <c r="Q9" s="1343" t="str">
        <f t="shared" ref="Q9:Q15" si="6">B9</f>
        <v>用途</v>
      </c>
      <c r="R9" s="701" t="s">
        <v>14</v>
      </c>
      <c r="S9" s="702">
        <f t="shared" si="0"/>
        <v>100</v>
      </c>
      <c r="T9" s="701" t="s">
        <v>14</v>
      </c>
      <c r="U9" s="702">
        <f t="shared" si="1"/>
        <v>100</v>
      </c>
      <c r="V9" s="701" t="s">
        <v>14</v>
      </c>
      <c r="W9" s="702">
        <f t="shared" si="2"/>
        <v>100</v>
      </c>
      <c r="X9" s="703"/>
      <c r="Y9" s="3720"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133</v>
      </c>
      <c r="G10" s="383"/>
      <c r="H10" s="127">
        <f>ROUND(100/'数据-取费表'!G16,0)</f>
        <v>133</v>
      </c>
      <c r="I10" s="383"/>
      <c r="J10" s="127">
        <f>ROUND(100/'数据-取费表'!G16,0)</f>
        <v>133</v>
      </c>
      <c r="K10" s="620"/>
      <c r="L10" s="2718"/>
      <c r="M10" s="2719"/>
      <c r="N10" s="2719"/>
      <c r="O10" s="2772"/>
      <c r="P10" s="3827"/>
      <c r="Q10" s="1343" t="str">
        <f t="shared" si="6"/>
        <v>土地使用年限（年）</v>
      </c>
      <c r="R10" s="701" t="s">
        <v>14</v>
      </c>
      <c r="S10" s="702">
        <f t="shared" si="0"/>
        <v>133</v>
      </c>
      <c r="T10" s="701" t="s">
        <v>14</v>
      </c>
      <c r="U10" s="702">
        <f t="shared" si="1"/>
        <v>133</v>
      </c>
      <c r="V10" s="701" t="s">
        <v>14</v>
      </c>
      <c r="W10" s="702">
        <f t="shared" si="2"/>
        <v>133</v>
      </c>
      <c r="X10" s="703"/>
      <c r="Y10" s="3720"/>
      <c r="Z10" s="52" t="str">
        <f t="shared" si="7"/>
        <v>土地使用年限（年）</v>
      </c>
      <c r="AA10" s="704">
        <f t="shared" si="3"/>
        <v>0.75187969924812026</v>
      </c>
      <c r="AB10" s="704">
        <f t="shared" si="4"/>
        <v>0.75187969924812026</v>
      </c>
      <c r="AC10" s="704">
        <f t="shared" si="5"/>
        <v>0.75187969924812026</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20"/>
      <c r="M11" s="2715"/>
      <c r="N11" s="2715"/>
      <c r="O11" s="2773"/>
      <c r="P11" s="3827"/>
      <c r="Q11" s="1343" t="str">
        <f t="shared" si="6"/>
        <v>容积率</v>
      </c>
      <c r="R11" s="701" t="s">
        <v>14</v>
      </c>
      <c r="S11" s="702" t="e">
        <f t="shared" si="0"/>
        <v>#N/A</v>
      </c>
      <c r="T11" s="701" t="s">
        <v>14</v>
      </c>
      <c r="U11" s="702" t="e">
        <f t="shared" si="1"/>
        <v>#N/A</v>
      </c>
      <c r="V11" s="701" t="s">
        <v>14</v>
      </c>
      <c r="W11" s="702" t="e">
        <f t="shared" si="2"/>
        <v>#N/A</v>
      </c>
      <c r="X11" s="703"/>
      <c r="Y11" s="3720"/>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6"/>
      <c r="M12" s="2717"/>
      <c r="N12" s="2717"/>
      <c r="O12" s="2771"/>
      <c r="P12" s="3827"/>
      <c r="Q12" s="1343">
        <f t="shared" si="6"/>
        <v>111</v>
      </c>
      <c r="R12" s="701" t="s">
        <v>14</v>
      </c>
      <c r="S12" s="702">
        <f t="shared" si="0"/>
        <v>100</v>
      </c>
      <c r="T12" s="701" t="s">
        <v>14</v>
      </c>
      <c r="U12" s="702">
        <f t="shared" si="1"/>
        <v>100</v>
      </c>
      <c r="V12" s="701" t="s">
        <v>14</v>
      </c>
      <c r="W12" s="702">
        <f t="shared" si="2"/>
        <v>100</v>
      </c>
      <c r="X12" s="703"/>
      <c r="Y12" s="3720"/>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1"/>
      <c r="M13" s="2715"/>
      <c r="N13" s="2715"/>
      <c r="O13" s="2773"/>
      <c r="P13" s="3827"/>
      <c r="Q13" s="1343">
        <f t="shared" si="6"/>
        <v>111</v>
      </c>
      <c r="R13" s="701" t="s">
        <v>14</v>
      </c>
      <c r="S13" s="702">
        <f t="shared" si="0"/>
        <v>100</v>
      </c>
      <c r="T13" s="701" t="s">
        <v>14</v>
      </c>
      <c r="U13" s="702">
        <f t="shared" si="1"/>
        <v>100</v>
      </c>
      <c r="V13" s="701" t="s">
        <v>14</v>
      </c>
      <c r="W13" s="702">
        <f t="shared" si="2"/>
        <v>100</v>
      </c>
      <c r="X13" s="703"/>
      <c r="Y13" s="3720"/>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1"/>
      <c r="M14" s="2715"/>
      <c r="N14" s="2715"/>
      <c r="O14" s="2773"/>
      <c r="P14" s="3827"/>
      <c r="Q14" s="1343">
        <f t="shared" si="6"/>
        <v>111</v>
      </c>
      <c r="R14" s="701" t="s">
        <v>14</v>
      </c>
      <c r="S14" s="702">
        <f t="shared" si="0"/>
        <v>100</v>
      </c>
      <c r="T14" s="701" t="s">
        <v>14</v>
      </c>
      <c r="U14" s="702">
        <f t="shared" si="1"/>
        <v>100</v>
      </c>
      <c r="V14" s="701" t="s">
        <v>14</v>
      </c>
      <c r="W14" s="702">
        <f t="shared" si="2"/>
        <v>100</v>
      </c>
      <c r="X14" s="703"/>
      <c r="Y14" s="3720"/>
      <c r="Z14" s="52">
        <f t="shared" si="7"/>
        <v>111</v>
      </c>
      <c r="AA14" s="704">
        <f t="shared" si="3"/>
        <v>1</v>
      </c>
      <c r="AB14" s="704">
        <f t="shared" si="4"/>
        <v>1</v>
      </c>
      <c r="AC14" s="704">
        <f t="shared" si="5"/>
        <v>1</v>
      </c>
    </row>
    <row r="15" spans="1:29" ht="57">
      <c r="A15" s="391" t="s">
        <v>1690</v>
      </c>
      <c r="B15" s="577" t="s">
        <v>1920</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1"/>
      <c r="M15" s="2715"/>
      <c r="N15" s="2715"/>
      <c r="O15" s="2773"/>
      <c r="P15" s="3829" t="s">
        <v>1691</v>
      </c>
      <c r="Q15" s="1352" t="str">
        <f t="shared" si="6"/>
        <v>产业集聚程度</v>
      </c>
      <c r="R15" s="705" t="s">
        <v>14</v>
      </c>
      <c r="S15" s="706">
        <f t="shared" si="0"/>
        <v>100</v>
      </c>
      <c r="T15" s="705" t="s">
        <v>14</v>
      </c>
      <c r="U15" s="706">
        <f t="shared" si="1"/>
        <v>100</v>
      </c>
      <c r="V15" s="705" t="s">
        <v>14</v>
      </c>
      <c r="W15" s="706">
        <f t="shared" si="2"/>
        <v>100</v>
      </c>
      <c r="X15" s="1355"/>
      <c r="Y15" s="3829" t="s">
        <v>1691</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1"/>
      <c r="M16" s="2715"/>
      <c r="N16" s="2715"/>
      <c r="O16" s="2773"/>
      <c r="P16" s="3830"/>
      <c r="Q16" s="1352"/>
      <c r="R16" s="705"/>
      <c r="S16" s="706"/>
      <c r="T16" s="705"/>
      <c r="U16" s="706"/>
      <c r="V16" s="705"/>
      <c r="W16" s="706"/>
      <c r="X16" s="1355"/>
      <c r="Y16" s="3830"/>
      <c r="Z16" s="1356"/>
      <c r="AA16" s="1353">
        <v>1</v>
      </c>
      <c r="AB16" s="1353">
        <v>1</v>
      </c>
      <c r="AC16" s="1353">
        <v>1</v>
      </c>
    </row>
    <row r="17" spans="1:29" ht="85.5">
      <c r="A17" s="379"/>
      <c r="B17" s="579" t="s">
        <v>1833</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1"/>
      <c r="M17" s="2715"/>
      <c r="N17" s="2715"/>
      <c r="O17" s="2773"/>
      <c r="P17" s="3830"/>
      <c r="Q17" s="1352" t="str">
        <f>B17</f>
        <v>交通便捷度</v>
      </c>
      <c r="R17" s="705" t="s">
        <v>14</v>
      </c>
      <c r="S17" s="706">
        <f>F17</f>
        <v>100</v>
      </c>
      <c r="T17" s="705" t="s">
        <v>14</v>
      </c>
      <c r="U17" s="706">
        <f>H17</f>
        <v>100</v>
      </c>
      <c r="V17" s="705" t="s">
        <v>14</v>
      </c>
      <c r="W17" s="706">
        <f>J17</f>
        <v>100</v>
      </c>
      <c r="X17" s="1355"/>
      <c r="Y17" s="3830"/>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1"/>
      <c r="M18" s="2715"/>
      <c r="N18" s="2715"/>
      <c r="O18" s="2773"/>
      <c r="P18" s="3830"/>
      <c r="Q18" s="1352"/>
      <c r="R18" s="705"/>
      <c r="S18" s="706"/>
      <c r="T18" s="705"/>
      <c r="U18" s="706"/>
      <c r="V18" s="705"/>
      <c r="W18" s="706"/>
      <c r="X18" s="1355"/>
      <c r="Y18" s="3830"/>
      <c r="Z18" s="1356"/>
      <c r="AA18" s="1353">
        <v>1</v>
      </c>
      <c r="AB18" s="1353">
        <v>1</v>
      </c>
      <c r="AC18" s="1353">
        <v>1</v>
      </c>
    </row>
    <row r="19" spans="1:29" ht="15">
      <c r="A19" s="379"/>
      <c r="B19" s="579" t="s">
        <v>1871</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1"/>
      <c r="M19" s="2715"/>
      <c r="N19" s="2715"/>
      <c r="O19" s="2773"/>
      <c r="P19" s="3830"/>
      <c r="Q19" s="1352" t="str">
        <f t="shared" ref="Q19:Q33" si="8">B19</f>
        <v>区域土地利用方向</v>
      </c>
      <c r="R19" s="705" t="s">
        <v>14</v>
      </c>
      <c r="S19" s="706">
        <f>F19</f>
        <v>100</v>
      </c>
      <c r="T19" s="705" t="s">
        <v>14</v>
      </c>
      <c r="U19" s="706">
        <f>H19</f>
        <v>100</v>
      </c>
      <c r="V19" s="705" t="s">
        <v>14</v>
      </c>
      <c r="W19" s="706">
        <f>J19</f>
        <v>100</v>
      </c>
      <c r="X19" s="1355"/>
      <c r="Y19" s="3830"/>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1"/>
      <c r="M20" s="2715"/>
      <c r="N20" s="2715"/>
      <c r="O20" s="2773"/>
      <c r="P20" s="3830"/>
      <c r="Q20" s="1352"/>
      <c r="R20" s="705"/>
      <c r="S20" s="706"/>
      <c r="T20" s="705"/>
      <c r="U20" s="706"/>
      <c r="V20" s="705"/>
      <c r="W20" s="706"/>
      <c r="X20" s="1355"/>
      <c r="Y20" s="3830"/>
      <c r="Z20" s="1356"/>
      <c r="AA20" s="1353"/>
      <c r="AB20" s="1353"/>
      <c r="AC20" s="1353"/>
    </row>
    <row r="21" spans="1:29" ht="71.25">
      <c r="A21" s="358"/>
      <c r="B21" s="579" t="s">
        <v>1921</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1"/>
      <c r="M21" s="2715"/>
      <c r="N21" s="2715"/>
      <c r="O21" s="2773"/>
      <c r="P21" s="3830"/>
      <c r="Q21" s="1352" t="str">
        <f t="shared" si="8"/>
        <v>环境状况</v>
      </c>
      <c r="R21" s="705" t="s">
        <v>14</v>
      </c>
      <c r="S21" s="706">
        <f>F21</f>
        <v>100</v>
      </c>
      <c r="T21" s="705" t="s">
        <v>14</v>
      </c>
      <c r="U21" s="706">
        <f>H21</f>
        <v>100</v>
      </c>
      <c r="V21" s="705" t="s">
        <v>14</v>
      </c>
      <c r="W21" s="706">
        <f>J21</f>
        <v>100</v>
      </c>
      <c r="X21" s="1355"/>
      <c r="Y21" s="3830"/>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1"/>
      <c r="M22" s="2715"/>
      <c r="N22" s="2715"/>
      <c r="O22" s="2773"/>
      <c r="P22" s="3830"/>
      <c r="Q22" s="1352"/>
      <c r="R22" s="705"/>
      <c r="S22" s="706"/>
      <c r="T22" s="705"/>
      <c r="U22" s="706"/>
      <c r="V22" s="705"/>
      <c r="W22" s="706"/>
      <c r="X22" s="1355"/>
      <c r="Y22" s="3830"/>
      <c r="Z22" s="1356"/>
      <c r="AA22" s="1353">
        <v>1</v>
      </c>
      <c r="AB22" s="1353">
        <v>1</v>
      </c>
      <c r="AC22" s="1353">
        <v>1</v>
      </c>
    </row>
    <row r="23" spans="1:29" s="108" customFormat="1" ht="42.75">
      <c r="A23" s="597"/>
      <c r="B23" s="581" t="s">
        <v>1778</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6"/>
      <c r="M23" s="2717"/>
      <c r="N23" s="2717"/>
      <c r="O23" s="2771"/>
      <c r="P23" s="3830"/>
      <c r="Q23" s="1343" t="str">
        <f t="shared" si="8"/>
        <v>公共配套设施</v>
      </c>
      <c r="R23" s="701" t="s">
        <v>14</v>
      </c>
      <c r="S23" s="702">
        <f>F23</f>
        <v>100</v>
      </c>
      <c r="T23" s="701" t="s">
        <v>14</v>
      </c>
      <c r="U23" s="702">
        <f>H23</f>
        <v>100</v>
      </c>
      <c r="V23" s="701" t="s">
        <v>14</v>
      </c>
      <c r="W23" s="702">
        <f>J23</f>
        <v>100</v>
      </c>
      <c r="X23" s="703"/>
      <c r="Y23" s="3830"/>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6"/>
      <c r="M24" s="2717"/>
      <c r="N24" s="2717"/>
      <c r="O24" s="2771"/>
      <c r="P24" s="3830"/>
      <c r="Q24" s="1343"/>
      <c r="R24" s="701"/>
      <c r="S24" s="702"/>
      <c r="T24" s="701"/>
      <c r="U24" s="702"/>
      <c r="V24" s="701"/>
      <c r="W24" s="702"/>
      <c r="X24" s="703"/>
      <c r="Y24" s="3830"/>
      <c r="Z24" s="52"/>
      <c r="AA24" s="704">
        <v>1</v>
      </c>
      <c r="AB24" s="704">
        <v>1</v>
      </c>
      <c r="AC24" s="704">
        <v>1</v>
      </c>
    </row>
    <row r="25" spans="1:29" s="108" customFormat="1" ht="28.5">
      <c r="A25" s="597"/>
      <c r="B25" s="581" t="s">
        <v>1779</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6"/>
      <c r="M25" s="2717"/>
      <c r="N25" s="2717"/>
      <c r="O25" s="2771"/>
      <c r="P25" s="3830"/>
      <c r="Q25" s="1343" t="str">
        <f t="shared" ref="Q25" si="9">B25</f>
        <v>基础设施水平</v>
      </c>
      <c r="R25" s="701" t="s">
        <v>14</v>
      </c>
      <c r="S25" s="702">
        <f>F25</f>
        <v>100</v>
      </c>
      <c r="T25" s="701" t="s">
        <v>14</v>
      </c>
      <c r="U25" s="702">
        <f>H25</f>
        <v>100</v>
      </c>
      <c r="V25" s="701" t="s">
        <v>14</v>
      </c>
      <c r="W25" s="702">
        <f>J25</f>
        <v>100</v>
      </c>
      <c r="X25" s="703"/>
      <c r="Y25" s="3830"/>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6"/>
      <c r="M26" s="2717"/>
      <c r="N26" s="2717"/>
      <c r="O26" s="2771"/>
      <c r="P26" s="3830"/>
      <c r="Q26" s="1343"/>
      <c r="R26" s="701"/>
      <c r="S26" s="702"/>
      <c r="T26" s="701"/>
      <c r="U26" s="702"/>
      <c r="V26" s="701"/>
      <c r="W26" s="702"/>
      <c r="X26" s="703"/>
      <c r="Y26" s="3830"/>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21"/>
      <c r="M27" s="2715"/>
      <c r="N27" s="2715"/>
      <c r="O27" s="2773"/>
      <c r="P27" s="3830"/>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830"/>
      <c r="Z27" s="1356" t="str">
        <f t="shared" ref="Z27:Z40" si="13">Q27</f>
        <v>临街状况</v>
      </c>
      <c r="AA27" s="1353">
        <f t="shared" si="3"/>
        <v>1</v>
      </c>
      <c r="AB27" s="1353">
        <f t="shared" si="4"/>
        <v>1</v>
      </c>
      <c r="AC27" s="1353">
        <f t="shared" si="5"/>
        <v>1</v>
      </c>
    </row>
    <row r="28" spans="1:29" ht="27">
      <c r="A28" s="379"/>
      <c r="B28" s="581" t="s">
        <v>1815</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1"/>
      <c r="M28" s="2715"/>
      <c r="N28" s="2715"/>
      <c r="O28" s="2773"/>
      <c r="P28" s="3830"/>
      <c r="Q28" s="1352" t="str">
        <f t="shared" si="8"/>
        <v>毗邻道路的类型与等级</v>
      </c>
      <c r="R28" s="705" t="s">
        <v>14</v>
      </c>
      <c r="S28" s="706">
        <f t="shared" si="10"/>
        <v>100</v>
      </c>
      <c r="T28" s="705" t="s">
        <v>14</v>
      </c>
      <c r="U28" s="706">
        <f t="shared" si="11"/>
        <v>100</v>
      </c>
      <c r="V28" s="705" t="s">
        <v>14</v>
      </c>
      <c r="W28" s="706">
        <f t="shared" si="12"/>
        <v>100</v>
      </c>
      <c r="X28" s="1355"/>
      <c r="Y28" s="3830"/>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1"/>
      <c r="M29" s="2715"/>
      <c r="N29" s="2715"/>
      <c r="O29" s="2773"/>
      <c r="P29" s="3830"/>
      <c r="Q29" s="1352"/>
      <c r="R29" s="705"/>
      <c r="S29" s="706"/>
      <c r="T29" s="705"/>
      <c r="U29" s="706"/>
      <c r="V29" s="705"/>
      <c r="W29" s="706"/>
      <c r="X29" s="1355"/>
      <c r="Y29" s="3830"/>
      <c r="Z29" s="1356"/>
      <c r="AA29" s="1353">
        <v>1</v>
      </c>
      <c r="AB29" s="1353">
        <v>1</v>
      </c>
      <c r="AC29" s="1353">
        <v>1</v>
      </c>
    </row>
    <row r="30" spans="1:29" ht="15">
      <c r="A30" s="379"/>
      <c r="B30" s="602" t="s">
        <v>1873</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1"/>
      <c r="M30" s="2715"/>
      <c r="N30" s="2715"/>
      <c r="O30" s="2773"/>
      <c r="P30" s="3830"/>
      <c r="Q30" s="1352" t="str">
        <f t="shared" si="8"/>
        <v>土地级别</v>
      </c>
      <c r="R30" s="705" t="s">
        <v>14</v>
      </c>
      <c r="S30" s="706">
        <f t="shared" si="10"/>
        <v>100</v>
      </c>
      <c r="T30" s="705" t="s">
        <v>14</v>
      </c>
      <c r="U30" s="706">
        <f t="shared" si="11"/>
        <v>100</v>
      </c>
      <c r="V30" s="705" t="s">
        <v>14</v>
      </c>
      <c r="W30" s="706">
        <f t="shared" si="12"/>
        <v>100</v>
      </c>
      <c r="X30" s="1355"/>
      <c r="Y30" s="3830"/>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1"/>
      <c r="M31" s="2715"/>
      <c r="N31" s="2715"/>
      <c r="O31" s="2773"/>
      <c r="P31" s="3830"/>
      <c r="Q31" s="1352">
        <f t="shared" si="8"/>
        <v>111</v>
      </c>
      <c r="R31" s="705" t="s">
        <v>14</v>
      </c>
      <c r="S31" s="706">
        <f t="shared" si="10"/>
        <v>100</v>
      </c>
      <c r="T31" s="705" t="s">
        <v>14</v>
      </c>
      <c r="U31" s="706">
        <f t="shared" si="11"/>
        <v>100</v>
      </c>
      <c r="V31" s="705" t="s">
        <v>14</v>
      </c>
      <c r="W31" s="706">
        <f t="shared" si="12"/>
        <v>100</v>
      </c>
      <c r="X31" s="1355"/>
      <c r="Y31" s="3830"/>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1"/>
      <c r="M32" s="2715"/>
      <c r="N32" s="2715"/>
      <c r="O32" s="2773"/>
      <c r="P32" s="3856" t="s">
        <v>1696</v>
      </c>
      <c r="Q32" s="1352">
        <f t="shared" si="8"/>
        <v>111</v>
      </c>
      <c r="R32" s="705" t="s">
        <v>14</v>
      </c>
      <c r="S32" s="706">
        <f t="shared" si="10"/>
        <v>100</v>
      </c>
      <c r="T32" s="705" t="s">
        <v>14</v>
      </c>
      <c r="U32" s="706">
        <f t="shared" si="11"/>
        <v>100</v>
      </c>
      <c r="V32" s="705" t="s">
        <v>14</v>
      </c>
      <c r="W32" s="706">
        <f t="shared" si="12"/>
        <v>100</v>
      </c>
      <c r="X32" s="1355"/>
      <c r="Y32" s="3834" t="s">
        <v>1696</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20"/>
      <c r="M33" s="2722"/>
      <c r="N33" s="2722"/>
      <c r="O33" s="2774"/>
      <c r="P33" s="3834"/>
      <c r="Q33" s="1352">
        <f t="shared" si="8"/>
        <v>111</v>
      </c>
      <c r="R33" s="708" t="s">
        <v>14</v>
      </c>
      <c r="S33" s="709">
        <f t="shared" si="10"/>
        <v>100</v>
      </c>
      <c r="T33" s="708" t="s">
        <v>14</v>
      </c>
      <c r="U33" s="709">
        <f t="shared" si="11"/>
        <v>100</v>
      </c>
      <c r="V33" s="708" t="s">
        <v>14</v>
      </c>
      <c r="W33" s="709">
        <f t="shared" si="12"/>
        <v>100</v>
      </c>
      <c r="X33" s="710"/>
      <c r="Y33" s="3834"/>
      <c r="Z33" s="711">
        <f t="shared" si="13"/>
        <v>111</v>
      </c>
      <c r="AA33" s="1353">
        <f t="shared" si="3"/>
        <v>1</v>
      </c>
      <c r="AB33" s="1353">
        <f t="shared" si="4"/>
        <v>1</v>
      </c>
      <c r="AC33" s="1353">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1"/>
      <c r="M34" s="2715"/>
      <c r="N34" s="2715"/>
      <c r="O34" s="2773"/>
      <c r="P34" s="3834"/>
      <c r="Q34" s="1352" t="str">
        <f>B34</f>
        <v>宗地面积</v>
      </c>
      <c r="R34" s="705" t="s">
        <v>14</v>
      </c>
      <c r="S34" s="706" t="e">
        <f t="shared" si="10"/>
        <v>#N/A</v>
      </c>
      <c r="T34" s="705" t="s">
        <v>14</v>
      </c>
      <c r="U34" s="706" t="e">
        <f t="shared" si="11"/>
        <v>#N/A</v>
      </c>
      <c r="V34" s="705" t="s">
        <v>14</v>
      </c>
      <c r="W34" s="706" t="e">
        <f t="shared" si="12"/>
        <v>#N/A</v>
      </c>
      <c r="X34" s="1355"/>
      <c r="Y34" s="3834"/>
      <c r="Z34" s="1356" t="str">
        <f t="shared" si="13"/>
        <v>宗地面积</v>
      </c>
      <c r="AA34" s="1353" t="e">
        <f t="shared" si="3"/>
        <v>#N/A</v>
      </c>
      <c r="AB34" s="1353" t="e">
        <f t="shared" si="4"/>
        <v>#N/A</v>
      </c>
      <c r="AC34" s="1353" t="e">
        <f t="shared" si="5"/>
        <v>#N/A</v>
      </c>
    </row>
    <row r="35" spans="1:31" ht="15">
      <c r="A35" s="423"/>
      <c r="B35" s="375" t="s">
        <v>1875</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1"/>
      <c r="M35" s="2715"/>
      <c r="N35" s="2715"/>
      <c r="O35" s="2773"/>
      <c r="P35" s="3834"/>
      <c r="Q35" s="1352" t="str">
        <f t="shared" ref="Q35:Q40" si="14">B35</f>
        <v>宗地形状</v>
      </c>
      <c r="R35" s="705" t="s">
        <v>14</v>
      </c>
      <c r="S35" s="706">
        <f t="shared" si="10"/>
        <v>100</v>
      </c>
      <c r="T35" s="705" t="s">
        <v>14</v>
      </c>
      <c r="U35" s="706">
        <f t="shared" si="11"/>
        <v>100</v>
      </c>
      <c r="V35" s="705" t="s">
        <v>14</v>
      </c>
      <c r="W35" s="706">
        <f t="shared" si="12"/>
        <v>100</v>
      </c>
      <c r="X35" s="1355"/>
      <c r="Y35" s="3834"/>
      <c r="Z35" s="1356" t="str">
        <f t="shared" si="13"/>
        <v>宗地形状</v>
      </c>
      <c r="AA35" s="1353">
        <f t="shared" si="3"/>
        <v>1</v>
      </c>
      <c r="AB35" s="1353">
        <f t="shared" si="4"/>
        <v>1</v>
      </c>
      <c r="AC35" s="1353">
        <f t="shared" si="5"/>
        <v>1</v>
      </c>
    </row>
    <row r="36" spans="1:31" s="108" customFormat="1" ht="15">
      <c r="A36" s="424"/>
      <c r="B36" s="375" t="s">
        <v>1877</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6"/>
      <c r="M36" s="2717"/>
      <c r="N36" s="2717"/>
      <c r="O36" s="2771"/>
      <c r="P36" s="3834"/>
      <c r="Q36" s="1352" t="str">
        <f t="shared" si="14"/>
        <v>宗地开发程度</v>
      </c>
      <c r="R36" s="701" t="s">
        <v>14</v>
      </c>
      <c r="S36" s="702">
        <f t="shared" si="10"/>
        <v>100</v>
      </c>
      <c r="T36" s="701" t="s">
        <v>14</v>
      </c>
      <c r="U36" s="702">
        <f t="shared" si="11"/>
        <v>100</v>
      </c>
      <c r="V36" s="701" t="s">
        <v>14</v>
      </c>
      <c r="W36" s="702">
        <f t="shared" si="12"/>
        <v>100</v>
      </c>
      <c r="X36" s="703"/>
      <c r="Y36" s="3834"/>
      <c r="Z36" s="52" t="str">
        <f t="shared" si="13"/>
        <v>宗地开发程度</v>
      </c>
      <c r="AA36" s="704">
        <f t="shared" si="3"/>
        <v>1</v>
      </c>
      <c r="AB36" s="704">
        <f t="shared" si="4"/>
        <v>1</v>
      </c>
      <c r="AC36" s="704">
        <f t="shared" si="5"/>
        <v>1</v>
      </c>
    </row>
    <row r="37" spans="1:31" ht="15">
      <c r="A37" s="423"/>
      <c r="B37" s="375" t="s">
        <v>1878</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1"/>
      <c r="M37" s="2715"/>
      <c r="N37" s="2715"/>
      <c r="O37" s="2773"/>
      <c r="P37" s="3834" t="s">
        <v>1696</v>
      </c>
      <c r="Q37" s="1352" t="str">
        <f t="shared" si="14"/>
        <v>工程地质条件</v>
      </c>
      <c r="R37" s="705" t="s">
        <v>14</v>
      </c>
      <c r="S37" s="706">
        <f t="shared" si="10"/>
        <v>100</v>
      </c>
      <c r="T37" s="705" t="s">
        <v>14</v>
      </c>
      <c r="U37" s="706">
        <f t="shared" si="11"/>
        <v>100</v>
      </c>
      <c r="V37" s="705" t="s">
        <v>14</v>
      </c>
      <c r="W37" s="706">
        <f t="shared" si="12"/>
        <v>100</v>
      </c>
      <c r="X37" s="1355"/>
      <c r="Y37" s="3834" t="s">
        <v>1696</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1"/>
      <c r="M38" s="2715"/>
      <c r="N38" s="2715"/>
      <c r="O38" s="2773"/>
      <c r="P38" s="3834"/>
      <c r="Q38" s="1352">
        <f t="shared" si="14"/>
        <v>111</v>
      </c>
      <c r="R38" s="705" t="s">
        <v>14</v>
      </c>
      <c r="S38" s="706">
        <f t="shared" si="10"/>
        <v>100</v>
      </c>
      <c r="T38" s="705" t="s">
        <v>14</v>
      </c>
      <c r="U38" s="706">
        <f t="shared" si="11"/>
        <v>100</v>
      </c>
      <c r="V38" s="705" t="s">
        <v>14</v>
      </c>
      <c r="W38" s="706">
        <f t="shared" si="12"/>
        <v>100</v>
      </c>
      <c r="X38" s="1355"/>
      <c r="Y38" s="3834"/>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1"/>
      <c r="M39" s="2715"/>
      <c r="N39" s="2715"/>
      <c r="O39" s="2773"/>
      <c r="P39" s="3834"/>
      <c r="Q39" s="1352">
        <f t="shared" si="14"/>
        <v>111</v>
      </c>
      <c r="R39" s="705" t="s">
        <v>14</v>
      </c>
      <c r="S39" s="706">
        <f t="shared" si="10"/>
        <v>100</v>
      </c>
      <c r="T39" s="705" t="s">
        <v>14</v>
      </c>
      <c r="U39" s="706">
        <f t="shared" si="11"/>
        <v>100</v>
      </c>
      <c r="V39" s="705" t="s">
        <v>14</v>
      </c>
      <c r="W39" s="706">
        <f t="shared" si="12"/>
        <v>100</v>
      </c>
      <c r="X39" s="1355"/>
      <c r="Y39" s="3834"/>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20"/>
      <c r="M40" s="2722"/>
      <c r="N40" s="2722"/>
      <c r="O40" s="2774"/>
      <c r="P40" s="3834"/>
      <c r="Q40" s="1352">
        <f t="shared" si="14"/>
        <v>111</v>
      </c>
      <c r="R40" s="708" t="s">
        <v>14</v>
      </c>
      <c r="S40" s="709">
        <f t="shared" si="10"/>
        <v>100</v>
      </c>
      <c r="T40" s="708" t="s">
        <v>14</v>
      </c>
      <c r="U40" s="709">
        <f t="shared" si="11"/>
        <v>100</v>
      </c>
      <c r="V40" s="708" t="s">
        <v>14</v>
      </c>
      <c r="W40" s="709">
        <f t="shared" si="12"/>
        <v>100</v>
      </c>
      <c r="X40" s="710"/>
      <c r="Y40" s="3834"/>
      <c r="Z40" s="711">
        <f t="shared" si="13"/>
        <v>111</v>
      </c>
      <c r="AA40" s="1353">
        <f t="shared" si="3"/>
        <v>1</v>
      </c>
      <c r="AB40" s="1353">
        <f t="shared" si="4"/>
        <v>1</v>
      </c>
      <c r="AC40" s="1353">
        <f t="shared" si="5"/>
        <v>1</v>
      </c>
    </row>
    <row r="41" spans="1:31" ht="15">
      <c r="A41" s="430" t="s">
        <v>1844</v>
      </c>
      <c r="B41" s="1982" t="s">
        <v>1922</v>
      </c>
      <c r="C41" s="630" t="s">
        <v>0</v>
      </c>
      <c r="D41" s="432"/>
      <c r="E41" s="433"/>
      <c r="F41" s="434"/>
      <c r="G41" s="435"/>
      <c r="H41" s="436"/>
      <c r="I41" s="433"/>
      <c r="J41" s="436"/>
      <c r="K41" s="714"/>
      <c r="L41" s="2723"/>
      <c r="M41" s="2715"/>
      <c r="N41" s="2715"/>
      <c r="O41" s="2724"/>
      <c r="P41" s="3827" t="str">
        <f>A41</f>
        <v>成交单价</v>
      </c>
      <c r="Q41" s="3827"/>
      <c r="R41" s="3822">
        <f>E41</f>
        <v>0</v>
      </c>
      <c r="S41" s="3822"/>
      <c r="T41" s="3822">
        <f>G41</f>
        <v>0</v>
      </c>
      <c r="U41" s="3822"/>
      <c r="V41" s="3822">
        <f>I41</f>
        <v>0</v>
      </c>
      <c r="W41" s="3822"/>
      <c r="X41" s="690"/>
      <c r="Y41" s="712"/>
      <c r="Z41" s="690"/>
      <c r="AA41" s="690"/>
      <c r="AB41" s="690"/>
      <c r="AC41" s="690"/>
    </row>
    <row r="42" spans="1:31" ht="15.75" thickBot="1">
      <c r="A42" s="437" t="s">
        <v>1793</v>
      </c>
      <c r="B42" s="631"/>
      <c r="C42" s="440" t="e">
        <f>R43</f>
        <v>#DIV/0!</v>
      </c>
      <c r="D42" s="2317" t="s">
        <v>2138</v>
      </c>
      <c r="E42" s="440" t="e">
        <f>R42</f>
        <v>#DIV/0!</v>
      </c>
      <c r="F42" s="2318"/>
      <c r="G42" s="439" t="e">
        <f>T42</f>
        <v>#DIV/0!</v>
      </c>
      <c r="H42" s="2318"/>
      <c r="I42" s="440" t="e">
        <f>V42</f>
        <v>#DIV/0!</v>
      </c>
      <c r="J42" s="2318"/>
      <c r="K42" s="2320">
        <f>F42+H42+J42</f>
        <v>0</v>
      </c>
      <c r="L42" s="2723"/>
      <c r="M42" s="2715"/>
      <c r="N42" s="2715"/>
      <c r="O42" s="2724"/>
      <c r="P42" s="3827" t="str">
        <f>A42</f>
        <v>比较价值（元/平方米）</v>
      </c>
      <c r="Q42" s="3827"/>
      <c r="R42" s="3858" t="e">
        <f>ROUND(PRODUCT(R41,AA7:AA40),0)</f>
        <v>#DIV/0!</v>
      </c>
      <c r="S42" s="3858"/>
      <c r="T42" s="3858" t="e">
        <f>ROUND(PRODUCT(T41,AB7:AB40),0)</f>
        <v>#DIV/0!</v>
      </c>
      <c r="U42" s="3858"/>
      <c r="V42" s="3858" t="e">
        <f>ROUND(PRODUCT(V41,AC7:AC40),0)</f>
        <v>#DIV/0!</v>
      </c>
      <c r="W42" s="3858"/>
      <c r="X42" s="690"/>
      <c r="Y42" s="690"/>
      <c r="Z42" s="690"/>
      <c r="AA42" s="690"/>
      <c r="AB42" s="690"/>
      <c r="AC42" s="690"/>
    </row>
    <row r="43" spans="1:31" ht="15.75" thickBot="1">
      <c r="A43" s="441" t="s">
        <v>1794</v>
      </c>
      <c r="B43" s="442"/>
      <c r="C43" s="443" t="e">
        <f>R43</f>
        <v>#DIV/0!</v>
      </c>
      <c r="D43" s="443"/>
      <c r="E43" s="443"/>
      <c r="F43" s="443"/>
      <c r="G43" s="443"/>
      <c r="H43" s="443"/>
      <c r="I43" s="443"/>
      <c r="J43" s="443"/>
      <c r="K43" s="715"/>
      <c r="L43" s="2723"/>
      <c r="M43" s="2715"/>
      <c r="N43" s="2715"/>
      <c r="O43" s="2724"/>
      <c r="P43" s="3824" t="str">
        <f>A43</f>
        <v>估价对象XX用房的比较价值（楼面单价，元/平方米）</v>
      </c>
      <c r="Q43" s="3825"/>
      <c r="R43" s="3859" t="e">
        <f>ROUND(IF(D42="简单平均",AVERAGE(R42:W42),R42*F42+T42*H42+V42*J42),0)</f>
        <v>#DIV/0!</v>
      </c>
      <c r="S43" s="3859"/>
      <c r="T43" s="3859"/>
      <c r="U43" s="3859"/>
      <c r="V43" s="3859"/>
      <c r="W43" s="3859"/>
      <c r="X43" s="690"/>
      <c r="Y43" s="690"/>
      <c r="Z43" s="690"/>
      <c r="AA43" s="690"/>
      <c r="AB43" s="690"/>
      <c r="AC43" s="690"/>
    </row>
    <row r="44" spans="1:31">
      <c r="A44" s="2724"/>
      <c r="B44" s="2724"/>
      <c r="C44" s="2724"/>
      <c r="D44" s="2724"/>
      <c r="E44" s="2724"/>
      <c r="F44" s="2724"/>
      <c r="G44" s="2728"/>
      <c r="H44" s="2724"/>
      <c r="I44" s="2724"/>
      <c r="J44" s="2724"/>
      <c r="K44" s="2729"/>
      <c r="L44" s="2725"/>
      <c r="M44" s="2715"/>
      <c r="N44" s="2715"/>
      <c r="O44" s="2724"/>
      <c r="P44" s="2724"/>
      <c r="Q44" s="2724"/>
      <c r="R44" s="2724"/>
      <c r="S44" s="2724"/>
      <c r="T44" s="2724"/>
      <c r="U44" s="2724"/>
      <c r="V44" s="2724"/>
      <c r="W44" s="2724"/>
      <c r="X44" s="2724"/>
      <c r="Y44" s="2724"/>
      <c r="Z44" s="2724"/>
      <c r="AA44" s="2724"/>
      <c r="AB44" s="2724"/>
      <c r="AC44" s="2724"/>
      <c r="AD44" s="2724"/>
      <c r="AE44" s="2724"/>
    </row>
    <row r="45" spans="1:31">
      <c r="A45" s="2724"/>
      <c r="B45" s="2724"/>
      <c r="C45" s="2724"/>
      <c r="D45" s="2724"/>
      <c r="E45" s="2724"/>
      <c r="F45" s="2724"/>
      <c r="G45" s="2724"/>
      <c r="H45" s="2724"/>
      <c r="I45" s="2724"/>
      <c r="J45" s="2724"/>
      <c r="K45" s="2729"/>
      <c r="L45" s="2725"/>
      <c r="M45" s="2715"/>
      <c r="N45" s="2715"/>
      <c r="O45" s="2724"/>
      <c r="P45" s="2724"/>
      <c r="Q45" s="2724"/>
      <c r="R45" s="2724"/>
      <c r="S45" s="2724"/>
      <c r="T45" s="2724"/>
      <c r="U45" s="2724"/>
      <c r="V45" s="2724"/>
      <c r="W45" s="2724"/>
      <c r="X45" s="2724"/>
      <c r="Y45" s="2724"/>
      <c r="Z45" s="2724"/>
      <c r="AA45" s="2724"/>
      <c r="AB45" s="2724"/>
      <c r="AC45" s="2724"/>
      <c r="AD45" s="2724"/>
      <c r="AE45" s="2724"/>
    </row>
    <row r="46" spans="1:31" ht="13.5" customHeight="1">
      <c r="A46" s="2724"/>
      <c r="B46" s="2724"/>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9"/>
      <c r="L46" s="2725"/>
      <c r="M46" s="2715"/>
      <c r="N46" s="2715"/>
      <c r="O46" s="2724"/>
      <c r="P46" s="2724"/>
      <c r="Q46" s="2724"/>
      <c r="R46" s="2724"/>
      <c r="S46" s="2724"/>
      <c r="T46" s="2724"/>
      <c r="U46" s="2724"/>
      <c r="V46" s="2724"/>
      <c r="W46" s="2724"/>
      <c r="X46" s="2724"/>
      <c r="Y46" s="2724"/>
      <c r="Z46" s="2724"/>
      <c r="AA46" s="2724"/>
      <c r="AB46" s="2724"/>
      <c r="AC46" s="2724"/>
      <c r="AD46" s="2724"/>
      <c r="AE46" s="2724"/>
    </row>
    <row r="47" spans="1:31" ht="13.5" customHeight="1">
      <c r="A47" s="2724"/>
      <c r="B47" s="2724"/>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9"/>
      <c r="L47" s="2725"/>
      <c r="M47" s="2724"/>
      <c r="N47" s="2724"/>
      <c r="O47" s="2724"/>
      <c r="P47" s="2724"/>
      <c r="Q47" s="2724"/>
      <c r="R47" s="2724"/>
      <c r="S47" s="2724"/>
      <c r="T47" s="2724"/>
      <c r="U47" s="2724"/>
      <c r="V47" s="2724"/>
      <c r="W47" s="2724"/>
      <c r="X47" s="2724"/>
      <c r="Y47" s="2724"/>
      <c r="Z47" s="2724"/>
      <c r="AA47" s="2724"/>
      <c r="AB47" s="2724"/>
      <c r="AC47" s="2724"/>
      <c r="AD47" s="2724"/>
      <c r="AE47" s="2724"/>
    </row>
    <row r="48" spans="1:31" s="451" customFormat="1" ht="13.5" customHeight="1">
      <c r="A48" s="2727"/>
      <c r="B48" s="2727"/>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2"/>
      <c r="L48" s="2726"/>
      <c r="M48" s="2727"/>
      <c r="N48" s="2727"/>
      <c r="O48" s="2727"/>
      <c r="P48" s="2727"/>
      <c r="Q48" s="2727"/>
      <c r="R48" s="2727"/>
      <c r="S48" s="2727"/>
      <c r="T48" s="2727"/>
      <c r="U48" s="2727"/>
      <c r="V48" s="2727"/>
      <c r="W48" s="2727"/>
      <c r="X48" s="2727"/>
      <c r="Y48" s="2727"/>
      <c r="Z48" s="2727"/>
      <c r="AA48" s="2727"/>
      <c r="AB48" s="2727"/>
      <c r="AC48" s="2727"/>
      <c r="AD48" s="2727"/>
      <c r="AE48" s="2727"/>
    </row>
    <row r="49" spans="1:31" s="451" customFormat="1" ht="15" thickBot="1">
      <c r="A49" s="2727"/>
      <c r="B49" s="2730"/>
      <c r="C49" s="693"/>
      <c r="D49" s="691"/>
      <c r="E49" s="691"/>
      <c r="F49" s="691"/>
      <c r="G49" s="691"/>
      <c r="H49" s="691"/>
      <c r="I49" s="691"/>
      <c r="J49" s="691"/>
      <c r="K49" s="2732"/>
      <c r="L49" s="2726"/>
      <c r="M49" s="2727"/>
      <c r="N49" s="2727"/>
      <c r="O49" s="2727"/>
      <c r="P49" s="2727"/>
      <c r="Q49" s="2727"/>
      <c r="R49" s="2727"/>
      <c r="S49" s="2727"/>
      <c r="T49" s="2727"/>
      <c r="U49" s="2727"/>
      <c r="V49" s="2727"/>
      <c r="W49" s="2727"/>
      <c r="X49" s="2727"/>
      <c r="Y49" s="2727"/>
      <c r="Z49" s="2727"/>
      <c r="AA49" s="2727"/>
      <c r="AB49" s="2727"/>
      <c r="AC49" s="2727"/>
      <c r="AD49" s="2727"/>
      <c r="AE49" s="2727"/>
    </row>
    <row r="50" spans="1:31" ht="27">
      <c r="A50" s="632" t="s">
        <v>1881</v>
      </c>
      <c r="B50" s="633" t="s">
        <v>1882</v>
      </c>
      <c r="C50" s="1983" t="s">
        <v>1883</v>
      </c>
      <c r="D50" s="1984" t="s">
        <v>1884</v>
      </c>
      <c r="E50" s="634" t="s">
        <v>1885</v>
      </c>
      <c r="F50" s="635" t="s">
        <v>1886</v>
      </c>
      <c r="G50" s="3810" t="s">
        <v>1887</v>
      </c>
      <c r="H50" s="3860"/>
      <c r="I50" s="1356" t="s">
        <v>1923</v>
      </c>
      <c r="J50" s="1356">
        <f>项目基本情况!F35</f>
        <v>0</v>
      </c>
      <c r="K50" s="1986" t="s">
        <v>1889</v>
      </c>
      <c r="L50" s="2725"/>
      <c r="M50" s="2724"/>
      <c r="N50" s="2724"/>
      <c r="O50" s="2724"/>
      <c r="P50" s="2724"/>
      <c r="Q50" s="2724"/>
      <c r="R50" s="2724"/>
      <c r="S50" s="2724"/>
      <c r="T50" s="2724"/>
      <c r="U50" s="2724"/>
      <c r="V50" s="2724"/>
      <c r="W50" s="2724"/>
      <c r="X50" s="2724"/>
      <c r="Y50" s="2724"/>
      <c r="Z50" s="2724"/>
      <c r="AA50" s="2724"/>
      <c r="AB50" s="2724"/>
      <c r="AC50" s="2724"/>
      <c r="AD50" s="2724"/>
      <c r="AE50" s="2724"/>
    </row>
    <row r="51" spans="1:31" s="640" customFormat="1">
      <c r="A51" s="636" t="s">
        <v>1890</v>
      </c>
      <c r="B51" s="637" t="e">
        <f>C43</f>
        <v>#DIV/0!</v>
      </c>
      <c r="C51" s="638">
        <v>1</v>
      </c>
      <c r="D51" s="944">
        <v>1</v>
      </c>
      <c r="E51" s="638">
        <f>'数据-汇总表'!E8+'数据-汇总表'!E9</f>
        <v>31541.83</v>
      </c>
      <c r="F51" s="639" t="e">
        <f t="shared" ref="F51:F60" si="15">ROUND(B51*E51/10000,0)</f>
        <v>#DIV/0!</v>
      </c>
      <c r="G51" s="3809"/>
      <c r="H51" s="3827"/>
      <c r="I51" s="773">
        <v>1</v>
      </c>
      <c r="J51" s="773">
        <v>1</v>
      </c>
      <c r="K51" s="2727"/>
      <c r="L51" s="2781"/>
      <c r="M51" s="2781"/>
      <c r="N51" s="2781"/>
      <c r="O51" s="2781"/>
      <c r="P51" s="2781"/>
      <c r="Q51" s="2781"/>
      <c r="R51" s="2781"/>
      <c r="S51" s="2781"/>
      <c r="T51" s="2781"/>
      <c r="U51" s="2781"/>
      <c r="V51" s="2781"/>
      <c r="W51" s="2781"/>
      <c r="X51" s="2781"/>
      <c r="Y51" s="2781"/>
      <c r="Z51" s="2781"/>
      <c r="AA51" s="2781"/>
      <c r="AB51" s="2781"/>
      <c r="AC51" s="2781"/>
      <c r="AD51" s="2781"/>
      <c r="AE51" s="2781"/>
    </row>
    <row r="52" spans="1:31" s="640" customFormat="1">
      <c r="A52" s="641" t="s">
        <v>1891</v>
      </c>
      <c r="B52" s="218" t="e">
        <f>ROUND($C$43*C52*D52,0)</f>
        <v>#DIV/0!</v>
      </c>
      <c r="C52" s="171">
        <f t="shared" ref="C52:C60" si="16">IF($C$50="北京市系数",I52,J52)</f>
        <v>0.6</v>
      </c>
      <c r="D52" s="945">
        <v>0.25</v>
      </c>
      <c r="E52" s="642"/>
      <c r="F52" s="639" t="e">
        <f t="shared" si="15"/>
        <v>#DIV/0!</v>
      </c>
      <c r="G52" s="3005" t="s">
        <v>1892</v>
      </c>
      <c r="H52" s="887" t="str">
        <f>项目基本情况!B37</f>
        <v>三级</v>
      </c>
      <c r="I52" s="773">
        <f>SUMIF(修正!A57:A68,H52,修正!B57:B68)</f>
        <v>0.6</v>
      </c>
      <c r="J52" s="774"/>
      <c r="K52" s="2724"/>
      <c r="L52" s="2781"/>
      <c r="M52" s="2781"/>
      <c r="N52" s="2781"/>
      <c r="O52" s="2781"/>
      <c r="P52" s="2781"/>
      <c r="Q52" s="2781"/>
      <c r="R52" s="2781"/>
      <c r="S52" s="2781"/>
      <c r="T52" s="2781"/>
      <c r="U52" s="2781"/>
      <c r="V52" s="2781"/>
      <c r="W52" s="2781"/>
      <c r="X52" s="2781"/>
      <c r="Y52" s="2781"/>
      <c r="Z52" s="2781"/>
      <c r="AA52" s="2781"/>
      <c r="AB52" s="2781"/>
      <c r="AC52" s="2781"/>
      <c r="AD52" s="2781"/>
      <c r="AE52" s="2781"/>
    </row>
    <row r="53" spans="1:31" s="640" customFormat="1">
      <c r="A53" s="641" t="s">
        <v>1893</v>
      </c>
      <c r="B53" s="218" t="e">
        <f t="shared" ref="B53:B60" si="17">ROUND($C$43*C53*D53,0)</f>
        <v>#DIV/0!</v>
      </c>
      <c r="C53" s="171">
        <f t="shared" si="16"/>
        <v>0.3</v>
      </c>
      <c r="D53" s="945">
        <v>0.25</v>
      </c>
      <c r="E53" s="642"/>
      <c r="F53" s="639" t="e">
        <f t="shared" si="15"/>
        <v>#DIV/0!</v>
      </c>
      <c r="G53" s="3006"/>
      <c r="H53" s="887" t="str">
        <f>项目基本情况!B37</f>
        <v>三级</v>
      </c>
      <c r="I53" s="773">
        <f>SUMIF(修正!A57:A68,H53,修正!C57:C68)</f>
        <v>0.3</v>
      </c>
      <c r="J53" s="774"/>
      <c r="K53" s="2727"/>
      <c r="L53" s="2781"/>
      <c r="M53" s="2781"/>
      <c r="N53" s="2781"/>
      <c r="O53" s="2781"/>
      <c r="P53" s="2781"/>
      <c r="Q53" s="2781"/>
      <c r="R53" s="2781"/>
      <c r="S53" s="2781"/>
      <c r="T53" s="2781"/>
      <c r="U53" s="2781"/>
      <c r="V53" s="2781"/>
      <c r="W53" s="2781"/>
      <c r="X53" s="2781"/>
      <c r="Y53" s="2781"/>
      <c r="Z53" s="2781"/>
      <c r="AA53" s="2781"/>
      <c r="AB53" s="2781"/>
      <c r="AC53" s="2781"/>
      <c r="AD53" s="2781"/>
      <c r="AE53" s="2781"/>
    </row>
    <row r="54" spans="1:31" s="640" customFormat="1">
      <c r="A54" s="641" t="s">
        <v>1894</v>
      </c>
      <c r="B54" s="218" t="e">
        <f t="shared" si="17"/>
        <v>#DIV/0!</v>
      </c>
      <c r="C54" s="171">
        <f t="shared" si="16"/>
        <v>0.25</v>
      </c>
      <c r="D54" s="945">
        <v>0.25</v>
      </c>
      <c r="E54" s="642"/>
      <c r="F54" s="639" t="e">
        <f t="shared" si="15"/>
        <v>#DIV/0!</v>
      </c>
      <c r="G54" s="3006"/>
      <c r="H54" s="887" t="str">
        <f>项目基本情况!B37</f>
        <v>三级</v>
      </c>
      <c r="I54" s="773">
        <f>SUMIF(修正!A57:A68,H54,修正!D57:D68)</f>
        <v>0.25</v>
      </c>
      <c r="J54" s="774"/>
      <c r="K54" s="2724"/>
      <c r="L54" s="2781"/>
      <c r="M54" s="2781"/>
      <c r="N54" s="2781"/>
      <c r="O54" s="2781"/>
      <c r="P54" s="2781"/>
      <c r="Q54" s="2781"/>
      <c r="R54" s="2781"/>
      <c r="S54" s="2781"/>
      <c r="T54" s="2781"/>
      <c r="U54" s="2781"/>
      <c r="V54" s="2781"/>
      <c r="W54" s="2781"/>
      <c r="X54" s="2781"/>
      <c r="Y54" s="2781"/>
      <c r="Z54" s="2781"/>
      <c r="AA54" s="2781"/>
      <c r="AB54" s="2781"/>
      <c r="AC54" s="2781"/>
      <c r="AD54" s="2781"/>
      <c r="AE54" s="2781"/>
    </row>
    <row r="55" spans="1:31" s="640" customFormat="1" hidden="1">
      <c r="A55" s="641"/>
      <c r="B55" s="218"/>
      <c r="C55" s="171"/>
      <c r="D55" s="945"/>
      <c r="E55" s="642"/>
      <c r="F55" s="639"/>
      <c r="G55" s="3007"/>
      <c r="H55" s="887"/>
      <c r="I55" s="773"/>
      <c r="J55" s="774"/>
      <c r="K55" s="2727"/>
      <c r="L55" s="2781"/>
      <c r="M55" s="2781"/>
      <c r="N55" s="2781"/>
      <c r="O55" s="2781"/>
      <c r="P55" s="2781"/>
      <c r="Q55" s="2781"/>
      <c r="R55" s="2781"/>
      <c r="S55" s="2781"/>
      <c r="T55" s="2781"/>
      <c r="U55" s="2781"/>
      <c r="V55" s="2781"/>
      <c r="W55" s="2781"/>
      <c r="X55" s="2781"/>
      <c r="Y55" s="2781"/>
      <c r="Z55" s="2781"/>
      <c r="AA55" s="2781"/>
      <c r="AB55" s="2781"/>
      <c r="AC55" s="2781"/>
      <c r="AD55" s="2781"/>
      <c r="AE55" s="2781"/>
    </row>
    <row r="56" spans="1:31" s="640" customFormat="1">
      <c r="A56" s="641" t="s">
        <v>1895</v>
      </c>
      <c r="B56" s="218" t="e">
        <f t="shared" si="17"/>
        <v>#DIV/0!</v>
      </c>
      <c r="C56" s="171">
        <f t="shared" si="16"/>
        <v>0</v>
      </c>
      <c r="D56" s="945">
        <v>0.25</v>
      </c>
      <c r="E56" s="217">
        <f>'数据-汇总表'!E11</f>
        <v>0</v>
      </c>
      <c r="F56" s="639" t="e">
        <f t="shared" si="15"/>
        <v>#DIV/0!</v>
      </c>
      <c r="G56" s="1987" t="s">
        <v>1896</v>
      </c>
      <c r="H56" s="887">
        <f>项目基本情况!C37</f>
        <v>0</v>
      </c>
      <c r="I56" s="773">
        <f>SUMIF(修正!A57:A68,H56,修正!E57:E68)</f>
        <v>0</v>
      </c>
      <c r="J56" s="774"/>
      <c r="K56" s="2724"/>
      <c r="L56" s="2781"/>
      <c r="M56" s="2781"/>
      <c r="N56" s="2781"/>
      <c r="O56" s="2781"/>
      <c r="P56" s="2781"/>
      <c r="Q56" s="2781"/>
      <c r="R56" s="2781"/>
      <c r="S56" s="2781"/>
      <c r="T56" s="2781"/>
      <c r="U56" s="2781"/>
      <c r="V56" s="2781"/>
      <c r="W56" s="2781"/>
      <c r="X56" s="2781"/>
      <c r="Y56" s="2781"/>
      <c r="Z56" s="2781"/>
      <c r="AA56" s="2781"/>
      <c r="AB56" s="2781"/>
      <c r="AC56" s="2781"/>
      <c r="AD56" s="2781"/>
      <c r="AE56" s="2781"/>
    </row>
    <row r="57" spans="1:31" s="640" customFormat="1">
      <c r="A57" s="641" t="s">
        <v>1897</v>
      </c>
      <c r="B57" s="218" t="e">
        <f t="shared" si="17"/>
        <v>#DIV/0!</v>
      </c>
      <c r="C57" s="171">
        <f t="shared" si="16"/>
        <v>0</v>
      </c>
      <c r="D57" s="945">
        <v>0.25</v>
      </c>
      <c r="E57" s="217">
        <f>'数据-汇总表'!E12</f>
        <v>0</v>
      </c>
      <c r="F57" s="639" t="e">
        <f t="shared" si="15"/>
        <v>#DIV/0!</v>
      </c>
      <c r="G57" s="892" t="s">
        <v>1898</v>
      </c>
      <c r="H57" s="887">
        <f>IF(G57="商业",项目基本情况!B37,IF(G57="办公",项目基本情况!C37,IF(G57="住宅",项目基本情况!D37,项目基本情况!E37)))</f>
        <v>0</v>
      </c>
      <c r="I57" s="773">
        <f>SUMIF(修正!A57:A68,H57,修正!F57:F68)</f>
        <v>0</v>
      </c>
      <c r="J57" s="774"/>
      <c r="K57" s="2727"/>
      <c r="L57" s="2781"/>
      <c r="M57" s="2781"/>
      <c r="N57" s="2781"/>
      <c r="O57" s="2781"/>
      <c r="P57" s="2781"/>
      <c r="Q57" s="2781"/>
      <c r="R57" s="2781"/>
      <c r="S57" s="2781"/>
      <c r="T57" s="2781"/>
      <c r="U57" s="2781"/>
      <c r="V57" s="2781"/>
      <c r="W57" s="2781"/>
      <c r="X57" s="2781"/>
      <c r="Y57" s="2781"/>
      <c r="Z57" s="2781"/>
      <c r="AA57" s="2781"/>
      <c r="AB57" s="2781"/>
      <c r="AC57" s="2781"/>
      <c r="AD57" s="2781"/>
      <c r="AE57" s="2781"/>
    </row>
    <row r="58" spans="1:31" s="640" customFormat="1">
      <c r="A58" s="641" t="s">
        <v>1899</v>
      </c>
      <c r="B58" s="218" t="e">
        <f t="shared" si="17"/>
        <v>#DIV/0!</v>
      </c>
      <c r="C58" s="171">
        <f t="shared" si="16"/>
        <v>0</v>
      </c>
      <c r="D58" s="945">
        <v>0.25</v>
      </c>
      <c r="E58" s="217">
        <f>'数据-汇总表'!E13</f>
        <v>19492.63</v>
      </c>
      <c r="F58" s="639" t="e">
        <f t="shared" si="15"/>
        <v>#DIV/0!</v>
      </c>
      <c r="G58" s="892" t="s">
        <v>1900</v>
      </c>
      <c r="H58" s="887">
        <f>IF(G58="商业",项目基本情况!B37,IF(G58="办公",项目基本情况!C37,IF(G58="住宅",项目基本情况!D37,项目基本情况!E37)))</f>
        <v>0</v>
      </c>
      <c r="I58" s="773">
        <f>SUMIF(修正!A57:A68,H58,修正!G57:G68)</f>
        <v>0</v>
      </c>
      <c r="J58" s="774"/>
      <c r="K58" s="2724"/>
      <c r="L58" s="2781"/>
      <c r="M58" s="2781"/>
      <c r="N58" s="2781"/>
      <c r="O58" s="2781"/>
      <c r="P58" s="2781"/>
      <c r="Q58" s="2781"/>
      <c r="R58" s="2781"/>
      <c r="S58" s="2781"/>
      <c r="T58" s="2781"/>
      <c r="U58" s="2781"/>
      <c r="V58" s="2781"/>
      <c r="W58" s="2781"/>
      <c r="X58" s="2781"/>
      <c r="Y58" s="2781"/>
      <c r="Z58" s="2781"/>
      <c r="AA58" s="2781"/>
      <c r="AB58" s="2781"/>
      <c r="AC58" s="2781"/>
      <c r="AD58" s="2781"/>
      <c r="AE58" s="2781"/>
    </row>
    <row r="59" spans="1:31" s="640" customFormat="1">
      <c r="A59" s="641" t="s">
        <v>1901</v>
      </c>
      <c r="B59" s="218" t="e">
        <f t="shared" si="17"/>
        <v>#DIV/0!</v>
      </c>
      <c r="C59" s="171">
        <f t="shared" si="16"/>
        <v>0.15</v>
      </c>
      <c r="D59" s="945">
        <v>0.25</v>
      </c>
      <c r="E59" s="217">
        <f>'数据-汇总表'!E14</f>
        <v>0</v>
      </c>
      <c r="F59" s="639" t="e">
        <f t="shared" si="15"/>
        <v>#DIV/0!</v>
      </c>
      <c r="G59" s="1987" t="s">
        <v>1892</v>
      </c>
      <c r="H59" s="887" t="str">
        <f>项目基本情况!B37</f>
        <v>三级</v>
      </c>
      <c r="I59" s="773">
        <f>SUMIF(修正!A57:A68,H59,修正!G57:G68)</f>
        <v>0.15</v>
      </c>
      <c r="J59" s="774"/>
      <c r="K59" s="2727"/>
      <c r="L59" s="2781"/>
      <c r="M59" s="2781"/>
      <c r="N59" s="2781"/>
      <c r="O59" s="2781"/>
      <c r="P59" s="2781"/>
      <c r="Q59" s="2781"/>
      <c r="R59" s="2781"/>
      <c r="S59" s="2781"/>
      <c r="T59" s="2781"/>
      <c r="U59" s="2781"/>
      <c r="V59" s="2781"/>
      <c r="W59" s="2781"/>
      <c r="X59" s="2781"/>
      <c r="Y59" s="2781"/>
      <c r="Z59" s="2781"/>
      <c r="AA59" s="2781"/>
      <c r="AB59" s="2781"/>
      <c r="AC59" s="2781"/>
      <c r="AD59" s="2781"/>
      <c r="AE59" s="2781"/>
    </row>
    <row r="60" spans="1:31" s="640" customFormat="1" ht="15" thickBot="1">
      <c r="A60" s="641" t="s">
        <v>1902</v>
      </c>
      <c r="B60" s="218" t="e">
        <f t="shared" si="17"/>
        <v>#DIV/0!</v>
      </c>
      <c r="C60" s="171">
        <f t="shared" si="16"/>
        <v>0</v>
      </c>
      <c r="D60" s="945">
        <v>0.25</v>
      </c>
      <c r="E60" s="217">
        <f>'数据-汇总表'!E15</f>
        <v>0</v>
      </c>
      <c r="F60" s="639" t="e">
        <f t="shared" si="15"/>
        <v>#DIV/0!</v>
      </c>
      <c r="G60" s="1988" t="s">
        <v>1896</v>
      </c>
      <c r="H60" s="897">
        <f>项目基本情况!C37</f>
        <v>0</v>
      </c>
      <c r="I60" s="773">
        <f>SUMIF(修正!A57:A68,H60,修正!G57:G68)</f>
        <v>0</v>
      </c>
      <c r="J60" s="774"/>
      <c r="K60" s="2724"/>
      <c r="L60" s="2781"/>
      <c r="M60" s="2781"/>
      <c r="N60" s="2781"/>
      <c r="O60" s="2781"/>
      <c r="P60" s="2781"/>
      <c r="Q60" s="2781"/>
      <c r="R60" s="2781"/>
      <c r="S60" s="2781"/>
      <c r="T60" s="2781"/>
      <c r="U60" s="2781"/>
      <c r="V60" s="2781"/>
      <c r="W60" s="2781"/>
      <c r="X60" s="2781"/>
      <c r="Y60" s="2781"/>
      <c r="Z60" s="2781"/>
      <c r="AA60" s="2781"/>
      <c r="AB60" s="2781"/>
      <c r="AC60" s="2781"/>
      <c r="AD60" s="2781"/>
      <c r="AE60" s="2781"/>
    </row>
    <row r="61" spans="1:31" s="640" customFormat="1" ht="15" thickBot="1">
      <c r="A61" s="643" t="s">
        <v>1903</v>
      </c>
      <c r="B61" s="644" t="s">
        <v>22</v>
      </c>
      <c r="C61" s="644" t="s">
        <v>23</v>
      </c>
      <c r="D61" s="644" t="s">
        <v>392</v>
      </c>
      <c r="E61" s="644">
        <f>IF(B41="楼面地价",SUM(E51:E60),'数据-汇总表'!D3)</f>
        <v>11881.76</v>
      </c>
      <c r="F61" s="645" t="e">
        <f>IF(B41="楼面地价",SUM(F51:F60),ROUND(C43*E61/10000,0))</f>
        <v>#DIV/0!</v>
      </c>
      <c r="G61" s="939"/>
      <c r="H61" s="939"/>
      <c r="I61" s="939"/>
      <c r="J61" s="939"/>
      <c r="K61" s="2729"/>
      <c r="L61" s="2781"/>
      <c r="M61" s="2781"/>
      <c r="N61" s="2781"/>
      <c r="O61" s="2781"/>
      <c r="P61" s="2781"/>
      <c r="Q61" s="2781"/>
      <c r="R61" s="2781"/>
      <c r="S61" s="2781"/>
      <c r="T61" s="2781"/>
      <c r="U61" s="2781"/>
      <c r="V61" s="2781"/>
      <c r="W61" s="2781"/>
      <c r="X61" s="2781"/>
      <c r="Y61" s="2781"/>
      <c r="Z61" s="2781"/>
      <c r="AA61" s="2781"/>
      <c r="AB61" s="2781"/>
      <c r="AC61" s="2781"/>
      <c r="AD61" s="2781"/>
      <c r="AE61" s="2781"/>
    </row>
    <row r="62" spans="1:31">
      <c r="A62" s="927"/>
      <c r="B62" s="929"/>
      <c r="C62" s="931"/>
      <c r="D62" s="927"/>
      <c r="E62" s="927"/>
      <c r="F62" s="927"/>
      <c r="G62" s="927"/>
      <c r="H62" s="927"/>
      <c r="I62" s="927"/>
      <c r="J62" s="927"/>
      <c r="K62" s="888"/>
      <c r="L62" s="889"/>
      <c r="M62" s="927"/>
      <c r="N62" s="927"/>
      <c r="O62" s="927"/>
      <c r="P62" s="2724"/>
      <c r="Q62" s="2724"/>
      <c r="R62" s="2724"/>
      <c r="S62" s="2724"/>
      <c r="T62" s="2724"/>
      <c r="U62" s="2724"/>
      <c r="V62" s="2724"/>
      <c r="W62" s="2724"/>
      <c r="X62" s="2724"/>
      <c r="Y62" s="2724"/>
      <c r="Z62" s="2724"/>
      <c r="AA62" s="2724"/>
      <c r="AB62" s="2724"/>
      <c r="AC62" s="2724"/>
      <c r="AD62" s="2724"/>
      <c r="AE62" s="2724"/>
    </row>
    <row r="63" spans="1:31">
      <c r="A63" s="927"/>
      <c r="B63" s="929"/>
      <c r="C63" s="692" t="str">
        <f>YEAR(C7)&amp;"-"&amp;MONTH(C7)&amp;"-1"</f>
        <v>2022-12-1</v>
      </c>
      <c r="D63" s="692">
        <f>EDATE(C63,-3)</f>
        <v>44805</v>
      </c>
      <c r="E63" s="692">
        <f>EDATE(D63,-3)</f>
        <v>44713</v>
      </c>
      <c r="F63" s="692">
        <f t="shared" ref="F63:O63" si="18">EDATE(E63,-3)</f>
        <v>44621</v>
      </c>
      <c r="G63" s="692">
        <f t="shared" si="18"/>
        <v>44531</v>
      </c>
      <c r="H63" s="692">
        <f t="shared" si="18"/>
        <v>44440</v>
      </c>
      <c r="I63" s="692">
        <f t="shared" si="18"/>
        <v>44348</v>
      </c>
      <c r="J63" s="692">
        <f t="shared" si="18"/>
        <v>44256</v>
      </c>
      <c r="K63" s="692">
        <f t="shared" si="18"/>
        <v>44166</v>
      </c>
      <c r="L63" s="692">
        <f t="shared" si="18"/>
        <v>44075</v>
      </c>
      <c r="M63" s="692">
        <f t="shared" si="18"/>
        <v>43983</v>
      </c>
      <c r="N63" s="692">
        <f t="shared" si="18"/>
        <v>43891</v>
      </c>
      <c r="O63" s="692">
        <f t="shared" si="18"/>
        <v>43800</v>
      </c>
      <c r="P63" s="2724"/>
      <c r="Q63" s="2724"/>
      <c r="R63" s="2724"/>
      <c r="S63" s="2724"/>
      <c r="T63" s="2724"/>
      <c r="U63" s="2724"/>
      <c r="V63" s="2724"/>
      <c r="W63" s="2724"/>
      <c r="X63" s="2724"/>
      <c r="Y63" s="2724"/>
      <c r="Z63" s="2724"/>
      <c r="AA63" s="2724"/>
      <c r="AB63" s="2724"/>
      <c r="AC63" s="2724"/>
      <c r="AD63" s="2724"/>
      <c r="AE63" s="2724"/>
    </row>
    <row r="64" spans="1:31" ht="21.75" thickBot="1">
      <c r="A64" s="694" t="s">
        <v>1798</v>
      </c>
      <c r="B64" s="690"/>
      <c r="C64" s="695"/>
      <c r="D64" s="695"/>
      <c r="E64" s="695"/>
      <c r="F64" s="696"/>
      <c r="G64" s="696"/>
      <c r="H64" s="695"/>
      <c r="I64" s="695"/>
      <c r="J64" s="695"/>
      <c r="K64" s="697"/>
      <c r="L64" s="698"/>
      <c r="M64" s="695"/>
      <c r="N64" s="695"/>
      <c r="O64" s="940"/>
      <c r="P64" s="2768"/>
      <c r="Q64" s="2738"/>
      <c r="R64" s="2724"/>
      <c r="S64" s="2724"/>
      <c r="T64" s="2724"/>
      <c r="U64" s="2724"/>
      <c r="V64" s="2724"/>
      <c r="W64" s="2724"/>
      <c r="X64" s="2724"/>
      <c r="Y64" s="2724"/>
      <c r="Z64" s="2724"/>
      <c r="AA64" s="2724"/>
      <c r="AB64" s="2724"/>
      <c r="AC64" s="2724"/>
      <c r="AD64" s="2724"/>
      <c r="AE64" s="2724"/>
    </row>
    <row r="65" spans="1:31" s="457" customFormat="1" ht="15">
      <c r="A65" s="1989" t="s">
        <v>1904</v>
      </c>
      <c r="B65" s="1109"/>
      <c r="C65" s="1182" t="str">
        <f>YEAR(C63)&amp;"-"&amp;ROUNDUP(MONTH(C63)/3,0)</f>
        <v>2022-4</v>
      </c>
      <c r="D65" s="1182" t="str">
        <f t="shared" ref="D65:O65" si="19">YEAR(D63)&amp;"-"&amp;ROUNDUP(MONTH(D63)/3,0)</f>
        <v>2022-3</v>
      </c>
      <c r="E65" s="1182" t="str">
        <f t="shared" si="19"/>
        <v>2022-2</v>
      </c>
      <c r="F65" s="1182" t="str">
        <f t="shared" si="19"/>
        <v>2022-1</v>
      </c>
      <c r="G65" s="1182" t="str">
        <f t="shared" si="19"/>
        <v>2021-4</v>
      </c>
      <c r="H65" s="1182" t="str">
        <f t="shared" si="19"/>
        <v>2021-3</v>
      </c>
      <c r="I65" s="1182" t="str">
        <f t="shared" si="19"/>
        <v>2021-2</v>
      </c>
      <c r="J65" s="1182" t="str">
        <f t="shared" si="19"/>
        <v>2021-1</v>
      </c>
      <c r="K65" s="1182" t="str">
        <f t="shared" si="19"/>
        <v>2020-4</v>
      </c>
      <c r="L65" s="1182" t="str">
        <f t="shared" si="19"/>
        <v>2020-3</v>
      </c>
      <c r="M65" s="1182" t="str">
        <f t="shared" si="19"/>
        <v>2020-2</v>
      </c>
      <c r="N65" s="1182" t="str">
        <f t="shared" si="19"/>
        <v>2020-1</v>
      </c>
      <c r="O65" s="1182" t="str">
        <f t="shared" si="19"/>
        <v>2019-4</v>
      </c>
      <c r="P65" s="2775"/>
      <c r="Q65" s="2740"/>
      <c r="R65" s="2740"/>
      <c r="S65" s="2740"/>
      <c r="T65" s="2740"/>
      <c r="U65" s="2740"/>
      <c r="V65" s="2740"/>
      <c r="W65" s="2740"/>
      <c r="X65" s="2740"/>
      <c r="Y65" s="2740"/>
      <c r="Z65" s="2740"/>
      <c r="AA65" s="2740"/>
      <c r="AB65" s="2740"/>
      <c r="AC65" s="2740"/>
      <c r="AD65" s="2740"/>
      <c r="AE65" s="2740"/>
    </row>
    <row r="66" spans="1:31" s="108" customFormat="1" ht="30.75" customHeight="1">
      <c r="A66" s="1994" t="s">
        <v>1924</v>
      </c>
      <c r="B66" s="288" t="str">
        <f>"北京市平均增长率"&amp;TEXT(基准地价修正!P28,"0.00%")</f>
        <v>北京市平均增长率1.10%</v>
      </c>
      <c r="C66" s="552">
        <v>100</v>
      </c>
      <c r="D66" s="544"/>
      <c r="E66" s="544"/>
      <c r="F66" s="544"/>
      <c r="G66" s="544"/>
      <c r="H66" s="544"/>
      <c r="I66" s="544"/>
      <c r="J66" s="544"/>
      <c r="K66" s="544"/>
      <c r="L66" s="544"/>
      <c r="M66" s="1178"/>
      <c r="N66" s="1178"/>
      <c r="O66" s="1180"/>
      <c r="P66" s="2738"/>
      <c r="Q66" s="2660"/>
      <c r="R66" s="2660"/>
      <c r="S66" s="2660"/>
      <c r="T66" s="2660"/>
      <c r="U66" s="2660"/>
      <c r="V66" s="2660"/>
      <c r="W66" s="2660"/>
      <c r="X66" s="2660"/>
      <c r="Y66" s="2660"/>
      <c r="Z66" s="2660"/>
      <c r="AA66" s="2660"/>
      <c r="AB66" s="2660"/>
      <c r="AC66" s="2660"/>
      <c r="AD66" s="2660"/>
      <c r="AE66" s="2660"/>
    </row>
    <row r="67" spans="1:31" s="108" customFormat="1" ht="15.75" thickBot="1">
      <c r="A67" s="464" t="s">
        <v>1716</v>
      </c>
      <c r="B67" s="465"/>
      <c r="C67" s="466"/>
      <c r="D67" s="467"/>
      <c r="E67" s="467"/>
      <c r="F67" s="467"/>
      <c r="G67" s="467"/>
      <c r="H67" s="467"/>
      <c r="I67" s="467"/>
      <c r="J67" s="467"/>
      <c r="K67" s="467"/>
      <c r="L67" s="467"/>
      <c r="M67" s="468"/>
      <c r="N67" s="468"/>
      <c r="O67" s="469"/>
      <c r="P67" s="2738"/>
      <c r="Q67" s="2738"/>
      <c r="R67" s="2660"/>
      <c r="S67" s="2660"/>
      <c r="T67" s="2660"/>
      <c r="U67" s="2660"/>
      <c r="V67" s="2660"/>
      <c r="W67" s="2660"/>
      <c r="X67" s="2660"/>
      <c r="Y67" s="2660"/>
      <c r="Z67" s="2660"/>
      <c r="AA67" s="2660"/>
      <c r="AB67" s="2660"/>
      <c r="AC67" s="2660"/>
      <c r="AD67" s="2660"/>
      <c r="AE67" s="2660"/>
    </row>
    <row r="68" spans="1:31" s="108" customFormat="1" ht="15">
      <c r="A68" s="470" t="s">
        <v>1681</v>
      </c>
      <c r="B68" s="459"/>
      <c r="C68" s="471" t="s">
        <v>1776</v>
      </c>
      <c r="D68" s="472"/>
      <c r="E68" s="472"/>
      <c r="F68" s="472"/>
      <c r="G68" s="472"/>
      <c r="H68" s="472"/>
      <c r="I68" s="472"/>
      <c r="J68" s="472"/>
      <c r="K68" s="472"/>
      <c r="L68" s="473"/>
      <c r="M68" s="474"/>
      <c r="N68" s="2751"/>
      <c r="O68" s="2751"/>
      <c r="P68" s="2776"/>
      <c r="Q68" s="2738"/>
      <c r="R68" s="2660"/>
      <c r="S68" s="2660"/>
      <c r="T68" s="2660"/>
      <c r="U68" s="2660"/>
      <c r="V68" s="2660"/>
      <c r="W68" s="2660"/>
      <c r="X68" s="2660"/>
      <c r="Y68" s="2660"/>
      <c r="Z68" s="2660"/>
      <c r="AA68" s="2660"/>
      <c r="AB68" s="2660"/>
      <c r="AC68" s="2660"/>
      <c r="AD68" s="2660"/>
      <c r="AE68" s="2660"/>
    </row>
    <row r="69" spans="1:31" s="108" customFormat="1" ht="15.75" thickBot="1">
      <c r="A69" s="470"/>
      <c r="B69" s="459"/>
      <c r="C69" s="587">
        <v>100</v>
      </c>
      <c r="D69" s="461"/>
      <c r="E69" s="461"/>
      <c r="F69" s="461"/>
      <c r="G69" s="461"/>
      <c r="H69" s="461"/>
      <c r="I69" s="461"/>
      <c r="J69" s="461"/>
      <c r="K69" s="461"/>
      <c r="L69" s="461"/>
      <c r="M69" s="463"/>
      <c r="N69" s="2751"/>
      <c r="O69" s="2751"/>
      <c r="P69" s="2738"/>
      <c r="Q69" s="2738"/>
      <c r="R69" s="2660"/>
      <c r="S69" s="2660"/>
      <c r="T69" s="2660"/>
      <c r="U69" s="2660"/>
      <c r="V69" s="2660"/>
      <c r="W69" s="2660"/>
      <c r="X69" s="2660"/>
      <c r="Y69" s="2660"/>
      <c r="Z69" s="2660"/>
      <c r="AA69" s="2660"/>
      <c r="AB69" s="2660"/>
      <c r="AC69" s="2660"/>
      <c r="AD69" s="2660"/>
      <c r="AE69" s="2660"/>
    </row>
    <row r="70" spans="1:31">
      <c r="A70" s="476" t="s">
        <v>1719</v>
      </c>
      <c r="B70" s="477" t="s">
        <v>1685</v>
      </c>
      <c r="C70" s="479"/>
      <c r="D70" s="479"/>
      <c r="E70" s="479"/>
      <c r="F70" s="479"/>
      <c r="G70" s="479"/>
      <c r="H70" s="479"/>
      <c r="I70" s="479"/>
      <c r="J70" s="479"/>
      <c r="K70" s="480"/>
      <c r="L70" s="481"/>
      <c r="M70" s="482"/>
      <c r="N70" s="2752"/>
      <c r="O70" s="2752"/>
      <c r="P70" s="2777"/>
      <c r="Q70" s="2738"/>
      <c r="R70" s="2724"/>
      <c r="S70" s="2724"/>
      <c r="T70" s="2724"/>
      <c r="U70" s="2724"/>
      <c r="V70" s="2724"/>
      <c r="W70" s="2724"/>
      <c r="X70" s="2724"/>
      <c r="Y70" s="2724"/>
      <c r="Z70" s="2724"/>
      <c r="AA70" s="2724"/>
      <c r="AB70" s="2724"/>
      <c r="AC70" s="2724"/>
      <c r="AD70" s="2724"/>
      <c r="AE70" s="2724"/>
    </row>
    <row r="71" spans="1:31" ht="15.75" thickBot="1">
      <c r="A71" s="483"/>
      <c r="B71" s="484"/>
      <c r="C71" s="485"/>
      <c r="D71" s="485"/>
      <c r="E71" s="485"/>
      <c r="F71" s="485"/>
      <c r="G71" s="485"/>
      <c r="H71" s="485"/>
      <c r="I71" s="485"/>
      <c r="J71" s="485"/>
      <c r="K71" s="485"/>
      <c r="L71" s="485"/>
      <c r="M71" s="486"/>
      <c r="N71" s="2753"/>
      <c r="O71" s="2753"/>
      <c r="P71" s="2777"/>
      <c r="Q71" s="2738"/>
      <c r="R71" s="2724"/>
      <c r="S71" s="2724"/>
      <c r="T71" s="2724"/>
      <c r="U71" s="2724"/>
      <c r="V71" s="2724"/>
      <c r="W71" s="2724"/>
      <c r="X71" s="2724"/>
      <c r="Y71" s="2724"/>
      <c r="Z71" s="2724"/>
      <c r="AA71" s="2724"/>
      <c r="AB71" s="2724"/>
      <c r="AC71" s="2724"/>
      <c r="AD71" s="2724"/>
      <c r="AE71" s="2724"/>
    </row>
    <row r="72" spans="1:31" ht="27.75" thickTop="1">
      <c r="A72" s="483"/>
      <c r="B72" s="487" t="s">
        <v>1688</v>
      </c>
      <c r="C72" s="488"/>
      <c r="D72" s="488"/>
      <c r="E72" s="488"/>
      <c r="F72" s="488"/>
      <c r="G72" s="488"/>
      <c r="H72" s="488"/>
      <c r="I72" s="488"/>
      <c r="J72" s="488"/>
      <c r="K72" s="489"/>
      <c r="L72" s="490"/>
      <c r="M72" s="491"/>
      <c r="N72" s="2752"/>
      <c r="O72" s="2752"/>
      <c r="P72" s="2777"/>
      <c r="Q72" s="2738"/>
      <c r="R72" s="2724"/>
      <c r="S72" s="2724"/>
      <c r="T72" s="2724"/>
      <c r="U72" s="2724"/>
      <c r="V72" s="2724"/>
      <c r="W72" s="2724"/>
      <c r="X72" s="2724"/>
      <c r="Y72" s="2724"/>
      <c r="Z72" s="2724"/>
      <c r="AA72" s="2724"/>
      <c r="AB72" s="2724"/>
      <c r="AC72" s="2724"/>
      <c r="AD72" s="2724"/>
      <c r="AE72" s="2724"/>
    </row>
    <row r="73" spans="1:31" ht="15.75" thickBot="1">
      <c r="A73" s="483"/>
      <c r="B73" s="492"/>
      <c r="C73" s="493"/>
      <c r="D73" s="493"/>
      <c r="E73" s="493"/>
      <c r="F73" s="493"/>
      <c r="G73" s="493"/>
      <c r="H73" s="493"/>
      <c r="I73" s="493"/>
      <c r="J73" s="493"/>
      <c r="K73" s="493"/>
      <c r="L73" s="493"/>
      <c r="M73" s="494"/>
      <c r="N73" s="2753"/>
      <c r="O73" s="2753"/>
      <c r="P73" s="2777"/>
      <c r="Q73" s="2738"/>
      <c r="R73" s="2724"/>
      <c r="S73" s="2724"/>
      <c r="T73" s="2724"/>
      <c r="U73" s="2724"/>
      <c r="V73" s="2724"/>
      <c r="W73" s="2724"/>
      <c r="X73" s="2724"/>
      <c r="Y73" s="2724"/>
      <c r="Z73" s="2724"/>
      <c r="AA73" s="2724"/>
      <c r="AB73" s="2724"/>
      <c r="AC73" s="2724"/>
      <c r="AD73" s="2724"/>
      <c r="AE73" s="2724"/>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3"/>
      <c r="O74" s="2753"/>
      <c r="P74" s="2777"/>
      <c r="Q74" s="2738"/>
      <c r="R74" s="2724"/>
      <c r="S74" s="2724"/>
      <c r="T74" s="2724"/>
      <c r="U74" s="2724"/>
      <c r="V74" s="2724"/>
      <c r="W74" s="2724"/>
      <c r="X74" s="2724"/>
      <c r="Y74" s="2724"/>
      <c r="Z74" s="2724"/>
      <c r="AA74" s="2724"/>
      <c r="AB74" s="2724"/>
      <c r="AC74" s="2724"/>
      <c r="AD74" s="2724"/>
      <c r="AE74" s="2724"/>
    </row>
    <row r="75" spans="1:31" ht="15">
      <c r="A75" s="483"/>
      <c r="B75" s="497"/>
      <c r="C75" s="498"/>
      <c r="D75" s="498"/>
      <c r="E75" s="498"/>
      <c r="F75" s="498"/>
      <c r="G75" s="498"/>
      <c r="H75" s="498"/>
      <c r="I75" s="498"/>
      <c r="J75" s="498"/>
      <c r="K75" s="499"/>
      <c r="L75" s="500"/>
      <c r="M75" s="501"/>
      <c r="N75" s="2752"/>
      <c r="O75" s="2752"/>
      <c r="P75" s="2777"/>
      <c r="Q75" s="2738"/>
      <c r="R75" s="2724"/>
      <c r="S75" s="2724"/>
      <c r="T75" s="2724"/>
      <c r="U75" s="2724"/>
      <c r="V75" s="2724"/>
      <c r="W75" s="2724"/>
      <c r="X75" s="2724"/>
      <c r="Y75" s="2724"/>
      <c r="Z75" s="2724"/>
      <c r="AA75" s="2724"/>
      <c r="AB75" s="2724"/>
      <c r="AC75" s="2724"/>
      <c r="AD75" s="2724"/>
      <c r="AE75" s="2724"/>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3"/>
      <c r="O76" s="2753"/>
      <c r="P76" s="2777"/>
      <c r="Q76" s="2738"/>
      <c r="R76" s="2724"/>
      <c r="S76" s="2724"/>
      <c r="T76" s="2724"/>
      <c r="U76" s="2724"/>
      <c r="V76" s="2724"/>
      <c r="W76" s="2724"/>
      <c r="X76" s="2724"/>
      <c r="Y76" s="2724"/>
      <c r="Z76" s="2724"/>
      <c r="AA76" s="2724"/>
      <c r="AB76" s="2724"/>
      <c r="AC76" s="2724"/>
      <c r="AD76" s="2724"/>
      <c r="AE76" s="2724"/>
    </row>
    <row r="77" spans="1:31" s="422" customFormat="1" ht="15.75" thickTop="1">
      <c r="A77" s="502"/>
      <c r="B77" s="487">
        <f>B12</f>
        <v>111</v>
      </c>
      <c r="C77" s="503"/>
      <c r="D77" s="503"/>
      <c r="E77" s="503"/>
      <c r="F77" s="503"/>
      <c r="G77" s="503"/>
      <c r="H77" s="504"/>
      <c r="I77" s="504"/>
      <c r="J77" s="504"/>
      <c r="K77" s="504"/>
      <c r="L77" s="505"/>
      <c r="M77" s="506"/>
      <c r="N77" s="2754"/>
      <c r="O77" s="2754"/>
      <c r="P77" s="2778"/>
      <c r="Q77" s="2745"/>
      <c r="R77" s="2746"/>
      <c r="S77" s="2746"/>
      <c r="T77" s="2746"/>
      <c r="U77" s="2746"/>
      <c r="V77" s="2746"/>
      <c r="W77" s="2746"/>
      <c r="X77" s="2746"/>
      <c r="Y77" s="2746"/>
      <c r="Z77" s="2746"/>
      <c r="AA77" s="2746"/>
      <c r="AB77" s="2746"/>
      <c r="AC77" s="2746"/>
      <c r="AD77" s="2746"/>
      <c r="AE77" s="2746"/>
    </row>
    <row r="78" spans="1:31" s="422" customFormat="1" ht="15.75" thickBot="1">
      <c r="A78" s="502"/>
      <c r="B78" s="492"/>
      <c r="C78" s="509"/>
      <c r="D78" s="485"/>
      <c r="E78" s="485"/>
      <c r="F78" s="485"/>
      <c r="G78" s="485"/>
      <c r="H78" s="485"/>
      <c r="I78" s="485"/>
      <c r="J78" s="485"/>
      <c r="K78" s="485"/>
      <c r="L78" s="485"/>
      <c r="M78" s="486"/>
      <c r="N78" s="2753"/>
      <c r="O78" s="2753"/>
      <c r="P78" s="2778"/>
      <c r="Q78" s="2745"/>
      <c r="R78" s="2746"/>
      <c r="S78" s="2746"/>
      <c r="T78" s="2746"/>
      <c r="U78" s="2746"/>
      <c r="V78" s="2746"/>
      <c r="W78" s="2746"/>
      <c r="X78" s="2746"/>
      <c r="Y78" s="2746"/>
      <c r="Z78" s="2746"/>
      <c r="AA78" s="2746"/>
      <c r="AB78" s="2746"/>
      <c r="AC78" s="2746"/>
      <c r="AD78" s="2746"/>
      <c r="AE78" s="2746"/>
    </row>
    <row r="79" spans="1:31" s="422" customFormat="1" ht="15.75" thickTop="1">
      <c r="A79" s="502"/>
      <c r="B79" s="487">
        <f>B13</f>
        <v>111</v>
      </c>
      <c r="C79" s="503"/>
      <c r="D79" s="503"/>
      <c r="E79" s="503"/>
      <c r="F79" s="503"/>
      <c r="G79" s="503"/>
      <c r="H79" s="504"/>
      <c r="I79" s="504"/>
      <c r="J79" s="504"/>
      <c r="K79" s="504"/>
      <c r="L79" s="505"/>
      <c r="M79" s="506"/>
      <c r="N79" s="2754"/>
      <c r="O79" s="2754"/>
      <c r="P79" s="2722"/>
      <c r="Q79" s="2748"/>
      <c r="R79" s="2746"/>
      <c r="S79" s="2746"/>
      <c r="T79" s="2746"/>
      <c r="U79" s="2746"/>
      <c r="V79" s="2746"/>
      <c r="W79" s="2746"/>
      <c r="X79" s="2746"/>
      <c r="Y79" s="2746"/>
      <c r="Z79" s="2746"/>
      <c r="AA79" s="2746"/>
      <c r="AB79" s="2746"/>
      <c r="AC79" s="2746"/>
      <c r="AD79" s="2746"/>
      <c r="AE79" s="2746"/>
    </row>
    <row r="80" spans="1:31" s="422" customFormat="1" ht="15.75" thickBot="1">
      <c r="A80" s="502"/>
      <c r="B80" s="492"/>
      <c r="C80" s="509"/>
      <c r="D80" s="509"/>
      <c r="E80" s="509"/>
      <c r="F80" s="509"/>
      <c r="G80" s="509"/>
      <c r="H80" s="511"/>
      <c r="I80" s="511"/>
      <c r="J80" s="511"/>
      <c r="K80" s="511"/>
      <c r="L80" s="511"/>
      <c r="M80" s="512"/>
      <c r="N80" s="2754"/>
      <c r="O80" s="2754"/>
      <c r="P80" s="2778"/>
      <c r="Q80" s="2745"/>
      <c r="R80" s="2746"/>
      <c r="S80" s="2746"/>
      <c r="T80" s="2746"/>
      <c r="U80" s="2746"/>
      <c r="V80" s="2746"/>
      <c r="W80" s="2746"/>
      <c r="X80" s="2746"/>
      <c r="Y80" s="2746"/>
      <c r="Z80" s="2746"/>
      <c r="AA80" s="2746"/>
      <c r="AB80" s="2746"/>
      <c r="AC80" s="2746"/>
      <c r="AD80" s="2746"/>
      <c r="AE80" s="2746"/>
    </row>
    <row r="81" spans="1:31" s="422" customFormat="1" ht="15.75" thickTop="1">
      <c r="A81" s="502"/>
      <c r="B81" s="495">
        <f>B14</f>
        <v>111</v>
      </c>
      <c r="C81" s="472"/>
      <c r="D81" s="472"/>
      <c r="E81" s="472"/>
      <c r="F81" s="472"/>
      <c r="G81" s="472"/>
      <c r="H81" s="513"/>
      <c r="I81" s="513"/>
      <c r="J81" s="513"/>
      <c r="K81" s="513"/>
      <c r="L81" s="514"/>
      <c r="M81" s="515"/>
      <c r="N81" s="2754"/>
      <c r="O81" s="2754"/>
      <c r="P81" s="2783"/>
      <c r="Q81" s="2745"/>
      <c r="R81" s="2746"/>
      <c r="S81" s="2746"/>
      <c r="T81" s="2746"/>
      <c r="U81" s="2746"/>
      <c r="V81" s="2746"/>
      <c r="W81" s="2746"/>
      <c r="X81" s="2746"/>
      <c r="Y81" s="2746"/>
      <c r="Z81" s="2746"/>
      <c r="AA81" s="2746"/>
      <c r="AB81" s="2746"/>
      <c r="AC81" s="2746"/>
      <c r="AD81" s="2746"/>
      <c r="AE81" s="2746"/>
    </row>
    <row r="82" spans="1:31" s="422" customFormat="1" ht="15.75" thickBot="1">
      <c r="A82" s="517"/>
      <c r="B82" s="518"/>
      <c r="C82" s="519"/>
      <c r="D82" s="519"/>
      <c r="E82" s="519"/>
      <c r="F82" s="519"/>
      <c r="G82" s="519"/>
      <c r="H82" s="520"/>
      <c r="I82" s="520"/>
      <c r="J82" s="520"/>
      <c r="K82" s="520"/>
      <c r="L82" s="520"/>
      <c r="M82" s="521"/>
      <c r="N82" s="2754"/>
      <c r="O82" s="2754"/>
      <c r="P82" s="2778"/>
      <c r="Q82" s="2745"/>
      <c r="R82" s="2746"/>
      <c r="S82" s="2746"/>
      <c r="T82" s="2746"/>
      <c r="U82" s="2746"/>
      <c r="V82" s="2746"/>
      <c r="W82" s="2746"/>
      <c r="X82" s="2746"/>
      <c r="Y82" s="2746"/>
      <c r="Z82" s="2746"/>
      <c r="AA82" s="2746"/>
      <c r="AB82" s="2746"/>
      <c r="AC82" s="2746"/>
      <c r="AD82" s="2746"/>
      <c r="AE82" s="2746"/>
    </row>
    <row r="83" spans="1:31">
      <c r="A83" s="476" t="s">
        <v>1690</v>
      </c>
      <c r="B83" s="477" t="s">
        <v>1829</v>
      </c>
      <c r="C83" s="522" t="s">
        <v>1721</v>
      </c>
      <c r="D83" s="522" t="s">
        <v>1722</v>
      </c>
      <c r="E83" s="522" t="s">
        <v>1723</v>
      </c>
      <c r="F83" s="522" t="s">
        <v>1724</v>
      </c>
      <c r="G83" s="522" t="s">
        <v>1725</v>
      </c>
      <c r="H83" s="478"/>
      <c r="I83" s="478"/>
      <c r="J83" s="478"/>
      <c r="K83" s="523"/>
      <c r="L83" s="524"/>
      <c r="M83" s="525"/>
      <c r="N83" s="2752"/>
      <c r="O83" s="2752"/>
      <c r="P83" s="2779"/>
      <c r="Q83" s="2738"/>
      <c r="R83" s="2724"/>
      <c r="S83" s="2724"/>
      <c r="T83" s="2724"/>
      <c r="U83" s="2724"/>
      <c r="V83" s="2724"/>
      <c r="W83" s="2724"/>
      <c r="X83" s="2724"/>
      <c r="Y83" s="2724"/>
      <c r="Z83" s="2724"/>
      <c r="AA83" s="2724"/>
      <c r="AB83" s="2724"/>
      <c r="AC83" s="2724"/>
      <c r="AD83" s="2724"/>
      <c r="AE83" s="2724"/>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3"/>
      <c r="O84" s="2753"/>
      <c r="P84" s="2777"/>
      <c r="Q84" s="2738"/>
      <c r="R84" s="2724"/>
      <c r="S84" s="2724"/>
      <c r="T84" s="2724"/>
      <c r="U84" s="2724"/>
      <c r="V84" s="2724"/>
      <c r="W84" s="2724"/>
      <c r="X84" s="2724"/>
      <c r="Y84" s="2724"/>
      <c r="Z84" s="2724"/>
      <c r="AA84" s="2724"/>
      <c r="AB84" s="2724"/>
      <c r="AC84" s="2724"/>
      <c r="AD84" s="2724"/>
      <c r="AE84" s="2724"/>
    </row>
    <row r="85" spans="1:31" ht="15.75" thickTop="1">
      <c r="A85" s="483"/>
      <c r="B85" s="487" t="s">
        <v>1726</v>
      </c>
      <c r="C85" s="527" t="s">
        <v>1721</v>
      </c>
      <c r="D85" s="527" t="s">
        <v>1722</v>
      </c>
      <c r="E85" s="527" t="s">
        <v>1723</v>
      </c>
      <c r="F85" s="527" t="s">
        <v>1724</v>
      </c>
      <c r="G85" s="527" t="s">
        <v>1725</v>
      </c>
      <c r="H85" s="488"/>
      <c r="I85" s="488"/>
      <c r="J85" s="488"/>
      <c r="K85" s="489"/>
      <c r="L85" s="490"/>
      <c r="M85" s="491"/>
      <c r="N85" s="2752"/>
      <c r="O85" s="2752"/>
      <c r="P85" s="2777"/>
      <c r="Q85" s="2738"/>
      <c r="R85" s="2724"/>
      <c r="S85" s="2724"/>
      <c r="T85" s="2724"/>
      <c r="U85" s="2724"/>
      <c r="V85" s="2724"/>
      <c r="W85" s="2724"/>
      <c r="X85" s="2724"/>
      <c r="Y85" s="2724"/>
      <c r="Z85" s="2724"/>
      <c r="AA85" s="2724"/>
      <c r="AB85" s="2724"/>
      <c r="AC85" s="2724"/>
      <c r="AD85" s="2724"/>
      <c r="AE85" s="2724"/>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3"/>
      <c r="O86" s="2753"/>
      <c r="P86" s="2777"/>
      <c r="Q86" s="2738"/>
      <c r="R86" s="2724"/>
      <c r="S86" s="2724"/>
      <c r="T86" s="2724"/>
      <c r="U86" s="2724"/>
      <c r="V86" s="2724"/>
      <c r="W86" s="2724"/>
      <c r="X86" s="2724"/>
      <c r="Y86" s="2724"/>
      <c r="Z86" s="2724"/>
      <c r="AA86" s="2724"/>
      <c r="AB86" s="2724"/>
      <c r="AC86" s="2724"/>
      <c r="AD86" s="2724"/>
      <c r="AE86" s="2724"/>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51"/>
      <c r="O87" s="2751"/>
      <c r="P87" s="2777"/>
      <c r="Q87" s="2738"/>
      <c r="R87" s="2660"/>
      <c r="S87" s="2660"/>
      <c r="T87" s="2660"/>
      <c r="U87" s="2660"/>
      <c r="V87" s="2660"/>
      <c r="W87" s="2660"/>
      <c r="X87" s="2660"/>
      <c r="Y87" s="2660"/>
      <c r="Z87" s="2660"/>
      <c r="AA87" s="2660"/>
      <c r="AB87" s="2660"/>
      <c r="AC87" s="2660"/>
      <c r="AD87" s="2660"/>
      <c r="AE87" s="2660"/>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3"/>
      <c r="O88" s="2753"/>
      <c r="P88" s="2777"/>
      <c r="Q88" s="2738"/>
      <c r="R88" s="2660"/>
      <c r="S88" s="2660"/>
      <c r="T88" s="2660"/>
      <c r="U88" s="2660"/>
      <c r="V88" s="2660"/>
      <c r="W88" s="2660"/>
      <c r="X88" s="2660"/>
      <c r="Y88" s="2660"/>
      <c r="Z88" s="2660"/>
      <c r="AA88" s="2660"/>
      <c r="AB88" s="2660"/>
      <c r="AC88" s="2660"/>
      <c r="AD88" s="2660"/>
      <c r="AE88" s="2660"/>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51"/>
      <c r="O89" s="2751"/>
      <c r="P89" s="2777"/>
      <c r="Q89" s="2738"/>
      <c r="R89" s="2660"/>
      <c r="S89" s="2660"/>
      <c r="T89" s="2660"/>
      <c r="U89" s="2660"/>
      <c r="V89" s="2660"/>
      <c r="W89" s="2660"/>
      <c r="X89" s="2660"/>
      <c r="Y89" s="2660"/>
      <c r="Z89" s="2660"/>
      <c r="AA89" s="2660"/>
      <c r="AB89" s="2660"/>
      <c r="AC89" s="2660"/>
      <c r="AD89" s="2660"/>
      <c r="AE89" s="2660"/>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3"/>
      <c r="O90" s="2753"/>
      <c r="P90" s="2777"/>
      <c r="Q90" s="2738"/>
      <c r="R90" s="2660"/>
      <c r="S90" s="2660"/>
      <c r="T90" s="2660"/>
      <c r="U90" s="2660"/>
      <c r="V90" s="2660"/>
      <c r="W90" s="2660"/>
      <c r="X90" s="2660"/>
      <c r="Y90" s="2660"/>
      <c r="Z90" s="2660"/>
      <c r="AA90" s="2660"/>
      <c r="AB90" s="2660"/>
      <c r="AC90" s="2660"/>
      <c r="AD90" s="2660"/>
      <c r="AE90" s="2660"/>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4"/>
      <c r="O91" s="2754"/>
      <c r="P91" s="2778"/>
      <c r="Q91" s="2745"/>
      <c r="R91" s="2746"/>
      <c r="S91" s="2746"/>
      <c r="T91" s="2746"/>
      <c r="U91" s="2746"/>
      <c r="V91" s="2746"/>
      <c r="W91" s="2746"/>
      <c r="X91" s="2746"/>
      <c r="Y91" s="2746"/>
      <c r="Z91" s="2746"/>
      <c r="AA91" s="2746"/>
      <c r="AB91" s="2746"/>
      <c r="AC91" s="2746"/>
      <c r="AD91" s="2746"/>
      <c r="AE91" s="2746"/>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4"/>
      <c r="O92" s="2754"/>
      <c r="P92" s="2778"/>
      <c r="Q92" s="2745"/>
      <c r="R92" s="2746"/>
      <c r="S92" s="2746"/>
      <c r="T92" s="2746"/>
      <c r="U92" s="2746"/>
      <c r="V92" s="2746"/>
      <c r="W92" s="2746"/>
      <c r="X92" s="2746"/>
      <c r="Y92" s="2746"/>
      <c r="Z92" s="2746"/>
      <c r="AA92" s="2746"/>
      <c r="AB92" s="2746"/>
      <c r="AC92" s="2746"/>
      <c r="AD92" s="2746"/>
      <c r="AE92" s="2746"/>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4"/>
      <c r="O93" s="2754"/>
      <c r="P93" s="2778"/>
      <c r="Q93" s="2745"/>
      <c r="R93" s="2746"/>
      <c r="S93" s="2746"/>
      <c r="T93" s="2746"/>
      <c r="U93" s="2746"/>
      <c r="V93" s="2746"/>
      <c r="W93" s="2746"/>
      <c r="X93" s="2746"/>
      <c r="Y93" s="2746"/>
      <c r="Z93" s="2746"/>
      <c r="AA93" s="2746"/>
      <c r="AB93" s="2746"/>
      <c r="AC93" s="2746"/>
      <c r="AD93" s="2746"/>
      <c r="AE93" s="2746"/>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4"/>
      <c r="O94" s="2754"/>
      <c r="P94" s="2778"/>
      <c r="Q94" s="2745"/>
      <c r="R94" s="2746"/>
      <c r="S94" s="2746"/>
      <c r="T94" s="2746"/>
      <c r="U94" s="2746"/>
      <c r="V94" s="2746"/>
      <c r="W94" s="2746"/>
      <c r="X94" s="2746"/>
      <c r="Y94" s="2746"/>
      <c r="Z94" s="2746"/>
      <c r="AA94" s="2746"/>
      <c r="AB94" s="2746"/>
      <c r="AC94" s="2746"/>
      <c r="AD94" s="2746"/>
      <c r="AE94" s="2746"/>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2"/>
      <c r="O95" s="2752"/>
      <c r="P95" s="2777"/>
      <c r="Q95" s="2738"/>
      <c r="R95" s="2724"/>
      <c r="S95" s="2724"/>
      <c r="T95" s="2724"/>
      <c r="U95" s="2724"/>
      <c r="V95" s="2724"/>
      <c r="W95" s="2724"/>
      <c r="X95" s="2724"/>
      <c r="Y95" s="2724"/>
      <c r="Z95" s="2724"/>
      <c r="AA95" s="2724"/>
      <c r="AB95" s="2724"/>
      <c r="AC95" s="2724"/>
      <c r="AD95" s="2724"/>
      <c r="AE95" s="2724"/>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3"/>
      <c r="O96" s="2753"/>
      <c r="P96" s="2777"/>
      <c r="Q96" s="2738"/>
      <c r="R96" s="2724"/>
      <c r="S96" s="2724"/>
      <c r="T96" s="2724"/>
      <c r="U96" s="2724"/>
      <c r="V96" s="2724"/>
      <c r="W96" s="2724"/>
      <c r="X96" s="2724"/>
      <c r="Y96" s="2724"/>
      <c r="Z96" s="2724"/>
      <c r="AA96" s="2724"/>
      <c r="AB96" s="2724"/>
      <c r="AC96" s="2724"/>
      <c r="AD96" s="2724"/>
      <c r="AE96" s="2724"/>
    </row>
    <row r="97" spans="1:31" ht="27.75" thickTop="1">
      <c r="A97" s="483"/>
      <c r="B97" s="487" t="s">
        <v>1815</v>
      </c>
      <c r="C97" s="503"/>
      <c r="D97" s="503"/>
      <c r="E97" s="503"/>
      <c r="F97" s="503"/>
      <c r="G97" s="503"/>
      <c r="H97" s="532"/>
      <c r="I97" s="532"/>
      <c r="J97" s="532"/>
      <c r="K97" s="533"/>
      <c r="L97" s="534"/>
      <c r="M97" s="535"/>
      <c r="N97" s="2752"/>
      <c r="O97" s="2752"/>
      <c r="P97" s="2777"/>
      <c r="Q97" s="2738"/>
      <c r="R97" s="2724"/>
      <c r="S97" s="2724"/>
      <c r="T97" s="2724"/>
      <c r="U97" s="2724"/>
      <c r="V97" s="2724"/>
      <c r="W97" s="2724"/>
      <c r="X97" s="2724"/>
      <c r="Y97" s="2724"/>
      <c r="Z97" s="2724"/>
      <c r="AA97" s="2724"/>
      <c r="AB97" s="2724"/>
      <c r="AC97" s="2724"/>
      <c r="AD97" s="2724"/>
      <c r="AE97" s="2724"/>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3"/>
      <c r="O98" s="2753"/>
      <c r="P98" s="2777"/>
      <c r="Q98" s="2738"/>
      <c r="R98" s="2724"/>
      <c r="S98" s="2724"/>
      <c r="T98" s="2724"/>
      <c r="U98" s="2724"/>
      <c r="V98" s="2724"/>
      <c r="W98" s="2724"/>
      <c r="X98" s="2724"/>
      <c r="Y98" s="2724"/>
      <c r="Z98" s="2724"/>
      <c r="AA98" s="2724"/>
      <c r="AB98" s="2724"/>
      <c r="AC98" s="2724"/>
      <c r="AD98" s="2724"/>
      <c r="AE98" s="2724"/>
    </row>
    <row r="99" spans="1:31" ht="15.75" thickTop="1">
      <c r="A99" s="483"/>
      <c r="B99" s="487" t="s">
        <v>1873</v>
      </c>
      <c r="C99" s="532"/>
      <c r="D99" s="532"/>
      <c r="E99" s="532"/>
      <c r="F99" s="532"/>
      <c r="G99" s="532"/>
      <c r="H99" s="532"/>
      <c r="I99" s="532"/>
      <c r="J99" s="532"/>
      <c r="K99" s="533"/>
      <c r="L99" s="534"/>
      <c r="M99" s="535"/>
      <c r="N99" s="2752"/>
      <c r="O99" s="2752"/>
      <c r="P99" s="2777"/>
      <c r="Q99" s="2738"/>
      <c r="R99" s="2724"/>
      <c r="S99" s="2724"/>
      <c r="T99" s="2724"/>
      <c r="U99" s="2724"/>
      <c r="V99" s="2724"/>
      <c r="W99" s="2724"/>
      <c r="X99" s="2724"/>
      <c r="Y99" s="2724"/>
      <c r="Z99" s="2724"/>
      <c r="AA99" s="2724"/>
      <c r="AB99" s="2724"/>
      <c r="AC99" s="2724"/>
      <c r="AD99" s="2724"/>
      <c r="AE99" s="2724"/>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3"/>
      <c r="O100" s="2753"/>
      <c r="P100" s="2777"/>
      <c r="Q100" s="2738"/>
      <c r="R100" s="2724"/>
      <c r="S100" s="2724"/>
      <c r="T100" s="2724"/>
      <c r="U100" s="2724"/>
      <c r="V100" s="2724"/>
      <c r="W100" s="2724"/>
      <c r="X100" s="2724"/>
      <c r="Y100" s="2724"/>
      <c r="Z100" s="2724"/>
      <c r="AA100" s="2724"/>
      <c r="AB100" s="2724"/>
      <c r="AC100" s="2724"/>
      <c r="AD100" s="2724"/>
      <c r="AE100" s="2724"/>
    </row>
    <row r="101" spans="1:31" ht="15.75" thickTop="1">
      <c r="A101" s="483"/>
      <c r="B101" s="495">
        <f>B31</f>
        <v>111</v>
      </c>
      <c r="C101" s="503"/>
      <c r="D101" s="503"/>
      <c r="E101" s="503"/>
      <c r="F101" s="503"/>
      <c r="G101" s="536"/>
      <c r="H101" s="536"/>
      <c r="I101" s="536"/>
      <c r="J101" s="536"/>
      <c r="K101" s="537"/>
      <c r="L101" s="538"/>
      <c r="M101" s="539"/>
      <c r="N101" s="2752"/>
      <c r="O101" s="2752"/>
      <c r="P101" s="2777"/>
      <c r="Q101" s="2738"/>
      <c r="R101" s="2724"/>
      <c r="S101" s="2724"/>
      <c r="T101" s="2724"/>
      <c r="U101" s="2724"/>
      <c r="V101" s="2724"/>
      <c r="W101" s="2724"/>
      <c r="X101" s="2724"/>
      <c r="Y101" s="2724"/>
      <c r="Z101" s="2724"/>
      <c r="AA101" s="2724"/>
      <c r="AB101" s="2724"/>
      <c r="AC101" s="2724"/>
      <c r="AD101" s="2724"/>
      <c r="AE101" s="2724"/>
    </row>
    <row r="102" spans="1:31" ht="15.75" thickBot="1">
      <c r="A102" s="483"/>
      <c r="B102" s="518"/>
      <c r="C102" s="509"/>
      <c r="D102" s="485"/>
      <c r="E102" s="485"/>
      <c r="F102" s="485"/>
      <c r="G102" s="540"/>
      <c r="H102" s="540"/>
      <c r="I102" s="540"/>
      <c r="J102" s="540"/>
      <c r="K102" s="540"/>
      <c r="L102" s="540"/>
      <c r="M102" s="541"/>
      <c r="N102" s="2753"/>
      <c r="O102" s="2753"/>
      <c r="P102" s="2777"/>
      <c r="Q102" s="2738"/>
      <c r="R102" s="2724"/>
      <c r="S102" s="2724"/>
      <c r="T102" s="2724"/>
      <c r="U102" s="2724"/>
      <c r="V102" s="2724"/>
      <c r="W102" s="2724"/>
      <c r="X102" s="2724"/>
      <c r="Y102" s="2724"/>
      <c r="Z102" s="2724"/>
      <c r="AA102" s="2724"/>
      <c r="AB102" s="2724"/>
      <c r="AC102" s="2724"/>
      <c r="AD102" s="2724"/>
      <c r="AE102" s="2724"/>
    </row>
    <row r="103" spans="1:31" ht="15" thickTop="1">
      <c r="A103" s="623"/>
      <c r="B103" s="487">
        <f>B32</f>
        <v>111</v>
      </c>
      <c r="C103" s="503"/>
      <c r="D103" s="503"/>
      <c r="E103" s="503"/>
      <c r="F103" s="503"/>
      <c r="G103" s="532"/>
      <c r="H103" s="532"/>
      <c r="I103" s="532"/>
      <c r="J103" s="532"/>
      <c r="K103" s="533"/>
      <c r="L103" s="534"/>
      <c r="M103" s="535"/>
      <c r="N103" s="2752"/>
      <c r="O103" s="2752"/>
      <c r="P103" s="2777"/>
      <c r="Q103" s="2738"/>
      <c r="R103" s="2724"/>
      <c r="S103" s="2724"/>
      <c r="T103" s="2724"/>
      <c r="U103" s="2724"/>
      <c r="V103" s="2724"/>
      <c r="W103" s="2724"/>
      <c r="X103" s="2724"/>
      <c r="Y103" s="2724"/>
      <c r="Z103" s="2724"/>
      <c r="AA103" s="2724"/>
      <c r="AB103" s="2724"/>
      <c r="AC103" s="2724"/>
      <c r="AD103" s="2724"/>
      <c r="AE103" s="2724"/>
    </row>
    <row r="104" spans="1:31" ht="15.75" thickBot="1">
      <c r="A104" s="483"/>
      <c r="B104" s="492"/>
      <c r="C104" s="509"/>
      <c r="D104" s="509"/>
      <c r="E104" s="509"/>
      <c r="F104" s="509"/>
      <c r="G104" s="485"/>
      <c r="H104" s="485"/>
      <c r="I104" s="485"/>
      <c r="J104" s="485"/>
      <c r="K104" s="485"/>
      <c r="L104" s="485"/>
      <c r="M104" s="486"/>
      <c r="N104" s="2753"/>
      <c r="O104" s="2753"/>
      <c r="P104" s="2777"/>
      <c r="Q104" s="2738"/>
      <c r="R104" s="2724"/>
      <c r="S104" s="2724"/>
      <c r="T104" s="2724"/>
      <c r="U104" s="2724"/>
      <c r="V104" s="2724"/>
      <c r="W104" s="2724"/>
      <c r="X104" s="2724"/>
      <c r="Y104" s="2724"/>
      <c r="Z104" s="2724"/>
      <c r="AA104" s="2724"/>
      <c r="AB104" s="2724"/>
      <c r="AC104" s="2724"/>
      <c r="AD104" s="2724"/>
      <c r="AE104" s="2724"/>
    </row>
    <row r="105" spans="1:31" s="422" customFormat="1" ht="15" thickTop="1">
      <c r="A105" s="542"/>
      <c r="B105" s="543">
        <f>B33</f>
        <v>111</v>
      </c>
      <c r="C105" s="472"/>
      <c r="D105" s="472"/>
      <c r="E105" s="472"/>
      <c r="F105" s="472"/>
      <c r="G105" s="544"/>
      <c r="H105" s="544"/>
      <c r="I105" s="544"/>
      <c r="J105" s="545"/>
      <c r="K105" s="545"/>
      <c r="L105" s="546"/>
      <c r="M105" s="547"/>
      <c r="N105" s="2754"/>
      <c r="O105" s="2754"/>
      <c r="P105" s="2778"/>
      <c r="Q105" s="2745"/>
      <c r="R105" s="2746"/>
      <c r="S105" s="2746"/>
      <c r="T105" s="2746"/>
      <c r="U105" s="2746"/>
      <c r="V105" s="2746"/>
      <c r="W105" s="2746"/>
      <c r="X105" s="2746"/>
      <c r="Y105" s="2746"/>
      <c r="Z105" s="2746"/>
      <c r="AA105" s="2746"/>
      <c r="AB105" s="2746"/>
      <c r="AC105" s="2746"/>
      <c r="AD105" s="2746"/>
      <c r="AE105" s="2746"/>
    </row>
    <row r="106" spans="1:31" s="422" customFormat="1" ht="15.75" thickBot="1">
      <c r="A106" s="502"/>
      <c r="B106" s="495"/>
      <c r="C106" s="519"/>
      <c r="D106" s="519"/>
      <c r="E106" s="519"/>
      <c r="F106" s="519"/>
      <c r="G106" s="625"/>
      <c r="H106" s="625"/>
      <c r="I106" s="625"/>
      <c r="J106" s="625"/>
      <c r="K106" s="625"/>
      <c r="L106" s="625"/>
      <c r="M106" s="647"/>
      <c r="N106" s="2753"/>
      <c r="O106" s="2753"/>
      <c r="P106" s="2778"/>
      <c r="Q106" s="2745"/>
      <c r="R106" s="2746"/>
      <c r="S106" s="2746"/>
      <c r="T106" s="2746"/>
      <c r="U106" s="2746"/>
      <c r="V106" s="2746"/>
      <c r="W106" s="2746"/>
      <c r="X106" s="2746"/>
      <c r="Y106" s="2746"/>
      <c r="Z106" s="2746"/>
      <c r="AA106" s="2746"/>
      <c r="AB106" s="2746"/>
      <c r="AC106" s="2746"/>
      <c r="AD106" s="2746"/>
      <c r="AE106" s="2746"/>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2"/>
      <c r="O107" s="2752"/>
      <c r="P107" s="2777"/>
      <c r="Q107" s="2738"/>
      <c r="R107" s="2724"/>
      <c r="S107" s="2724"/>
      <c r="T107" s="2724"/>
      <c r="U107" s="2724"/>
      <c r="V107" s="2724"/>
      <c r="W107" s="2724"/>
      <c r="X107" s="2724"/>
      <c r="Y107" s="2724"/>
      <c r="Z107" s="2724"/>
      <c r="AA107" s="2724"/>
      <c r="AB107" s="2724"/>
      <c r="AC107" s="2724"/>
      <c r="AD107" s="2724"/>
      <c r="AE107" s="2724"/>
    </row>
    <row r="108" spans="1:31" ht="15">
      <c r="A108" s="483"/>
      <c r="B108" s="495"/>
      <c r="C108" s="544"/>
      <c r="D108" s="544"/>
      <c r="E108" s="544"/>
      <c r="F108" s="544"/>
      <c r="G108" s="544"/>
      <c r="H108" s="544"/>
      <c r="I108" s="544"/>
      <c r="J108" s="545"/>
      <c r="K108" s="545"/>
      <c r="L108" s="546"/>
      <c r="M108" s="547"/>
      <c r="N108" s="2752"/>
      <c r="O108" s="2752"/>
      <c r="P108" s="2777"/>
      <c r="Q108" s="2738"/>
      <c r="R108" s="2724"/>
      <c r="S108" s="2724"/>
      <c r="T108" s="2724"/>
      <c r="U108" s="2724"/>
      <c r="V108" s="2724"/>
      <c r="W108" s="2724"/>
      <c r="X108" s="2724"/>
      <c r="Y108" s="2724"/>
      <c r="Z108" s="2724"/>
      <c r="AA108" s="2724"/>
      <c r="AB108" s="2724"/>
      <c r="AC108" s="2724"/>
      <c r="AD108" s="2724"/>
      <c r="AE108" s="2724"/>
    </row>
    <row r="109" spans="1:31" ht="15.75" thickBot="1">
      <c r="A109" s="483"/>
      <c r="B109" s="492"/>
      <c r="C109" s="519"/>
      <c r="D109" s="540"/>
      <c r="E109" s="540"/>
      <c r="F109" s="540"/>
      <c r="G109" s="540"/>
      <c r="H109" s="540"/>
      <c r="I109" s="540"/>
      <c r="J109" s="540"/>
      <c r="K109" s="540"/>
      <c r="L109" s="540"/>
      <c r="M109" s="541"/>
      <c r="N109" s="2753"/>
      <c r="O109" s="2753"/>
      <c r="P109" s="2777"/>
      <c r="Q109" s="2738"/>
      <c r="R109" s="2724"/>
      <c r="S109" s="2724"/>
      <c r="T109" s="2724"/>
      <c r="U109" s="2724"/>
      <c r="V109" s="2724"/>
      <c r="W109" s="2724"/>
      <c r="X109" s="2724"/>
      <c r="Y109" s="2724"/>
      <c r="Z109" s="2724"/>
      <c r="AA109" s="2724"/>
      <c r="AB109" s="2724"/>
      <c r="AC109" s="2724"/>
      <c r="AD109" s="2724"/>
      <c r="AE109" s="2724"/>
    </row>
    <row r="110" spans="1:31" ht="15" thickTop="1">
      <c r="A110" s="548"/>
      <c r="B110" s="487" t="s">
        <v>1914</v>
      </c>
      <c r="C110" s="532"/>
      <c r="D110" s="532"/>
      <c r="E110" s="532"/>
      <c r="F110" s="532"/>
      <c r="G110" s="532"/>
      <c r="H110" s="532"/>
      <c r="I110" s="532"/>
      <c r="J110" s="532"/>
      <c r="K110" s="533"/>
      <c r="L110" s="534"/>
      <c r="M110" s="535"/>
      <c r="N110" s="2752"/>
      <c r="O110" s="2752"/>
      <c r="P110" s="2777"/>
      <c r="Q110" s="2738"/>
      <c r="R110" s="2724"/>
      <c r="S110" s="2724"/>
      <c r="T110" s="2724"/>
      <c r="U110" s="2724"/>
      <c r="V110" s="2724"/>
      <c r="W110" s="2724"/>
      <c r="X110" s="2724"/>
      <c r="Y110" s="2724"/>
      <c r="Z110" s="2724"/>
      <c r="AA110" s="2724"/>
      <c r="AB110" s="2724"/>
      <c r="AC110" s="2724"/>
      <c r="AD110" s="2724"/>
      <c r="AE110" s="2724"/>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3"/>
      <c r="O111" s="2753"/>
      <c r="P111" s="2777"/>
      <c r="Q111" s="2738"/>
      <c r="R111" s="2724"/>
      <c r="S111" s="2724"/>
      <c r="T111" s="2724"/>
      <c r="U111" s="2724"/>
      <c r="V111" s="2724"/>
      <c r="W111" s="2724"/>
      <c r="X111" s="2724"/>
      <c r="Y111" s="2724"/>
      <c r="Z111" s="2724"/>
      <c r="AA111" s="2724"/>
      <c r="AB111" s="2724"/>
      <c r="AC111" s="2724"/>
      <c r="AD111" s="2724"/>
      <c r="AE111" s="2724"/>
    </row>
    <row r="112" spans="1:31" s="422" customFormat="1" ht="15" thickTop="1">
      <c r="A112" s="542"/>
      <c r="B112" s="487" t="s">
        <v>1916</v>
      </c>
      <c r="C112" s="503"/>
      <c r="D112" s="503"/>
      <c r="E112" s="503"/>
      <c r="F112" s="503"/>
      <c r="G112" s="503"/>
      <c r="H112" s="532"/>
      <c r="I112" s="532"/>
      <c r="J112" s="532"/>
      <c r="K112" s="533"/>
      <c r="L112" s="534"/>
      <c r="M112" s="535"/>
      <c r="N112" s="2754"/>
      <c r="O112" s="2754"/>
      <c r="P112" s="2778"/>
      <c r="Q112" s="2745"/>
      <c r="R112" s="2746"/>
      <c r="S112" s="2746"/>
      <c r="T112" s="2746"/>
      <c r="U112" s="2746"/>
      <c r="V112" s="2746"/>
      <c r="W112" s="2746"/>
      <c r="X112" s="2746"/>
      <c r="Y112" s="2746"/>
      <c r="Z112" s="2746"/>
      <c r="AA112" s="2746"/>
      <c r="AB112" s="2746"/>
      <c r="AC112" s="2746"/>
      <c r="AD112" s="2746"/>
      <c r="AE112" s="2746"/>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4"/>
      <c r="O113" s="2754"/>
      <c r="P113" s="2778"/>
      <c r="Q113" s="2745"/>
      <c r="R113" s="2746"/>
      <c r="S113" s="2746"/>
      <c r="T113" s="2746"/>
      <c r="U113" s="2746"/>
      <c r="V113" s="2746"/>
      <c r="W113" s="2746"/>
      <c r="X113" s="2746"/>
      <c r="Y113" s="2746"/>
      <c r="Z113" s="2746"/>
      <c r="AA113" s="2746"/>
      <c r="AB113" s="2746"/>
      <c r="AC113" s="2746"/>
      <c r="AD113" s="2746"/>
      <c r="AE113" s="2746"/>
    </row>
    <row r="114" spans="1:31" ht="15" thickTop="1">
      <c r="A114" s="548"/>
      <c r="B114" s="487" t="s">
        <v>1917</v>
      </c>
      <c r="C114" s="503"/>
      <c r="D114" s="503"/>
      <c r="E114" s="532"/>
      <c r="F114" s="532"/>
      <c r="G114" s="532"/>
      <c r="H114" s="532"/>
      <c r="I114" s="532"/>
      <c r="J114" s="532"/>
      <c r="K114" s="533"/>
      <c r="L114" s="534"/>
      <c r="M114" s="535"/>
      <c r="N114" s="2752"/>
      <c r="O114" s="2752"/>
      <c r="P114" s="2777"/>
      <c r="Q114" s="2738"/>
      <c r="R114" s="2724"/>
      <c r="S114" s="2724"/>
      <c r="T114" s="2724"/>
      <c r="U114" s="2724"/>
      <c r="V114" s="2724"/>
      <c r="W114" s="2724"/>
      <c r="X114" s="2724"/>
      <c r="Y114" s="2724"/>
      <c r="Z114" s="2724"/>
      <c r="AA114" s="2724"/>
      <c r="AB114" s="2724"/>
      <c r="AC114" s="2724"/>
      <c r="AD114" s="2724"/>
      <c r="AE114" s="2724"/>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3"/>
      <c r="O115" s="2753"/>
      <c r="P115" s="2777"/>
      <c r="Q115" s="2738"/>
      <c r="R115" s="2724"/>
      <c r="S115" s="2724"/>
      <c r="T115" s="2724"/>
      <c r="U115" s="2724"/>
      <c r="V115" s="2724"/>
      <c r="W115" s="2724"/>
      <c r="X115" s="2724"/>
      <c r="Y115" s="2724"/>
      <c r="Z115" s="2724"/>
      <c r="AA115" s="2724"/>
      <c r="AB115" s="2724"/>
      <c r="AC115" s="2724"/>
      <c r="AD115" s="2724"/>
      <c r="AE115" s="2724"/>
    </row>
    <row r="116" spans="1:31" ht="15" thickTop="1">
      <c r="A116" s="548"/>
      <c r="B116" s="487">
        <f>B38</f>
        <v>111</v>
      </c>
      <c r="C116" s="503"/>
      <c r="D116" s="503"/>
      <c r="E116" s="503"/>
      <c r="F116" s="503"/>
      <c r="G116" s="503"/>
      <c r="H116" s="532"/>
      <c r="I116" s="532"/>
      <c r="J116" s="532"/>
      <c r="K116" s="533"/>
      <c r="L116" s="534"/>
      <c r="M116" s="535"/>
      <c r="N116" s="2752"/>
      <c r="O116" s="2752"/>
      <c r="P116" s="2777"/>
      <c r="Q116" s="2738"/>
      <c r="R116" s="2724"/>
      <c r="S116" s="2724"/>
      <c r="T116" s="2724"/>
      <c r="U116" s="2724"/>
      <c r="V116" s="2724"/>
      <c r="W116" s="2724"/>
      <c r="X116" s="2724"/>
      <c r="Y116" s="2724"/>
      <c r="Z116" s="2724"/>
      <c r="AA116" s="2724"/>
      <c r="AB116" s="2724"/>
      <c r="AC116" s="2724"/>
      <c r="AD116" s="2724"/>
      <c r="AE116" s="2724"/>
    </row>
    <row r="117" spans="1:31" ht="15.75" thickBot="1">
      <c r="A117" s="483"/>
      <c r="B117" s="492"/>
      <c r="C117" s="509"/>
      <c r="D117" s="485"/>
      <c r="E117" s="485"/>
      <c r="F117" s="485"/>
      <c r="G117" s="485"/>
      <c r="H117" s="485"/>
      <c r="I117" s="485"/>
      <c r="J117" s="485"/>
      <c r="K117" s="485"/>
      <c r="L117" s="485"/>
      <c r="M117" s="486"/>
      <c r="N117" s="2753"/>
      <c r="O117" s="2753"/>
      <c r="P117" s="2777"/>
      <c r="Q117" s="2738"/>
      <c r="R117" s="2724"/>
      <c r="S117" s="2724"/>
      <c r="T117" s="2724"/>
      <c r="U117" s="2724"/>
      <c r="V117" s="2724"/>
      <c r="W117" s="2724"/>
      <c r="X117" s="2724"/>
      <c r="Y117" s="2724"/>
      <c r="Z117" s="2724"/>
      <c r="AA117" s="2724"/>
      <c r="AB117" s="2724"/>
      <c r="AC117" s="2724"/>
      <c r="AD117" s="2724"/>
      <c r="AE117" s="2724"/>
    </row>
    <row r="118" spans="1:31" ht="15" thickTop="1">
      <c r="A118" s="548"/>
      <c r="B118" s="487">
        <f>B39</f>
        <v>111</v>
      </c>
      <c r="C118" s="503"/>
      <c r="D118" s="503"/>
      <c r="E118" s="503"/>
      <c r="F118" s="503"/>
      <c r="G118" s="532"/>
      <c r="H118" s="532"/>
      <c r="I118" s="532"/>
      <c r="J118" s="532"/>
      <c r="K118" s="533"/>
      <c r="L118" s="534"/>
      <c r="M118" s="535"/>
      <c r="N118" s="2752"/>
      <c r="O118" s="2752"/>
      <c r="P118" s="2777"/>
      <c r="Q118" s="2738"/>
      <c r="R118" s="2724"/>
      <c r="S118" s="2724"/>
      <c r="T118" s="2724"/>
      <c r="U118" s="2724"/>
      <c r="V118" s="2724"/>
      <c r="W118" s="2724"/>
      <c r="X118" s="2724"/>
      <c r="Y118" s="2724"/>
      <c r="Z118" s="2724"/>
      <c r="AA118" s="2724"/>
      <c r="AB118" s="2724"/>
      <c r="AC118" s="2724"/>
      <c r="AD118" s="2724"/>
      <c r="AE118" s="2724"/>
    </row>
    <row r="119" spans="1:31" ht="15.75" thickBot="1">
      <c r="A119" s="483"/>
      <c r="B119" s="492"/>
      <c r="C119" s="509"/>
      <c r="D119" s="509"/>
      <c r="E119" s="509"/>
      <c r="F119" s="509"/>
      <c r="G119" s="485"/>
      <c r="H119" s="485"/>
      <c r="I119" s="485"/>
      <c r="J119" s="485"/>
      <c r="K119" s="485"/>
      <c r="L119" s="485"/>
      <c r="M119" s="486"/>
      <c r="N119" s="2753"/>
      <c r="O119" s="2753"/>
      <c r="P119" s="2777"/>
      <c r="Q119" s="2738"/>
      <c r="R119" s="2724"/>
      <c r="S119" s="2724"/>
      <c r="T119" s="2724"/>
      <c r="U119" s="2724"/>
      <c r="V119" s="2724"/>
      <c r="W119" s="2724"/>
      <c r="X119" s="2724"/>
      <c r="Y119" s="2724"/>
      <c r="Z119" s="2724"/>
      <c r="AA119" s="2724"/>
      <c r="AB119" s="2724"/>
      <c r="AC119" s="2724"/>
      <c r="AD119" s="2724"/>
      <c r="AE119" s="2724"/>
    </row>
    <row r="120" spans="1:31" s="422" customFormat="1" ht="15" thickTop="1">
      <c r="A120" s="542"/>
      <c r="B120" s="487">
        <f>B40</f>
        <v>111</v>
      </c>
      <c r="C120" s="472"/>
      <c r="D120" s="472"/>
      <c r="E120" s="472"/>
      <c r="F120" s="472"/>
      <c r="G120" s="504"/>
      <c r="H120" s="504"/>
      <c r="I120" s="504"/>
      <c r="J120" s="504"/>
      <c r="K120" s="504"/>
      <c r="L120" s="505"/>
      <c r="M120" s="506"/>
      <c r="N120" s="2754"/>
      <c r="O120" s="2754"/>
      <c r="P120" s="2778"/>
      <c r="Q120" s="2745"/>
      <c r="R120" s="2746"/>
      <c r="S120" s="2746"/>
      <c r="T120" s="2746"/>
      <c r="U120" s="2746"/>
      <c r="V120" s="2746"/>
      <c r="W120" s="2746"/>
      <c r="X120" s="2746"/>
      <c r="Y120" s="2746"/>
      <c r="Z120" s="2746"/>
      <c r="AA120" s="2746"/>
      <c r="AB120" s="2746"/>
      <c r="AC120" s="2746"/>
      <c r="AD120" s="2746"/>
      <c r="AE120" s="2746"/>
    </row>
    <row r="121" spans="1:31" s="422" customFormat="1" ht="15.75" thickBot="1">
      <c r="A121" s="517"/>
      <c r="B121" s="648"/>
      <c r="C121" s="519"/>
      <c r="D121" s="519"/>
      <c r="E121" s="519"/>
      <c r="F121" s="519"/>
      <c r="G121" s="540"/>
      <c r="H121" s="540"/>
      <c r="I121" s="540"/>
      <c r="J121" s="540"/>
      <c r="K121" s="540"/>
      <c r="L121" s="540"/>
      <c r="M121" s="541"/>
      <c r="N121" s="2754"/>
      <c r="O121" s="2754"/>
      <c r="P121" s="2778"/>
      <c r="Q121" s="2745"/>
      <c r="R121" s="2746"/>
      <c r="S121" s="2746"/>
      <c r="T121" s="2746"/>
      <c r="U121" s="2746"/>
      <c r="V121" s="2746"/>
      <c r="W121" s="2746"/>
      <c r="X121" s="2746"/>
      <c r="Y121" s="2746"/>
      <c r="Z121" s="2746"/>
      <c r="AA121" s="2746"/>
      <c r="AB121" s="2746"/>
      <c r="AC121" s="2746"/>
      <c r="AD121" s="2746"/>
      <c r="AE121" s="2746"/>
    </row>
    <row r="122" spans="1:31">
      <c r="N122" s="2724"/>
      <c r="O122" s="2724"/>
      <c r="P122" s="2724"/>
      <c r="Q122" s="2724"/>
      <c r="R122" s="2724"/>
      <c r="S122" s="2724"/>
      <c r="T122" s="2724"/>
      <c r="U122" s="2724"/>
      <c r="V122" s="2724"/>
      <c r="W122" s="2724"/>
      <c r="X122" s="2724"/>
      <c r="Y122" s="2724"/>
      <c r="Z122" s="2724"/>
      <c r="AA122" s="2724"/>
      <c r="AB122" s="2724"/>
      <c r="AC122" s="2724"/>
      <c r="AD122" s="2724"/>
      <c r="AE122" s="2724"/>
    </row>
    <row r="123" spans="1:31">
      <c r="P123" s="2724"/>
      <c r="Q123" s="2724"/>
      <c r="R123" s="2724"/>
      <c r="S123" s="2724"/>
      <c r="T123" s="2724"/>
      <c r="U123" s="2724"/>
      <c r="V123" s="2724"/>
      <c r="W123" s="2724"/>
      <c r="X123" s="2724"/>
      <c r="Y123" s="2724"/>
      <c r="Z123" s="2724"/>
      <c r="AA123" s="2724"/>
      <c r="AB123" s="2724"/>
      <c r="AC123" s="2724"/>
      <c r="AD123" s="2724"/>
      <c r="AE123" s="2724"/>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18" priority="18" stopIfTrue="1" operator="containsText" text="超过">
      <formula>NOT(ISERROR(SEARCH("超过",F46)))</formula>
    </cfRule>
  </conditionalFormatting>
  <conditionalFormatting sqref="J48">
    <cfRule type="containsText" dxfId="17" priority="17" stopIfTrue="1" operator="containsText" text="超过">
      <formula>NOT(ISERROR(SEARCH("超过",J48)))</formula>
    </cfRule>
  </conditionalFormatting>
  <conditionalFormatting sqref="H48">
    <cfRule type="containsText" dxfId="16" priority="16" stopIfTrue="1" operator="containsText" text="超过">
      <formula>NOT(ISERROR(SEARCH("超过",H48)))</formula>
    </cfRule>
  </conditionalFormatting>
  <conditionalFormatting sqref="F48">
    <cfRule type="containsText" dxfId="15" priority="15" stopIfTrue="1" operator="containsText" text="超过">
      <formula>NOT(ISERROR(SEARCH("超过",F48)))</formula>
    </cfRule>
  </conditionalFormatting>
  <conditionalFormatting sqref="F47 H47 J47">
    <cfRule type="containsText" dxfId="14" priority="14" stopIfTrue="1" operator="containsText" text="超过">
      <formula>NOT(ISERROR(SEARCH("超过",F47)))</formula>
    </cfRule>
  </conditionalFormatting>
  <conditionalFormatting sqref="E46">
    <cfRule type="expression" dxfId="13" priority="13" stopIfTrue="1">
      <formula>$F$46="超过30%"</formula>
    </cfRule>
  </conditionalFormatting>
  <conditionalFormatting sqref="G48">
    <cfRule type="expression" dxfId="12" priority="12" stopIfTrue="1">
      <formula>$H$48="超过30%"</formula>
    </cfRule>
  </conditionalFormatting>
  <conditionalFormatting sqref="E48">
    <cfRule type="expression" dxfId="11" priority="10" stopIfTrue="1">
      <formula>$F$48="超过30%"</formula>
    </cfRule>
  </conditionalFormatting>
  <conditionalFormatting sqref="G46">
    <cfRule type="expression" dxfId="10" priority="9" stopIfTrue="1">
      <formula>$H$46="超过30%"</formula>
    </cfRule>
  </conditionalFormatting>
  <conditionalFormatting sqref="G47">
    <cfRule type="expression" dxfId="9" priority="8" stopIfTrue="1">
      <formula>$H$47="超过20%"</formula>
    </cfRule>
  </conditionalFormatting>
  <conditionalFormatting sqref="I46">
    <cfRule type="expression" dxfId="8" priority="7" stopIfTrue="1">
      <formula>$J$46="超过30%"</formula>
    </cfRule>
  </conditionalFormatting>
  <conditionalFormatting sqref="I47">
    <cfRule type="expression" dxfId="7" priority="6" stopIfTrue="1">
      <formula>$J$47="超过20%"</formula>
    </cfRule>
  </conditionalFormatting>
  <conditionalFormatting sqref="I48">
    <cfRule type="expression" dxfId="6" priority="5" stopIfTrue="1">
      <formula>$J$48="超过30%"</formula>
    </cfRule>
  </conditionalFormatting>
  <conditionalFormatting sqref="E47">
    <cfRule type="expression" dxfId="5" priority="53" stopIfTrue="1">
      <formula>#REF!+$F$47="超过20%"</formula>
    </cfRule>
  </conditionalFormatting>
  <conditionalFormatting sqref="F42">
    <cfRule type="expression" dxfId="4" priority="4">
      <formula>$D$42="简单平均"</formula>
    </cfRule>
  </conditionalFormatting>
  <conditionalFormatting sqref="H42">
    <cfRule type="expression" dxfId="3" priority="3">
      <formula>$D$42="简单平均"</formula>
    </cfRule>
  </conditionalFormatting>
  <conditionalFormatting sqref="J42">
    <cfRule type="expression" dxfId="2" priority="2">
      <formula>$D$42="简单平均"</formula>
    </cfRule>
  </conditionalFormatting>
  <conditionalFormatting sqref="F7:F40 H7:H40 J7:J40">
    <cfRule type="cellIs" dxfId="1"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Q72" sqref="Q72"/>
      <selection pane="bottomLeft" activeCell="Q72" sqref="Q72"/>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2083</v>
      </c>
      <c r="C1" s="3868" t="s">
        <v>2084</v>
      </c>
      <c r="D1" s="3869"/>
      <c r="E1" s="3869"/>
      <c r="F1" s="3869"/>
      <c r="G1" s="3869"/>
      <c r="H1" s="3869"/>
      <c r="I1" s="3869"/>
      <c r="J1" s="3869"/>
      <c r="K1" s="3869"/>
      <c r="L1" s="3869"/>
      <c r="M1" s="3869"/>
      <c r="N1" s="3869"/>
      <c r="O1" s="3869"/>
      <c r="P1" s="3869"/>
      <c r="Q1" s="3869"/>
      <c r="R1" s="3869"/>
      <c r="S1" s="3870"/>
      <c r="T1" s="983" t="s">
        <v>2085</v>
      </c>
    </row>
    <row r="2" spans="1:45" s="655" customFormat="1">
      <c r="A2" s="984"/>
      <c r="B2" s="651" t="s">
        <v>2086</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5" thickBot="1">
      <c r="A20" s="662" t="s">
        <v>2096</v>
      </c>
      <c r="B20" s="294" t="e">
        <f ca="1">IF(D20="——",S22,S22-F20)</f>
        <v>#REF!</v>
      </c>
      <c r="C20" s="159"/>
      <c r="D20" s="2151"/>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75">
      <c r="A21" s="662" t="s">
        <v>2098</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0</v>
      </c>
      <c r="C22" s="3865" t="s">
        <v>27</v>
      </c>
      <c r="D22" s="3866"/>
      <c r="E22" s="3866"/>
      <c r="F22" s="3866"/>
      <c r="G22" s="3866"/>
      <c r="H22" s="3866"/>
      <c r="I22" s="3866"/>
      <c r="J22" s="3866"/>
      <c r="K22" s="3866"/>
      <c r="L22" s="3866"/>
      <c r="M22" s="3866"/>
      <c r="N22" s="3866"/>
      <c r="O22" s="3866"/>
      <c r="P22" s="3866"/>
      <c r="Q22" s="3867"/>
      <c r="R22" s="663" t="e">
        <f>ROUND(S22*10000/B22,0)</f>
        <v>#DIV/0!</v>
      </c>
      <c r="S22" s="21">
        <f>SUM(S24:S10000)</f>
        <v>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2105</v>
      </c>
      <c r="B24" s="665"/>
      <c r="C24" s="2809">
        <v>1</v>
      </c>
      <c r="D24" s="2810"/>
      <c r="E24" s="2809">
        <v>1</v>
      </c>
      <c r="F24" s="2810"/>
      <c r="G24" s="2809">
        <v>1</v>
      </c>
      <c r="H24" s="2810"/>
      <c r="I24" s="2809">
        <v>1</v>
      </c>
      <c r="J24" s="2810"/>
      <c r="K24" s="2809">
        <v>1</v>
      </c>
      <c r="L24" s="2810"/>
      <c r="M24" s="2809">
        <v>1</v>
      </c>
      <c r="N24" s="2810"/>
      <c r="O24" s="2809">
        <v>1</v>
      </c>
      <c r="P24" s="2810"/>
      <c r="Q24" s="2809">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F20" sqref="F20"/>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2081</v>
      </c>
      <c r="B1" s="2147"/>
      <c r="C1" s="2147"/>
      <c r="D1" s="2147"/>
      <c r="E1" s="2147"/>
      <c r="F1" s="2792"/>
      <c r="G1" s="2792"/>
      <c r="H1" s="2792"/>
      <c r="I1" s="2792"/>
      <c r="J1" s="2792"/>
      <c r="K1" s="2792"/>
      <c r="L1" s="2792"/>
      <c r="M1" s="2792"/>
      <c r="N1" s="2792"/>
      <c r="O1" s="2792"/>
      <c r="P1" s="2792"/>
    </row>
    <row r="2" spans="1:16" ht="15.75">
      <c r="A2" s="2145" t="s">
        <v>2073</v>
      </c>
      <c r="B2" s="2601">
        <f ca="1">SUMIF(B6:B13,"&lt;&gt;#ref!",B6:B13)</f>
        <v>71579</v>
      </c>
      <c r="C2" s="2145" t="s">
        <v>2074</v>
      </c>
      <c r="D2" s="2145" t="s">
        <v>2075</v>
      </c>
      <c r="E2" s="2611">
        <f ca="1">SUMIF(E6:E13,"&lt;&gt;#ref!",E6:E13)</f>
        <v>51034.460000000006</v>
      </c>
      <c r="F2" s="2792"/>
      <c r="G2" s="2792"/>
      <c r="H2" s="2792"/>
      <c r="I2" s="2792"/>
      <c r="J2" s="2792"/>
      <c r="K2" s="2792"/>
      <c r="L2" s="2792"/>
      <c r="M2" s="2792"/>
      <c r="N2" s="2792"/>
      <c r="O2" s="2792"/>
      <c r="P2" s="2792"/>
    </row>
    <row r="3" spans="1:16" ht="15.75">
      <c r="A3" s="2145" t="s">
        <v>2076</v>
      </c>
      <c r="B3" s="2601">
        <f ca="1">ROUND(B2*10000/E2,0)</f>
        <v>14026</v>
      </c>
      <c r="C3" s="2145" t="s">
        <v>2082</v>
      </c>
      <c r="D3" s="2792"/>
      <c r="E3" s="2792"/>
      <c r="F3" s="2792"/>
      <c r="G3" s="2792"/>
      <c r="H3" s="2792"/>
      <c r="I3" s="2792"/>
      <c r="J3" s="2792"/>
      <c r="K3" s="2792"/>
      <c r="L3" s="2792"/>
      <c r="M3" s="2792"/>
      <c r="N3" s="2792"/>
      <c r="O3" s="2792"/>
      <c r="P3" s="2792"/>
    </row>
    <row r="4" spans="1:16" ht="15.75">
      <c r="A4" s="2793"/>
      <c r="B4" s="2792"/>
      <c r="C4" s="2792"/>
      <c r="D4" s="2792"/>
      <c r="E4" s="2792"/>
      <c r="F4" s="2792"/>
      <c r="G4" s="2792"/>
      <c r="H4" s="2792"/>
      <c r="I4" s="2792"/>
      <c r="J4" s="2792"/>
      <c r="K4" s="2792"/>
      <c r="L4" s="2792"/>
      <c r="M4" s="2792"/>
      <c r="N4" s="2792"/>
      <c r="O4" s="2792"/>
      <c r="P4" s="2792"/>
    </row>
    <row r="5" spans="1:16" ht="28.5">
      <c r="A5" s="2607" t="s">
        <v>2077</v>
      </c>
      <c r="B5" s="2609" t="s">
        <v>2078</v>
      </c>
      <c r="C5" s="2146"/>
      <c r="D5" s="2792"/>
      <c r="E5" s="2610" t="s">
        <v>2079</v>
      </c>
      <c r="F5" s="2792"/>
      <c r="G5" s="2792"/>
      <c r="H5" s="2792"/>
      <c r="I5" s="2792"/>
      <c r="J5" s="2792"/>
      <c r="K5" s="2792"/>
      <c r="L5" s="2792"/>
      <c r="M5" s="2792"/>
      <c r="N5" s="2792"/>
      <c r="O5" s="2792"/>
      <c r="P5" s="2792"/>
    </row>
    <row r="6" spans="1:16" ht="15.75">
      <c r="A6" s="2608" t="s">
        <v>2080</v>
      </c>
      <c r="B6" s="2601">
        <f ca="1">SUMIF(INDIRECT("'"&amp;A6&amp;"'"&amp;"!A:A"),"总价",INDIRECT("'"&amp;A6&amp;"'"&amp;"!B:B"))</f>
        <v>71579</v>
      </c>
      <c r="C6" s="2145" t="s">
        <v>2074</v>
      </c>
      <c r="D6" s="2792"/>
      <c r="E6" s="2611">
        <f ca="1">SUMIF(INDIRECT("'"&amp;A6&amp;"'"&amp;"!C:C"),"建筑面积",INDIRECT("'"&amp;A6&amp;"'"&amp;"!D:D"))</f>
        <v>51034.460000000006</v>
      </c>
      <c r="F6" s="2792"/>
      <c r="G6" s="2792"/>
      <c r="H6" s="2792"/>
      <c r="I6" s="2792"/>
      <c r="J6" s="2792"/>
      <c r="K6" s="2792"/>
      <c r="L6" s="2792"/>
      <c r="M6" s="2792"/>
      <c r="N6" s="2792"/>
      <c r="O6" s="2792"/>
      <c r="P6" s="2792"/>
    </row>
    <row r="7" spans="1:16" ht="15.75">
      <c r="A7" s="2608"/>
      <c r="B7" s="2601" t="e">
        <f ca="1">SUMIF(INDIRECT("'"&amp;A7&amp;"'"&amp;"!A:A"),"总价",INDIRECT("'"&amp;A7&amp;"'"&amp;"!B:B"))</f>
        <v>#REF!</v>
      </c>
      <c r="C7" s="2145" t="s">
        <v>2074</v>
      </c>
      <c r="D7" s="2792"/>
      <c r="E7" s="2611" t="e">
        <f t="shared" ref="E7:E13" ca="1" si="0">SUMIF(INDIRECT("'"&amp;A7&amp;"'"&amp;"!C:C"),"建筑面积",INDIRECT("'"&amp;A7&amp;"'"&amp;"!D:D"))</f>
        <v>#REF!</v>
      </c>
      <c r="F7" s="2792"/>
      <c r="G7" s="2792"/>
      <c r="H7" s="2792"/>
      <c r="I7" s="2792"/>
      <c r="J7" s="2792"/>
      <c r="K7" s="2792"/>
      <c r="L7" s="2792"/>
      <c r="M7" s="2792"/>
      <c r="N7" s="2792"/>
      <c r="O7" s="2792"/>
      <c r="P7" s="2792"/>
    </row>
    <row r="8" spans="1:16" ht="15.75">
      <c r="A8" s="2608"/>
      <c r="B8" s="2601" t="e">
        <f t="shared" ref="B8:B13" ca="1" si="1">SUMIF(INDIRECT("'"&amp;A8&amp;"'"&amp;"!A:A"),"总价",INDIRECT("'"&amp;A8&amp;"'"&amp;"!B:B"))</f>
        <v>#REF!</v>
      </c>
      <c r="C8" s="2145" t="s">
        <v>2074</v>
      </c>
      <c r="D8" s="2792"/>
      <c r="E8" s="2611" t="e">
        <f t="shared" ca="1" si="0"/>
        <v>#REF!</v>
      </c>
      <c r="F8" s="2792"/>
      <c r="G8" s="2792"/>
      <c r="H8" s="2792"/>
      <c r="I8" s="2792"/>
      <c r="J8" s="2792"/>
      <c r="K8" s="2792"/>
      <c r="L8" s="2792"/>
      <c r="M8" s="2792"/>
      <c r="N8" s="2792"/>
      <c r="O8" s="2792"/>
      <c r="P8" s="2792"/>
    </row>
    <row r="9" spans="1:16" ht="15.75">
      <c r="A9" s="2608"/>
      <c r="B9" s="2601" t="e">
        <f t="shared" ca="1" si="1"/>
        <v>#REF!</v>
      </c>
      <c r="C9" s="2145" t="s">
        <v>2074</v>
      </c>
      <c r="D9" s="2792"/>
      <c r="E9" s="2611" t="e">
        <f t="shared" ca="1" si="0"/>
        <v>#REF!</v>
      </c>
      <c r="F9" s="2792"/>
      <c r="G9" s="2792"/>
      <c r="H9" s="2792"/>
      <c r="I9" s="2792"/>
      <c r="J9" s="2792"/>
      <c r="K9" s="2792"/>
      <c r="L9" s="2792"/>
      <c r="M9" s="2792"/>
      <c r="N9" s="2792"/>
      <c r="O9" s="2792"/>
      <c r="P9" s="2792"/>
    </row>
    <row r="10" spans="1:16" ht="15.75">
      <c r="A10" s="2608"/>
      <c r="B10" s="2601" t="e">
        <f t="shared" ca="1" si="1"/>
        <v>#REF!</v>
      </c>
      <c r="C10" s="2145" t="s">
        <v>2074</v>
      </c>
      <c r="D10" s="2792"/>
      <c r="E10" s="2611" t="e">
        <f t="shared" ca="1" si="0"/>
        <v>#REF!</v>
      </c>
      <c r="F10" s="2792"/>
      <c r="G10" s="2792"/>
      <c r="H10" s="2792"/>
      <c r="I10" s="2792"/>
      <c r="J10" s="2792"/>
      <c r="K10" s="2792"/>
      <c r="L10" s="2792"/>
      <c r="M10" s="2792"/>
      <c r="N10" s="2792"/>
      <c r="O10" s="2792"/>
      <c r="P10" s="2792"/>
    </row>
    <row r="11" spans="1:16" ht="15.75">
      <c r="A11" s="2608"/>
      <c r="B11" s="2601" t="e">
        <f t="shared" ca="1" si="1"/>
        <v>#REF!</v>
      </c>
      <c r="C11" s="2145" t="s">
        <v>2074</v>
      </c>
      <c r="D11" s="2792"/>
      <c r="E11" s="2611" t="e">
        <f t="shared" ca="1" si="0"/>
        <v>#REF!</v>
      </c>
      <c r="F11" s="2792"/>
      <c r="G11" s="2792"/>
      <c r="H11" s="2792"/>
      <c r="I11" s="2792"/>
      <c r="J11" s="2792"/>
      <c r="K11" s="2792"/>
      <c r="L11" s="2792"/>
      <c r="M11" s="2792"/>
      <c r="N11" s="2792"/>
      <c r="O11" s="2792"/>
      <c r="P11" s="2792"/>
    </row>
    <row r="12" spans="1:16" ht="15.75">
      <c r="A12" s="2608"/>
      <c r="B12" s="2601" t="e">
        <f t="shared" ca="1" si="1"/>
        <v>#REF!</v>
      </c>
      <c r="C12" s="2145" t="s">
        <v>2074</v>
      </c>
      <c r="D12" s="2792"/>
      <c r="E12" s="2611" t="e">
        <f t="shared" ca="1" si="0"/>
        <v>#REF!</v>
      </c>
      <c r="F12" s="2792"/>
      <c r="G12" s="2792"/>
      <c r="H12" s="2792"/>
      <c r="I12" s="2792"/>
      <c r="J12" s="2792"/>
      <c r="K12" s="2792"/>
      <c r="L12" s="2792"/>
      <c r="M12" s="2792"/>
      <c r="N12" s="2792"/>
      <c r="O12" s="2792"/>
      <c r="P12" s="2792"/>
    </row>
    <row r="13" spans="1:16" ht="15.75">
      <c r="A13" s="2608"/>
      <c r="B13" s="2601" t="e">
        <f t="shared" ca="1" si="1"/>
        <v>#REF!</v>
      </c>
      <c r="C13" s="2145" t="s">
        <v>2074</v>
      </c>
      <c r="D13" s="2792"/>
      <c r="E13" s="2611" t="e">
        <f t="shared" ca="1" si="0"/>
        <v>#REF!</v>
      </c>
      <c r="F13" s="2792"/>
      <c r="G13" s="2792"/>
      <c r="H13" s="2792"/>
      <c r="I13" s="2792"/>
      <c r="J13" s="2792"/>
      <c r="K13" s="2792"/>
      <c r="L13" s="2792"/>
      <c r="M13" s="2792"/>
      <c r="N13" s="2792"/>
      <c r="O13" s="2792"/>
      <c r="P13" s="2792"/>
    </row>
    <row r="14" spans="1:16">
      <c r="A14" s="2792"/>
      <c r="B14" s="2792"/>
      <c r="C14" s="2792"/>
      <c r="D14" s="2792"/>
      <c r="E14" s="2792"/>
      <c r="F14" s="2792"/>
      <c r="G14" s="2792"/>
      <c r="H14" s="2792"/>
      <c r="I14" s="2792"/>
      <c r="J14" s="2792"/>
      <c r="K14" s="2792"/>
      <c r="L14" s="2792"/>
      <c r="M14" s="2792"/>
      <c r="N14" s="2792"/>
      <c r="O14" s="2792"/>
      <c r="P14" s="2792"/>
    </row>
    <row r="15" spans="1:16">
      <c r="A15" s="2792"/>
      <c r="B15" s="2792"/>
      <c r="C15" s="2792"/>
      <c r="D15" s="2792"/>
      <c r="E15" s="2792"/>
      <c r="F15" s="2792"/>
      <c r="G15" s="2792"/>
      <c r="H15" s="2792"/>
      <c r="I15" s="2792"/>
      <c r="J15" s="2792"/>
      <c r="K15" s="2792"/>
      <c r="L15" s="2792"/>
      <c r="M15" s="2792"/>
      <c r="N15" s="2792"/>
      <c r="O15" s="2792"/>
      <c r="P15" s="2792"/>
    </row>
    <row r="16" spans="1:16">
      <c r="A16" s="2792"/>
      <c r="B16" s="2792"/>
      <c r="C16" s="2792"/>
      <c r="D16" s="2792"/>
      <c r="E16" s="2792"/>
      <c r="F16" s="2792"/>
      <c r="G16" s="2792"/>
      <c r="H16" s="2792"/>
      <c r="I16" s="2792"/>
      <c r="J16" s="2792"/>
      <c r="K16" s="2792"/>
      <c r="L16" s="2792"/>
      <c r="M16" s="2792"/>
      <c r="N16" s="2792"/>
      <c r="O16" s="2792"/>
      <c r="P16" s="2792"/>
    </row>
    <row r="17" spans="1:16">
      <c r="A17" s="2792"/>
      <c r="B17" s="2792"/>
      <c r="C17" s="2792"/>
      <c r="D17" s="2792"/>
      <c r="E17" s="2792"/>
      <c r="F17" s="2792"/>
      <c r="G17" s="2792"/>
      <c r="H17" s="2792"/>
      <c r="I17" s="2792"/>
      <c r="J17" s="2792"/>
      <c r="K17" s="2792"/>
      <c r="L17" s="2792"/>
      <c r="M17" s="2792"/>
      <c r="N17" s="2792"/>
      <c r="O17" s="2792"/>
      <c r="P17" s="2792"/>
    </row>
    <row r="18" spans="1:16">
      <c r="A18" s="2792"/>
      <c r="B18" s="2792"/>
      <c r="C18" s="2792"/>
      <c r="D18" s="2792"/>
      <c r="E18" s="2792"/>
      <c r="F18" s="2792"/>
      <c r="G18" s="2792"/>
      <c r="H18" s="2792"/>
      <c r="I18" s="2792"/>
      <c r="J18" s="2792"/>
      <c r="K18" s="2792"/>
      <c r="L18" s="2792"/>
      <c r="M18" s="2792"/>
      <c r="N18" s="2792"/>
      <c r="O18" s="2792"/>
      <c r="P18" s="2792"/>
    </row>
    <row r="19" spans="1:16">
      <c r="A19" s="2792"/>
      <c r="B19" s="2792"/>
      <c r="C19" s="2792"/>
      <c r="D19" s="2792"/>
      <c r="E19" s="2792"/>
      <c r="F19" s="2792"/>
      <c r="G19" s="2792"/>
      <c r="H19" s="2792"/>
      <c r="I19" s="2792"/>
      <c r="J19" s="2792"/>
      <c r="K19" s="2792"/>
      <c r="L19" s="2792"/>
      <c r="M19" s="2792"/>
      <c r="N19" s="2792"/>
      <c r="O19" s="2792"/>
      <c r="P19" s="2792"/>
    </row>
    <row r="20" spans="1:16">
      <c r="A20" s="2792"/>
      <c r="B20" s="2792"/>
      <c r="C20" s="2792"/>
      <c r="D20" s="2792"/>
      <c r="E20" s="2792"/>
      <c r="F20" s="2792"/>
      <c r="G20" s="2792"/>
      <c r="H20" s="2792"/>
      <c r="I20" s="2792"/>
      <c r="J20" s="2792"/>
      <c r="K20" s="2792"/>
      <c r="L20" s="2792"/>
      <c r="M20" s="2792"/>
      <c r="N20" s="2792"/>
      <c r="O20" s="2792"/>
      <c r="P20" s="2792"/>
    </row>
    <row r="21" spans="1:16">
      <c r="A21" s="2792"/>
      <c r="B21" s="2792"/>
      <c r="C21" s="2792"/>
      <c r="D21" s="2792"/>
      <c r="E21" s="2792"/>
      <c r="F21" s="2792"/>
      <c r="G21" s="2792"/>
      <c r="H21" s="2792"/>
      <c r="I21" s="2792"/>
      <c r="J21" s="2792"/>
      <c r="K21" s="2792"/>
      <c r="L21" s="2792"/>
      <c r="M21" s="2792"/>
      <c r="N21" s="2792"/>
      <c r="O21" s="2792"/>
      <c r="P21" s="2792"/>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3" customWidth="1"/>
    <col min="14" max="14" width="10" style="3073" customWidth="1"/>
    <col min="15" max="16" width="8.25" style="3073"/>
    <col min="17" max="17" width="34.125" style="3073" customWidth="1"/>
    <col min="18" max="18" width="8.25" style="3073" customWidth="1"/>
    <col min="19" max="19" width="8.25" style="3073"/>
    <col min="20" max="20" width="11.625" style="3073" customWidth="1"/>
    <col min="21" max="16384" width="8.25" style="3073"/>
  </cols>
  <sheetData>
    <row r="1" spans="1:13" ht="19.5" customHeight="1" thickBot="1">
      <c r="A1" s="3070" t="s">
        <v>2597</v>
      </c>
      <c r="B1" s="3071" t="s">
        <v>2598</v>
      </c>
      <c r="C1" s="3071" t="s">
        <v>2599</v>
      </c>
      <c r="D1" s="3071" t="s">
        <v>2600</v>
      </c>
      <c r="E1" s="3071" t="s">
        <v>2601</v>
      </c>
      <c r="F1" s="3071" t="s">
        <v>2602</v>
      </c>
      <c r="G1" s="3071" t="s">
        <v>2603</v>
      </c>
      <c r="H1" s="3071" t="s">
        <v>2604</v>
      </c>
      <c r="I1" s="3071" t="s">
        <v>2605</v>
      </c>
      <c r="J1" s="3071" t="s">
        <v>2606</v>
      </c>
      <c r="K1" s="3071" t="s">
        <v>2607</v>
      </c>
      <c r="L1" s="3071" t="s">
        <v>2608</v>
      </c>
      <c r="M1" s="3072" t="s">
        <v>2609</v>
      </c>
    </row>
    <row r="2" spans="1:13" ht="19.5" customHeight="1">
      <c r="A2" s="3074" t="s">
        <v>2610</v>
      </c>
      <c r="B2" s="3075">
        <v>3.5</v>
      </c>
      <c r="C2" s="3075">
        <v>3.5</v>
      </c>
      <c r="D2" s="3076">
        <v>2.5</v>
      </c>
      <c r="E2" s="3076">
        <v>2.5</v>
      </c>
      <c r="F2" s="3076">
        <v>2.5</v>
      </c>
      <c r="G2" s="3076">
        <v>2.5</v>
      </c>
      <c r="H2" s="3076">
        <v>2.5</v>
      </c>
      <c r="I2" s="3075">
        <v>2</v>
      </c>
      <c r="J2" s="3075">
        <v>2</v>
      </c>
      <c r="K2" s="3075">
        <v>2</v>
      </c>
      <c r="L2" s="3075">
        <v>2</v>
      </c>
      <c r="M2" s="3077">
        <v>2</v>
      </c>
    </row>
    <row r="3" spans="1:13" ht="19.5" customHeight="1">
      <c r="A3" s="3019" t="s">
        <v>2611</v>
      </c>
      <c r="B3" s="3022">
        <v>3.5</v>
      </c>
      <c r="C3" s="3022">
        <v>3.5</v>
      </c>
      <c r="D3" s="3078">
        <v>2.5</v>
      </c>
      <c r="E3" s="3078">
        <v>2.5</v>
      </c>
      <c r="F3" s="3078">
        <v>2.5</v>
      </c>
      <c r="G3" s="3078">
        <v>2.5</v>
      </c>
      <c r="H3" s="3078">
        <v>2.5</v>
      </c>
      <c r="I3" s="3022">
        <v>2</v>
      </c>
      <c r="J3" s="3022">
        <v>2</v>
      </c>
      <c r="K3" s="3022">
        <v>2</v>
      </c>
      <c r="L3" s="3022">
        <v>2</v>
      </c>
      <c r="M3" s="3026">
        <v>2</v>
      </c>
    </row>
    <row r="4" spans="1:13" ht="19.5" customHeight="1">
      <c r="A4" s="3019" t="s">
        <v>2612</v>
      </c>
      <c r="B4" s="3078">
        <v>2.5</v>
      </c>
      <c r="C4" s="3078">
        <v>2.5</v>
      </c>
      <c r="D4" s="3078">
        <v>2.5</v>
      </c>
      <c r="E4" s="3078">
        <v>2.5</v>
      </c>
      <c r="F4" s="3078">
        <v>2.5</v>
      </c>
      <c r="G4" s="3078">
        <v>2.5</v>
      </c>
      <c r="H4" s="3078">
        <v>2.5</v>
      </c>
      <c r="I4" s="3022">
        <v>1.5</v>
      </c>
      <c r="J4" s="3022">
        <v>1.5</v>
      </c>
      <c r="K4" s="3022">
        <v>1.5</v>
      </c>
      <c r="L4" s="3022">
        <v>1.5</v>
      </c>
      <c r="M4" s="3026">
        <v>1.5</v>
      </c>
    </row>
    <row r="5" spans="1:13" ht="19.5" customHeight="1">
      <c r="A5" s="3079" t="s">
        <v>2613</v>
      </c>
      <c r="B5" s="3022">
        <v>1.5</v>
      </c>
      <c r="C5" s="3022">
        <v>1.5</v>
      </c>
      <c r="D5" s="3022">
        <v>1.5</v>
      </c>
      <c r="E5" s="3022">
        <v>1.5</v>
      </c>
      <c r="F5" s="3022">
        <v>1.5</v>
      </c>
      <c r="G5" s="3022">
        <v>1.2</v>
      </c>
      <c r="H5" s="3022">
        <v>1.2</v>
      </c>
      <c r="I5" s="3022">
        <v>1</v>
      </c>
      <c r="J5" s="3022">
        <v>1</v>
      </c>
      <c r="K5" s="3022">
        <v>1</v>
      </c>
      <c r="L5" s="3022">
        <v>1</v>
      </c>
      <c r="M5" s="3026">
        <v>1</v>
      </c>
    </row>
    <row r="6" spans="1:13" ht="19.5" customHeight="1">
      <c r="A6" s="3080" t="s">
        <v>2614</v>
      </c>
      <c r="B6" s="3081">
        <v>2.5</v>
      </c>
      <c r="C6" s="3081">
        <v>2.5</v>
      </c>
      <c r="D6" s="3081">
        <v>2</v>
      </c>
      <c r="E6" s="3081">
        <v>2</v>
      </c>
      <c r="F6" s="3081">
        <v>2</v>
      </c>
      <c r="G6" s="3081">
        <v>2</v>
      </c>
      <c r="H6" s="3081">
        <v>2</v>
      </c>
      <c r="I6" s="3082">
        <v>1.5</v>
      </c>
      <c r="J6" s="3082">
        <v>1.5</v>
      </c>
      <c r="K6" s="3082">
        <v>1.5</v>
      </c>
      <c r="L6" s="3082">
        <v>1.5</v>
      </c>
      <c r="M6" s="3083">
        <v>1.5</v>
      </c>
    </row>
    <row r="7" spans="1:13" ht="19.5" customHeight="1" thickBot="1">
      <c r="A7" s="3084" t="s">
        <v>2615</v>
      </c>
      <c r="B7" s="3085">
        <v>2.5</v>
      </c>
      <c r="C7" s="3085">
        <v>2.5</v>
      </c>
      <c r="D7" s="3085">
        <v>2</v>
      </c>
      <c r="E7" s="3085">
        <v>2</v>
      </c>
      <c r="F7" s="3085">
        <v>2</v>
      </c>
      <c r="G7" s="3085">
        <v>2</v>
      </c>
      <c r="H7" s="3085">
        <v>2</v>
      </c>
      <c r="I7" s="3031">
        <v>1.5</v>
      </c>
      <c r="J7" s="3031">
        <v>1.5</v>
      </c>
      <c r="K7" s="3031">
        <v>1.5</v>
      </c>
      <c r="L7" s="3031">
        <v>1.5</v>
      </c>
      <c r="M7" s="3086">
        <v>1.5</v>
      </c>
    </row>
    <row r="8" spans="1:13" ht="19.5" customHeight="1">
      <c r="A8" s="3087" t="s">
        <v>2616</v>
      </c>
      <c r="B8" s="3088">
        <v>80</v>
      </c>
      <c r="C8" s="3088">
        <v>80</v>
      </c>
      <c r="D8" s="3088">
        <v>70</v>
      </c>
      <c r="E8" s="3088">
        <v>70</v>
      </c>
      <c r="F8" s="3088">
        <v>70</v>
      </c>
      <c r="G8" s="3088">
        <v>70</v>
      </c>
      <c r="H8" s="3088">
        <v>70</v>
      </c>
      <c r="I8" s="3088">
        <v>60</v>
      </c>
      <c r="J8" s="3088">
        <v>60</v>
      </c>
      <c r="K8" s="3088">
        <v>60</v>
      </c>
      <c r="L8" s="3088">
        <v>60</v>
      </c>
      <c r="M8" s="3089">
        <v>60</v>
      </c>
    </row>
    <row r="9" spans="1:13" ht="19.5" customHeight="1">
      <c r="A9" s="3090" t="s">
        <v>2617</v>
      </c>
      <c r="B9" s="3091">
        <v>70</v>
      </c>
      <c r="C9" s="3091">
        <v>70</v>
      </c>
      <c r="D9" s="3091">
        <v>60</v>
      </c>
      <c r="E9" s="3091">
        <v>60</v>
      </c>
      <c r="F9" s="3091">
        <v>60</v>
      </c>
      <c r="G9" s="3091">
        <v>60</v>
      </c>
      <c r="H9" s="3091">
        <v>60</v>
      </c>
      <c r="I9" s="3091">
        <v>50</v>
      </c>
      <c r="J9" s="3091">
        <v>50</v>
      </c>
      <c r="K9" s="3091">
        <v>50</v>
      </c>
      <c r="L9" s="3091">
        <v>50</v>
      </c>
      <c r="M9" s="3092">
        <v>50</v>
      </c>
    </row>
    <row r="10" spans="1:13" ht="19.5" customHeight="1">
      <c r="A10" s="3090" t="s">
        <v>2618</v>
      </c>
      <c r="B10" s="3091">
        <v>20</v>
      </c>
      <c r="C10" s="3091">
        <v>20</v>
      </c>
      <c r="D10" s="3091">
        <v>15</v>
      </c>
      <c r="E10" s="3091">
        <v>15</v>
      </c>
      <c r="F10" s="3091">
        <v>15</v>
      </c>
      <c r="G10" s="3091">
        <v>15</v>
      </c>
      <c r="H10" s="3091">
        <v>15</v>
      </c>
      <c r="I10" s="3091">
        <v>10</v>
      </c>
      <c r="J10" s="3091">
        <v>10</v>
      </c>
      <c r="K10" s="3091">
        <v>10</v>
      </c>
      <c r="L10" s="3091">
        <v>10</v>
      </c>
      <c r="M10" s="3092">
        <v>10</v>
      </c>
    </row>
    <row r="11" spans="1:13" ht="19.5" customHeight="1">
      <c r="A11" s="3090" t="s">
        <v>2619</v>
      </c>
      <c r="B11" s="3091">
        <v>30</v>
      </c>
      <c r="C11" s="3091">
        <v>30</v>
      </c>
      <c r="D11" s="3091">
        <v>25</v>
      </c>
      <c r="E11" s="3091">
        <v>25</v>
      </c>
      <c r="F11" s="3091">
        <v>25</v>
      </c>
      <c r="G11" s="3091">
        <v>25</v>
      </c>
      <c r="H11" s="3091">
        <v>25</v>
      </c>
      <c r="I11" s="3091">
        <v>20</v>
      </c>
      <c r="J11" s="3091">
        <v>20</v>
      </c>
      <c r="K11" s="3091">
        <v>20</v>
      </c>
      <c r="L11" s="3091">
        <v>20</v>
      </c>
      <c r="M11" s="3092">
        <v>20</v>
      </c>
    </row>
    <row r="12" spans="1:13" ht="19.5" customHeight="1">
      <c r="A12" s="3090" t="s">
        <v>2620</v>
      </c>
      <c r="B12" s="3091">
        <v>45</v>
      </c>
      <c r="C12" s="3091">
        <v>45</v>
      </c>
      <c r="D12" s="3091">
        <v>40</v>
      </c>
      <c r="E12" s="3091">
        <v>40</v>
      </c>
      <c r="F12" s="3091">
        <v>40</v>
      </c>
      <c r="G12" s="3091">
        <v>40</v>
      </c>
      <c r="H12" s="3091">
        <v>40</v>
      </c>
      <c r="I12" s="3091">
        <v>35</v>
      </c>
      <c r="J12" s="3091">
        <v>35</v>
      </c>
      <c r="K12" s="3091">
        <v>35</v>
      </c>
      <c r="L12" s="3091">
        <v>35</v>
      </c>
      <c r="M12" s="3092">
        <v>35</v>
      </c>
    </row>
    <row r="13" spans="1:13" ht="19.5" customHeight="1">
      <c r="A13" s="3090" t="s">
        <v>2621</v>
      </c>
      <c r="B13" s="3091">
        <v>60</v>
      </c>
      <c r="C13" s="3091">
        <v>60</v>
      </c>
      <c r="D13" s="3091">
        <v>50</v>
      </c>
      <c r="E13" s="3091">
        <v>50</v>
      </c>
      <c r="F13" s="3091">
        <v>50</v>
      </c>
      <c r="G13" s="3091">
        <v>50</v>
      </c>
      <c r="H13" s="3091">
        <v>50</v>
      </c>
      <c r="I13" s="3091">
        <v>40</v>
      </c>
      <c r="J13" s="3091">
        <v>40</v>
      </c>
      <c r="K13" s="3091">
        <v>40</v>
      </c>
      <c r="L13" s="3091">
        <v>40</v>
      </c>
      <c r="M13" s="3092">
        <v>40</v>
      </c>
    </row>
    <row r="14" spans="1:13" ht="19.5" customHeight="1">
      <c r="A14" s="3090" t="s">
        <v>2622</v>
      </c>
      <c r="B14" s="3091">
        <v>50</v>
      </c>
      <c r="C14" s="3091">
        <v>50</v>
      </c>
      <c r="D14" s="3091">
        <v>40</v>
      </c>
      <c r="E14" s="3091">
        <v>40</v>
      </c>
      <c r="F14" s="3091">
        <v>40</v>
      </c>
      <c r="G14" s="3091">
        <v>40</v>
      </c>
      <c r="H14" s="3091">
        <v>40</v>
      </c>
      <c r="I14" s="3091">
        <v>30</v>
      </c>
      <c r="J14" s="3091">
        <v>30</v>
      </c>
      <c r="K14" s="3091">
        <v>30</v>
      </c>
      <c r="L14" s="3091">
        <v>30</v>
      </c>
      <c r="M14" s="3092">
        <v>30</v>
      </c>
    </row>
    <row r="15" spans="1:13" ht="19.5" customHeight="1">
      <c r="A15" s="3093" t="s">
        <v>2623</v>
      </c>
      <c r="B15" s="3094">
        <v>20</v>
      </c>
      <c r="C15" s="3094">
        <v>20</v>
      </c>
      <c r="D15" s="3094">
        <v>15</v>
      </c>
      <c r="E15" s="3094">
        <v>15</v>
      </c>
      <c r="F15" s="3094">
        <v>15</v>
      </c>
      <c r="G15" s="3094">
        <v>15</v>
      </c>
      <c r="H15" s="3094">
        <v>15</v>
      </c>
      <c r="I15" s="3094">
        <v>10</v>
      </c>
      <c r="J15" s="3094">
        <v>10</v>
      </c>
      <c r="K15" s="3094">
        <v>10</v>
      </c>
      <c r="L15" s="3094">
        <v>10</v>
      </c>
      <c r="M15" s="3095">
        <v>10</v>
      </c>
    </row>
    <row r="16" spans="1:13" ht="19.5" customHeight="1">
      <c r="A16" s="3091" t="s">
        <v>2624</v>
      </c>
      <c r="B16" s="3022">
        <v>0</v>
      </c>
      <c r="C16" s="3022">
        <v>0</v>
      </c>
      <c r="D16" s="3022">
        <v>0</v>
      </c>
      <c r="E16" s="3022">
        <v>0</v>
      </c>
      <c r="F16" s="3022">
        <v>0</v>
      </c>
      <c r="G16" s="3022">
        <v>0</v>
      </c>
      <c r="H16" s="3022">
        <v>0</v>
      </c>
      <c r="I16" s="3022">
        <v>0</v>
      </c>
      <c r="J16" s="3022">
        <v>0</v>
      </c>
      <c r="K16" s="3022">
        <v>0</v>
      </c>
      <c r="L16" s="3022">
        <v>0</v>
      </c>
      <c r="M16" s="3022">
        <v>0</v>
      </c>
    </row>
    <row r="17" spans="1:13" ht="19.5" customHeight="1">
      <c r="A17" s="3091" t="s">
        <v>2625</v>
      </c>
      <c r="B17" s="3022">
        <f>SUM(B8:B15)</f>
        <v>375</v>
      </c>
      <c r="C17" s="3022">
        <f t="shared" ref="C17:H17" si="0">SUM(C8:C15)</f>
        <v>375</v>
      </c>
      <c r="D17" s="3022">
        <f t="shared" si="0"/>
        <v>315</v>
      </c>
      <c r="E17" s="3022">
        <f t="shared" si="0"/>
        <v>315</v>
      </c>
      <c r="F17" s="3022">
        <f t="shared" si="0"/>
        <v>315</v>
      </c>
      <c r="G17" s="3022">
        <f t="shared" si="0"/>
        <v>315</v>
      </c>
      <c r="H17" s="3022">
        <f t="shared" si="0"/>
        <v>315</v>
      </c>
      <c r="I17" s="3022">
        <f>SUM(I8:I15)-I13-I14</f>
        <v>185</v>
      </c>
      <c r="J17" s="3022">
        <f t="shared" ref="J17:M17" si="1">SUM(J8:J15)-J13-J14</f>
        <v>185</v>
      </c>
      <c r="K17" s="3022">
        <f t="shared" si="1"/>
        <v>185</v>
      </c>
      <c r="L17" s="3022">
        <f t="shared" si="1"/>
        <v>185</v>
      </c>
      <c r="M17" s="3022">
        <f t="shared" si="1"/>
        <v>185</v>
      </c>
    </row>
    <row r="18" spans="1:13" s="3098" customFormat="1" ht="19.5" customHeight="1">
      <c r="A18" s="3096" t="s">
        <v>2626</v>
      </c>
      <c r="B18" s="3096"/>
      <c r="C18" s="3097"/>
      <c r="D18" s="3097"/>
      <c r="E18" s="3096"/>
      <c r="F18" s="3097"/>
      <c r="G18" s="3097"/>
    </row>
    <row r="19" spans="1:13" ht="19.5" customHeight="1" thickBot="1">
      <c r="A19" s="3094" t="s">
        <v>2627</v>
      </c>
      <c r="B19" s="3099" t="s">
        <v>2628</v>
      </c>
      <c r="C19" s="3099" t="s">
        <v>2629</v>
      </c>
      <c r="D19" s="3100"/>
      <c r="E19" s="3094" t="s">
        <v>2630</v>
      </c>
      <c r="F19" s="3101"/>
      <c r="G19" s="3101"/>
    </row>
    <row r="20" spans="1:13" ht="19.5" customHeight="1">
      <c r="A20" s="3878" t="s">
        <v>2610</v>
      </c>
      <c r="B20" s="3871" t="s">
        <v>2631</v>
      </c>
      <c r="C20" s="3102" t="s">
        <v>2442</v>
      </c>
      <c r="D20" s="3103"/>
      <c r="E20" s="3104">
        <v>1</v>
      </c>
      <c r="F20" s="3105" t="s">
        <v>2443</v>
      </c>
      <c r="G20" s="3105"/>
    </row>
    <row r="21" spans="1:13" ht="19.5" customHeight="1">
      <c r="A21" s="3879"/>
      <c r="B21" s="3872"/>
      <c r="C21" s="3106" t="s">
        <v>2444</v>
      </c>
      <c r="D21" s="3107"/>
      <c r="E21" s="3108">
        <v>1</v>
      </c>
      <c r="F21" s="3105" t="s">
        <v>2445</v>
      </c>
      <c r="G21" s="3105"/>
    </row>
    <row r="22" spans="1:13" ht="19.5" customHeight="1">
      <c r="A22" s="3879"/>
      <c r="B22" s="3872"/>
      <c r="C22" s="3106" t="s">
        <v>2446</v>
      </c>
      <c r="D22" s="3107"/>
      <c r="E22" s="3108">
        <v>0.9</v>
      </c>
      <c r="F22" s="3105" t="s">
        <v>2447</v>
      </c>
      <c r="G22" s="3105"/>
    </row>
    <row r="23" spans="1:13" ht="19.5" customHeight="1">
      <c r="A23" s="3879"/>
      <c r="B23" s="3872"/>
      <c r="C23" s="3106" t="s">
        <v>2448</v>
      </c>
      <c r="D23" s="3107"/>
      <c r="E23" s="3108">
        <v>0.9</v>
      </c>
      <c r="F23" s="3105" t="s">
        <v>2449</v>
      </c>
      <c r="G23" s="3105"/>
    </row>
    <row r="24" spans="1:13" ht="19.5" customHeight="1">
      <c r="A24" s="3879"/>
      <c r="B24" s="3872"/>
      <c r="C24" s="3106" t="s">
        <v>2450</v>
      </c>
      <c r="D24" s="3107"/>
      <c r="E24" s="3108">
        <v>0.8</v>
      </c>
      <c r="F24" s="3105" t="s">
        <v>2451</v>
      </c>
      <c r="G24" s="3105"/>
    </row>
    <row r="25" spans="1:13" ht="19.5" customHeight="1" thickBot="1">
      <c r="A25" s="3880"/>
      <c r="B25" s="3873"/>
      <c r="C25" s="3109" t="s">
        <v>2452</v>
      </c>
      <c r="D25" s="3110"/>
      <c r="E25" s="3111">
        <v>0.8</v>
      </c>
      <c r="F25" s="3105" t="s">
        <v>2453</v>
      </c>
      <c r="G25" s="3105"/>
    </row>
    <row r="26" spans="1:13" ht="19.5" customHeight="1" thickBot="1">
      <c r="A26" s="3112" t="s">
        <v>2632</v>
      </c>
      <c r="B26" s="3113" t="s">
        <v>2631</v>
      </c>
      <c r="C26" s="3114" t="s">
        <v>2633</v>
      </c>
      <c r="D26" s="3115"/>
      <c r="E26" s="3116">
        <v>1</v>
      </c>
      <c r="F26" s="3105" t="s">
        <v>2454</v>
      </c>
      <c r="G26" s="3105"/>
    </row>
    <row r="27" spans="1:13" ht="19.5" customHeight="1">
      <c r="A27" s="3874" t="s">
        <v>2634</v>
      </c>
      <c r="B27" s="3871" t="s">
        <v>2615</v>
      </c>
      <c r="C27" s="3102" t="s">
        <v>2455</v>
      </c>
      <c r="D27" s="3103"/>
      <c r="E27" s="3104">
        <v>1</v>
      </c>
      <c r="F27" s="3105" t="s">
        <v>2456</v>
      </c>
      <c r="G27" s="3105"/>
    </row>
    <row r="28" spans="1:13" ht="19.5" customHeight="1">
      <c r="A28" s="3875"/>
      <c r="B28" s="3872"/>
      <c r="C28" s="3106" t="s">
        <v>2457</v>
      </c>
      <c r="D28" s="3107"/>
      <c r="E28" s="3108">
        <v>1</v>
      </c>
      <c r="F28" s="3105" t="s">
        <v>2458</v>
      </c>
      <c r="G28" s="3105"/>
    </row>
    <row r="29" spans="1:13" ht="19.5" customHeight="1">
      <c r="A29" s="3875"/>
      <c r="B29" s="3872"/>
      <c r="C29" s="3106" t="s">
        <v>2459</v>
      </c>
      <c r="D29" s="3107"/>
      <c r="E29" s="3108">
        <v>0.8</v>
      </c>
      <c r="F29" s="3105" t="s">
        <v>2460</v>
      </c>
      <c r="G29" s="3105"/>
    </row>
    <row r="30" spans="1:13" ht="19.5" customHeight="1">
      <c r="A30" s="3875"/>
      <c r="B30" s="3872"/>
      <c r="C30" s="3106" t="s">
        <v>2461</v>
      </c>
      <c r="D30" s="3107"/>
      <c r="E30" s="3108">
        <v>0.8</v>
      </c>
      <c r="F30" s="3105" t="s">
        <v>2462</v>
      </c>
      <c r="G30" s="3105"/>
    </row>
    <row r="31" spans="1:13" ht="19.5" customHeight="1">
      <c r="A31" s="3875"/>
      <c r="B31" s="3872"/>
      <c r="C31" s="3106" t="s">
        <v>2463</v>
      </c>
      <c r="D31" s="3107"/>
      <c r="E31" s="3108">
        <v>0.8</v>
      </c>
      <c r="F31" s="3105" t="s">
        <v>2464</v>
      </c>
      <c r="G31" s="3105"/>
    </row>
    <row r="32" spans="1:13" ht="19.5" customHeight="1">
      <c r="A32" s="3875"/>
      <c r="B32" s="3872"/>
      <c r="C32" s="3106" t="s">
        <v>2465</v>
      </c>
      <c r="D32" s="3107"/>
      <c r="E32" s="3108">
        <v>0.7</v>
      </c>
      <c r="F32" s="3105" t="s">
        <v>2466</v>
      </c>
      <c r="G32" s="3105"/>
    </row>
    <row r="33" spans="1:7" ht="19.5" customHeight="1">
      <c r="A33" s="3875"/>
      <c r="B33" s="3872"/>
      <c r="C33" s="3106" t="s">
        <v>2467</v>
      </c>
      <c r="D33" s="3107"/>
      <c r="E33" s="3108">
        <v>0.8</v>
      </c>
      <c r="F33" s="3105" t="s">
        <v>2468</v>
      </c>
      <c r="G33" s="3105"/>
    </row>
    <row r="34" spans="1:7" ht="19.5" customHeight="1">
      <c r="A34" s="3875"/>
      <c r="B34" s="3872"/>
      <c r="C34" s="3106" t="s">
        <v>2469</v>
      </c>
      <c r="D34" s="3107"/>
      <c r="E34" s="3108">
        <v>0.6</v>
      </c>
      <c r="F34" s="3105" t="s">
        <v>2470</v>
      </c>
      <c r="G34" s="3105"/>
    </row>
    <row r="35" spans="1:7" ht="19.5" customHeight="1">
      <c r="A35" s="3875"/>
      <c r="B35" s="3872"/>
      <c r="C35" s="3106" t="s">
        <v>2471</v>
      </c>
      <c r="D35" s="3107"/>
      <c r="E35" s="3108">
        <v>0.2</v>
      </c>
      <c r="F35" s="3105" t="s">
        <v>2472</v>
      </c>
      <c r="G35" s="3105"/>
    </row>
    <row r="36" spans="1:7" ht="19.5" customHeight="1">
      <c r="A36" s="3875"/>
      <c r="B36" s="3872"/>
      <c r="C36" s="3106" t="s">
        <v>2473</v>
      </c>
      <c r="D36" s="3107"/>
      <c r="E36" s="3108">
        <v>0.2</v>
      </c>
      <c r="F36" s="3105" t="s">
        <v>2474</v>
      </c>
      <c r="G36" s="3105"/>
    </row>
    <row r="37" spans="1:7" ht="19.5" customHeight="1">
      <c r="A37" s="3875"/>
      <c r="B37" s="3877" t="s">
        <v>2635</v>
      </c>
      <c r="C37" s="3106" t="s">
        <v>2475</v>
      </c>
      <c r="D37" s="3107"/>
      <c r="E37" s="3108">
        <v>0.6</v>
      </c>
      <c r="F37" s="3105" t="s">
        <v>2476</v>
      </c>
      <c r="G37" s="3105"/>
    </row>
    <row r="38" spans="1:7" ht="19.5" customHeight="1">
      <c r="A38" s="3875"/>
      <c r="B38" s="3872"/>
      <c r="C38" s="3106" t="s">
        <v>2477</v>
      </c>
      <c r="D38" s="3107"/>
      <c r="E38" s="3108">
        <v>0.6</v>
      </c>
      <c r="F38" s="3105" t="s">
        <v>2478</v>
      </c>
      <c r="G38" s="3105"/>
    </row>
    <row r="39" spans="1:7" ht="19.5" customHeight="1" thickBot="1">
      <c r="A39" s="3876"/>
      <c r="B39" s="3873"/>
      <c r="C39" s="3109" t="s">
        <v>2479</v>
      </c>
      <c r="D39" s="3110"/>
      <c r="E39" s="3111">
        <v>0.6</v>
      </c>
      <c r="F39" s="3105" t="s">
        <v>2480</v>
      </c>
      <c r="G39" s="3105"/>
    </row>
    <row r="40" spans="1:7" ht="19.5" customHeight="1" thickBot="1">
      <c r="A40" s="3112" t="s">
        <v>2612</v>
      </c>
      <c r="B40" s="3113" t="s">
        <v>2612</v>
      </c>
      <c r="C40" s="3114" t="s">
        <v>2636</v>
      </c>
      <c r="D40" s="3115"/>
      <c r="E40" s="3116">
        <v>1</v>
      </c>
      <c r="F40" s="3105" t="s">
        <v>2481</v>
      </c>
      <c r="G40" s="3105"/>
    </row>
    <row r="41" spans="1:7" ht="19.5" customHeight="1">
      <c r="A41" s="3878" t="s">
        <v>2613</v>
      </c>
      <c r="B41" s="3871" t="s">
        <v>2637</v>
      </c>
      <c r="C41" s="3102" t="s">
        <v>2482</v>
      </c>
      <c r="D41" s="3103"/>
      <c r="E41" s="3104">
        <v>1</v>
      </c>
      <c r="F41" s="3105" t="s">
        <v>2483</v>
      </c>
      <c r="G41" s="3105"/>
    </row>
    <row r="42" spans="1:7" ht="19.5" customHeight="1">
      <c r="A42" s="3879"/>
      <c r="B42" s="3872"/>
      <c r="C42" s="3106" t="s">
        <v>2484</v>
      </c>
      <c r="D42" s="3107"/>
      <c r="E42" s="3108">
        <v>1</v>
      </c>
      <c r="F42" s="3105" t="s">
        <v>2485</v>
      </c>
      <c r="G42" s="3105"/>
    </row>
    <row r="43" spans="1:7" ht="19.5" customHeight="1">
      <c r="A43" s="3879"/>
      <c r="B43" s="3881"/>
      <c r="C43" s="3106" t="s">
        <v>2486</v>
      </c>
      <c r="D43" s="3107"/>
      <c r="E43" s="3108">
        <v>1.5</v>
      </c>
      <c r="F43" s="3105" t="s">
        <v>2487</v>
      </c>
      <c r="G43" s="3105"/>
    </row>
    <row r="44" spans="1:7" ht="19.5" customHeight="1">
      <c r="A44" s="3879"/>
      <c r="B44" s="3117" t="s">
        <v>2638</v>
      </c>
      <c r="C44" s="3106" t="s">
        <v>2639</v>
      </c>
      <c r="D44" s="3107"/>
      <c r="E44" s="3108">
        <v>2</v>
      </c>
      <c r="F44" s="3105" t="s">
        <v>2488</v>
      </c>
      <c r="G44" s="3105"/>
    </row>
    <row r="45" spans="1:7" ht="19.5" customHeight="1">
      <c r="A45" s="3879"/>
      <c r="B45" s="3877" t="s">
        <v>2640</v>
      </c>
      <c r="C45" s="3106" t="s">
        <v>2489</v>
      </c>
      <c r="D45" s="3107"/>
      <c r="E45" s="3108">
        <v>1</v>
      </c>
      <c r="F45" s="3105" t="s">
        <v>2490</v>
      </c>
      <c r="G45" s="3105"/>
    </row>
    <row r="46" spans="1:7" ht="19.5" customHeight="1">
      <c r="A46" s="3879"/>
      <c r="B46" s="3872"/>
      <c r="C46" s="3106" t="s">
        <v>2491</v>
      </c>
      <c r="D46" s="3107"/>
      <c r="E46" s="3108">
        <v>1</v>
      </c>
      <c r="F46" s="3105" t="s">
        <v>2492</v>
      </c>
      <c r="G46" s="3105"/>
    </row>
    <row r="47" spans="1:7" ht="19.5" customHeight="1">
      <c r="A47" s="3879"/>
      <c r="B47" s="3872"/>
      <c r="C47" s="3106" t="s">
        <v>2493</v>
      </c>
      <c r="D47" s="3107"/>
      <c r="E47" s="3108">
        <v>1</v>
      </c>
      <c r="F47" s="3105" t="s">
        <v>2494</v>
      </c>
      <c r="G47" s="3105"/>
    </row>
    <row r="48" spans="1:7" ht="19.5" customHeight="1">
      <c r="A48" s="3879"/>
      <c r="B48" s="3872"/>
      <c r="C48" s="3106" t="s">
        <v>2495</v>
      </c>
      <c r="D48" s="3107"/>
      <c r="E48" s="3108">
        <v>1</v>
      </c>
      <c r="F48" s="3105" t="s">
        <v>2496</v>
      </c>
      <c r="G48" s="3105"/>
    </row>
    <row r="49" spans="1:7" ht="19.5" customHeight="1">
      <c r="A49" s="3879"/>
      <c r="B49" s="3872"/>
      <c r="C49" s="3106" t="s">
        <v>2497</v>
      </c>
      <c r="D49" s="3107"/>
      <c r="E49" s="3108">
        <v>1</v>
      </c>
      <c r="F49" s="3105" t="s">
        <v>2498</v>
      </c>
      <c r="G49" s="3105"/>
    </row>
    <row r="50" spans="1:7" ht="19.5" customHeight="1">
      <c r="A50" s="3879"/>
      <c r="B50" s="3872"/>
      <c r="C50" s="3106" t="s">
        <v>2499</v>
      </c>
      <c r="D50" s="3107"/>
      <c r="E50" s="3108">
        <v>1</v>
      </c>
      <c r="F50" s="3105" t="s">
        <v>2500</v>
      </c>
      <c r="G50" s="3105"/>
    </row>
    <row r="51" spans="1:7" ht="19.5" customHeight="1" thickBot="1">
      <c r="A51" s="3880"/>
      <c r="B51" s="3873"/>
      <c r="C51" s="3109" t="s">
        <v>2501</v>
      </c>
      <c r="D51" s="3110"/>
      <c r="E51" s="3111">
        <v>1</v>
      </c>
      <c r="F51" s="3105" t="s">
        <v>2502</v>
      </c>
      <c r="G51" s="3105"/>
    </row>
    <row r="52" spans="1:7" ht="19.5" customHeight="1">
      <c r="A52" s="3118"/>
      <c r="B52" s="3118"/>
      <c r="C52" s="3118"/>
      <c r="D52" s="3118"/>
      <c r="E52" s="3118"/>
      <c r="F52" s="3118"/>
      <c r="G52" s="3118"/>
    </row>
    <row r="54" spans="1:7" ht="19.5" customHeight="1">
      <c r="A54" s="3119"/>
      <c r="B54" s="3091" t="s">
        <v>2641</v>
      </c>
      <c r="C54" s="3091" t="s">
        <v>2641</v>
      </c>
      <c r="D54" s="3091" t="s">
        <v>2641</v>
      </c>
      <c r="E54" s="3094" t="s">
        <v>2641</v>
      </c>
      <c r="F54" s="3094" t="s">
        <v>2642</v>
      </c>
      <c r="G54" s="3094" t="s">
        <v>2643</v>
      </c>
    </row>
    <row r="55" spans="1:7" ht="19.5" customHeight="1">
      <c r="A55" s="3120"/>
      <c r="B55" s="3094" t="s">
        <v>2610</v>
      </c>
      <c r="C55" s="3094" t="s">
        <v>2610</v>
      </c>
      <c r="D55" s="3094" t="s">
        <v>2610</v>
      </c>
      <c r="E55" s="3091" t="s">
        <v>2611</v>
      </c>
      <c r="F55" s="3091" t="s">
        <v>2613</v>
      </c>
      <c r="G55" s="3091" t="s">
        <v>2644</v>
      </c>
    </row>
    <row r="56" spans="1:7" ht="19.5" customHeight="1">
      <c r="A56" s="3121"/>
      <c r="B56" s="3091">
        <v>1</v>
      </c>
      <c r="C56" s="3091">
        <v>2</v>
      </c>
      <c r="D56" s="3091">
        <v>3</v>
      </c>
      <c r="E56" s="3122" t="s">
        <v>2645</v>
      </c>
      <c r="F56" s="3122" t="s">
        <v>2645</v>
      </c>
      <c r="G56" s="3122" t="s">
        <v>2645</v>
      </c>
    </row>
    <row r="57" spans="1:7" ht="19.5" customHeight="1">
      <c r="A57" s="3123" t="s">
        <v>2598</v>
      </c>
      <c r="B57" s="3091">
        <v>0.7</v>
      </c>
      <c r="C57" s="3091">
        <v>0.4</v>
      </c>
      <c r="D57" s="3091">
        <v>0.3</v>
      </c>
      <c r="E57" s="3122">
        <v>0.3</v>
      </c>
      <c r="F57" s="3091">
        <v>0.3</v>
      </c>
      <c r="G57" s="3091">
        <v>0.2</v>
      </c>
    </row>
    <row r="58" spans="1:7" ht="19.5" customHeight="1">
      <c r="A58" s="3123" t="s">
        <v>2599</v>
      </c>
      <c r="B58" s="3091">
        <v>0.7</v>
      </c>
      <c r="C58" s="3091">
        <v>0.4</v>
      </c>
      <c r="D58" s="3091">
        <v>0.3</v>
      </c>
      <c r="E58" s="3091">
        <v>0.3</v>
      </c>
      <c r="F58" s="3091">
        <v>0.3</v>
      </c>
      <c r="G58" s="3091">
        <v>0.2</v>
      </c>
    </row>
    <row r="59" spans="1:7" ht="19.5" customHeight="1">
      <c r="A59" s="3123" t="s">
        <v>2600</v>
      </c>
      <c r="B59" s="3091">
        <v>0.6</v>
      </c>
      <c r="C59" s="3091">
        <v>0.3</v>
      </c>
      <c r="D59" s="3091">
        <v>0.25</v>
      </c>
      <c r="E59" s="3091">
        <v>0.25</v>
      </c>
      <c r="F59" s="3091">
        <v>0.25</v>
      </c>
      <c r="G59" s="3091">
        <v>0.15</v>
      </c>
    </row>
    <row r="60" spans="1:7" ht="19.5" customHeight="1">
      <c r="A60" s="3123" t="s">
        <v>2601</v>
      </c>
      <c r="B60" s="3091">
        <v>0.6</v>
      </c>
      <c r="C60" s="3091">
        <v>0.3</v>
      </c>
      <c r="D60" s="3091">
        <v>0.25</v>
      </c>
      <c r="E60" s="3091">
        <v>0.25</v>
      </c>
      <c r="F60" s="3091">
        <v>0.25</v>
      </c>
      <c r="G60" s="3091">
        <v>0.15</v>
      </c>
    </row>
    <row r="61" spans="1:7" ht="19.5" customHeight="1">
      <c r="A61" s="3123" t="s">
        <v>2602</v>
      </c>
      <c r="B61" s="3091">
        <v>0.6</v>
      </c>
      <c r="C61" s="3091">
        <v>0.3</v>
      </c>
      <c r="D61" s="3091">
        <v>0.25</v>
      </c>
      <c r="E61" s="3091">
        <v>0.25</v>
      </c>
      <c r="F61" s="3091">
        <v>0.25</v>
      </c>
      <c r="G61" s="3091">
        <v>0.15</v>
      </c>
    </row>
    <row r="62" spans="1:7" ht="19.5" customHeight="1">
      <c r="A62" s="3123" t="s">
        <v>2603</v>
      </c>
      <c r="B62" s="3091">
        <v>0.6</v>
      </c>
      <c r="C62" s="3091">
        <v>0.3</v>
      </c>
      <c r="D62" s="3091">
        <v>0.25</v>
      </c>
      <c r="E62" s="3091">
        <v>0.25</v>
      </c>
      <c r="F62" s="3091">
        <v>0.25</v>
      </c>
      <c r="G62" s="3091">
        <v>0.15</v>
      </c>
    </row>
    <row r="63" spans="1:7" ht="19.5" customHeight="1">
      <c r="A63" s="3123" t="s">
        <v>2604</v>
      </c>
      <c r="B63" s="3091">
        <v>0.6</v>
      </c>
      <c r="C63" s="3091">
        <v>0.3</v>
      </c>
      <c r="D63" s="3091">
        <v>0.25</v>
      </c>
      <c r="E63" s="3091">
        <v>0.25</v>
      </c>
      <c r="F63" s="3091">
        <v>0.25</v>
      </c>
      <c r="G63" s="3091">
        <v>0.15</v>
      </c>
    </row>
    <row r="64" spans="1:7" ht="19.5" customHeight="1">
      <c r="A64" s="3123" t="s">
        <v>2605</v>
      </c>
      <c r="B64" s="3091">
        <v>0.5</v>
      </c>
      <c r="C64" s="3091">
        <v>0.2</v>
      </c>
      <c r="D64" s="3091">
        <v>0.2</v>
      </c>
      <c r="E64" s="3091">
        <v>0.2</v>
      </c>
      <c r="F64" s="3091">
        <v>0.2</v>
      </c>
      <c r="G64" s="3091">
        <v>0.1</v>
      </c>
    </row>
    <row r="65" spans="1:7" ht="19.5" customHeight="1">
      <c r="A65" s="3123" t="s">
        <v>2606</v>
      </c>
      <c r="B65" s="3091">
        <v>0.5</v>
      </c>
      <c r="C65" s="3091">
        <v>0.2</v>
      </c>
      <c r="D65" s="3091">
        <v>0.2</v>
      </c>
      <c r="E65" s="3091">
        <v>0.2</v>
      </c>
      <c r="F65" s="3091">
        <v>0.2</v>
      </c>
      <c r="G65" s="3091">
        <v>0.1</v>
      </c>
    </row>
    <row r="66" spans="1:7" ht="19.5" customHeight="1">
      <c r="A66" s="3123" t="s">
        <v>2607</v>
      </c>
      <c r="B66" s="3091">
        <v>0.5</v>
      </c>
      <c r="C66" s="3091">
        <v>0.2</v>
      </c>
      <c r="D66" s="3091">
        <v>0.2</v>
      </c>
      <c r="E66" s="3091">
        <v>0.2</v>
      </c>
      <c r="F66" s="3091">
        <v>0.2</v>
      </c>
      <c r="G66" s="3091">
        <v>0.1</v>
      </c>
    </row>
    <row r="67" spans="1:7" ht="19.5" customHeight="1">
      <c r="A67" s="3123" t="s">
        <v>2608</v>
      </c>
      <c r="B67" s="3091">
        <v>0.5</v>
      </c>
      <c r="C67" s="3091">
        <v>0.2</v>
      </c>
      <c r="D67" s="3091">
        <v>0.2</v>
      </c>
      <c r="E67" s="3091">
        <v>0.2</v>
      </c>
      <c r="F67" s="3091">
        <v>0.2</v>
      </c>
      <c r="G67" s="3091">
        <v>0.1</v>
      </c>
    </row>
    <row r="68" spans="1:7" ht="19.5" customHeight="1">
      <c r="A68" s="3123" t="s">
        <v>2609</v>
      </c>
      <c r="B68" s="3091">
        <v>0.5</v>
      </c>
      <c r="C68" s="3091">
        <v>0.2</v>
      </c>
      <c r="D68" s="3091">
        <v>0.2</v>
      </c>
      <c r="E68" s="3091">
        <v>0.2</v>
      </c>
      <c r="F68" s="3091">
        <v>0.2</v>
      </c>
      <c r="G68" s="3091">
        <v>0.1</v>
      </c>
    </row>
    <row r="70" spans="1:7" ht="19.5" customHeight="1">
      <c r="A70" s="3124"/>
      <c r="B70" s="3125"/>
      <c r="C70" s="3125"/>
      <c r="D70" s="3125" t="s">
        <v>2646</v>
      </c>
      <c r="E70" s="3125"/>
      <c r="F70" s="3125"/>
    </row>
    <row r="71" spans="1:7" ht="19.5" customHeight="1">
      <c r="A71" s="3117" t="s">
        <v>2647</v>
      </c>
      <c r="B71" s="3117" t="s">
        <v>2648</v>
      </c>
      <c r="C71" s="3117" t="s">
        <v>2649</v>
      </c>
      <c r="D71" s="3117" t="s">
        <v>2650</v>
      </c>
      <c r="E71" s="3117" t="s">
        <v>2651</v>
      </c>
      <c r="F71" s="3117" t="s">
        <v>2652</v>
      </c>
    </row>
    <row r="72" spans="1:7" ht="13.5">
      <c r="A72" s="3117"/>
      <c r="B72" s="3117"/>
      <c r="C72" s="3117" t="s">
        <v>2653</v>
      </c>
      <c r="D72" s="3117"/>
      <c r="E72" s="3117" t="s">
        <v>2624</v>
      </c>
      <c r="F72" s="3117" t="s">
        <v>2624</v>
      </c>
    </row>
    <row r="73" spans="1:7" ht="13.5">
      <c r="A73" s="3117">
        <v>1</v>
      </c>
      <c r="B73" s="3877" t="s">
        <v>2654</v>
      </c>
      <c r="C73" s="3091" t="s">
        <v>2655</v>
      </c>
      <c r="D73" s="3091" t="s">
        <v>2656</v>
      </c>
      <c r="E73" s="3117">
        <v>0.2</v>
      </c>
      <c r="F73" s="3117">
        <v>25</v>
      </c>
    </row>
    <row r="74" spans="1:7" ht="24">
      <c r="A74" s="3117">
        <v>2</v>
      </c>
      <c r="B74" s="3872"/>
      <c r="C74" s="3091" t="s">
        <v>2657</v>
      </c>
      <c r="D74" s="3091" t="s">
        <v>2658</v>
      </c>
      <c r="E74" s="3117">
        <v>0.2</v>
      </c>
      <c r="F74" s="3117">
        <v>25</v>
      </c>
    </row>
    <row r="75" spans="1:7" ht="24">
      <c r="A75" s="3117">
        <v>3</v>
      </c>
      <c r="B75" s="3872"/>
      <c r="C75" s="3091" t="s">
        <v>2659</v>
      </c>
      <c r="D75" s="3091" t="s">
        <v>2660</v>
      </c>
      <c r="E75" s="3117">
        <v>0.2</v>
      </c>
      <c r="F75" s="3117">
        <v>25</v>
      </c>
    </row>
    <row r="76" spans="1:7" ht="13.5">
      <c r="A76" s="3117">
        <v>4</v>
      </c>
      <c r="B76" s="3872"/>
      <c r="C76" s="3091" t="s">
        <v>2661</v>
      </c>
      <c r="D76" s="3091" t="s">
        <v>2662</v>
      </c>
      <c r="E76" s="3117">
        <v>0.15</v>
      </c>
      <c r="F76" s="3117">
        <v>20</v>
      </c>
    </row>
    <row r="77" spans="1:7" ht="24">
      <c r="A77" s="3117">
        <v>5</v>
      </c>
      <c r="B77" s="3872"/>
      <c r="C77" s="3091" t="s">
        <v>2663</v>
      </c>
      <c r="D77" s="3091" t="s">
        <v>2664</v>
      </c>
      <c r="E77" s="3117">
        <v>0.15</v>
      </c>
      <c r="F77" s="3117">
        <v>20</v>
      </c>
    </row>
    <row r="78" spans="1:7" ht="24">
      <c r="A78" s="3117">
        <v>6</v>
      </c>
      <c r="B78" s="3872"/>
      <c r="C78" s="3091" t="s">
        <v>2665</v>
      </c>
      <c r="D78" s="3091" t="s">
        <v>2666</v>
      </c>
      <c r="E78" s="3117">
        <v>0.15</v>
      </c>
      <c r="F78" s="3117">
        <v>20</v>
      </c>
    </row>
    <row r="79" spans="1:7" ht="24">
      <c r="A79" s="3117">
        <v>7</v>
      </c>
      <c r="B79" s="3872"/>
      <c r="C79" s="3091" t="s">
        <v>2667</v>
      </c>
      <c r="D79" s="3091" t="s">
        <v>2668</v>
      </c>
      <c r="E79" s="3117">
        <v>0.15</v>
      </c>
      <c r="F79" s="3117">
        <v>20</v>
      </c>
    </row>
    <row r="80" spans="1:7" ht="24">
      <c r="A80" s="3117">
        <v>8</v>
      </c>
      <c r="B80" s="3872"/>
      <c r="C80" s="3091" t="s">
        <v>2669</v>
      </c>
      <c r="D80" s="3091" t="s">
        <v>2670</v>
      </c>
      <c r="E80" s="3117">
        <v>0.1</v>
      </c>
      <c r="F80" s="3117">
        <v>15</v>
      </c>
    </row>
    <row r="81" spans="1:6" ht="24">
      <c r="A81" s="3117">
        <v>9</v>
      </c>
      <c r="B81" s="3872"/>
      <c r="C81" s="3091" t="s">
        <v>2671</v>
      </c>
      <c r="D81" s="3091" t="s">
        <v>2672</v>
      </c>
      <c r="E81" s="3117">
        <v>0.1</v>
      </c>
      <c r="F81" s="3117">
        <v>15</v>
      </c>
    </row>
    <row r="82" spans="1:6" ht="24">
      <c r="A82" s="3117">
        <v>10</v>
      </c>
      <c r="B82" s="3872"/>
      <c r="C82" s="3091" t="s">
        <v>2673</v>
      </c>
      <c r="D82" s="3091" t="s">
        <v>2674</v>
      </c>
      <c r="E82" s="3117">
        <v>0.1</v>
      </c>
      <c r="F82" s="3117">
        <v>15</v>
      </c>
    </row>
    <row r="83" spans="1:6" ht="24">
      <c r="A83" s="3117">
        <v>11</v>
      </c>
      <c r="B83" s="3872"/>
      <c r="C83" s="3091" t="s">
        <v>2675</v>
      </c>
      <c r="D83" s="3091" t="s">
        <v>2676</v>
      </c>
      <c r="E83" s="3117">
        <v>0.1</v>
      </c>
      <c r="F83" s="3117">
        <v>15</v>
      </c>
    </row>
    <row r="84" spans="1:6" ht="24">
      <c r="A84" s="3117">
        <v>12</v>
      </c>
      <c r="B84" s="3872"/>
      <c r="C84" s="3091" t="s">
        <v>2677</v>
      </c>
      <c r="D84" s="3091" t="s">
        <v>2678</v>
      </c>
      <c r="E84" s="3117">
        <v>0.1</v>
      </c>
      <c r="F84" s="3117">
        <v>15</v>
      </c>
    </row>
    <row r="85" spans="1:6" ht="13.5">
      <c r="A85" s="3117">
        <v>13</v>
      </c>
      <c r="B85" s="3872"/>
      <c r="C85" s="3091" t="s">
        <v>2679</v>
      </c>
      <c r="D85" s="3091" t="s">
        <v>2680</v>
      </c>
      <c r="E85" s="3117">
        <v>0.1</v>
      </c>
      <c r="F85" s="3117">
        <v>15</v>
      </c>
    </row>
    <row r="86" spans="1:6" ht="13.5">
      <c r="A86" s="3117">
        <v>14</v>
      </c>
      <c r="B86" s="3872"/>
      <c r="C86" s="3091" t="s">
        <v>2681</v>
      </c>
      <c r="D86" s="3091" t="s">
        <v>2682</v>
      </c>
      <c r="E86" s="3117">
        <v>0.1</v>
      </c>
      <c r="F86" s="3117">
        <v>15</v>
      </c>
    </row>
    <row r="87" spans="1:6" ht="13.5">
      <c r="A87" s="3117">
        <v>15</v>
      </c>
      <c r="B87" s="3872"/>
      <c r="C87" s="3091" t="s">
        <v>2683</v>
      </c>
      <c r="D87" s="3091" t="s">
        <v>2684</v>
      </c>
      <c r="E87" s="3117">
        <v>0.1</v>
      </c>
      <c r="F87" s="3117">
        <v>15</v>
      </c>
    </row>
    <row r="88" spans="1:6" ht="24">
      <c r="A88" s="3117">
        <v>16</v>
      </c>
      <c r="B88" s="3872"/>
      <c r="C88" s="3091" t="s">
        <v>2685</v>
      </c>
      <c r="D88" s="3091" t="s">
        <v>2686</v>
      </c>
      <c r="E88" s="3117">
        <v>0.1</v>
      </c>
      <c r="F88" s="3117">
        <v>15</v>
      </c>
    </row>
    <row r="89" spans="1:6" ht="24">
      <c r="A89" s="3117">
        <v>17</v>
      </c>
      <c r="B89" s="3881"/>
      <c r="C89" s="3091" t="s">
        <v>2687</v>
      </c>
      <c r="D89" s="3091" t="s">
        <v>2688</v>
      </c>
      <c r="E89" s="3117">
        <v>0.1</v>
      </c>
      <c r="F89" s="3117">
        <v>15</v>
      </c>
    </row>
    <row r="90" spans="1:6" ht="13.5">
      <c r="A90" s="3117">
        <v>18</v>
      </c>
      <c r="B90" s="3877" t="s">
        <v>2689</v>
      </c>
      <c r="C90" s="3091" t="s">
        <v>2690</v>
      </c>
      <c r="D90" s="3091" t="s">
        <v>2691</v>
      </c>
      <c r="E90" s="3117">
        <v>0.2</v>
      </c>
      <c r="F90" s="3117">
        <v>25</v>
      </c>
    </row>
    <row r="91" spans="1:6" ht="24">
      <c r="A91" s="3117">
        <v>19</v>
      </c>
      <c r="B91" s="3872"/>
      <c r="C91" s="3091" t="s">
        <v>2692</v>
      </c>
      <c r="D91" s="3091" t="s">
        <v>2693</v>
      </c>
      <c r="E91" s="3117">
        <v>0.2</v>
      </c>
      <c r="F91" s="3117">
        <v>25</v>
      </c>
    </row>
    <row r="92" spans="1:6" ht="13.5">
      <c r="A92" s="3117">
        <v>20</v>
      </c>
      <c r="B92" s="3872"/>
      <c r="C92" s="3091" t="s">
        <v>2694</v>
      </c>
      <c r="D92" s="3091" t="s">
        <v>2695</v>
      </c>
      <c r="E92" s="3117">
        <v>0.15</v>
      </c>
      <c r="F92" s="3117">
        <v>20</v>
      </c>
    </row>
    <row r="93" spans="1:6" ht="13.5">
      <c r="A93" s="3117">
        <v>21</v>
      </c>
      <c r="B93" s="3872"/>
      <c r="C93" s="3091" t="s">
        <v>2696</v>
      </c>
      <c r="D93" s="3091" t="s">
        <v>2697</v>
      </c>
      <c r="E93" s="3117">
        <v>0.15</v>
      </c>
      <c r="F93" s="3117">
        <v>20</v>
      </c>
    </row>
    <row r="94" spans="1:6" ht="13.5">
      <c r="A94" s="3117">
        <v>22</v>
      </c>
      <c r="B94" s="3872"/>
      <c r="C94" s="3091" t="s">
        <v>2698</v>
      </c>
      <c r="D94" s="3091" t="s">
        <v>2699</v>
      </c>
      <c r="E94" s="3117">
        <v>0.15</v>
      </c>
      <c r="F94" s="3117">
        <v>20</v>
      </c>
    </row>
    <row r="95" spans="1:6" ht="36">
      <c r="A95" s="3117">
        <v>23</v>
      </c>
      <c r="B95" s="3872"/>
      <c r="C95" s="3091" t="s">
        <v>2700</v>
      </c>
      <c r="D95" s="3091" t="s">
        <v>2701</v>
      </c>
      <c r="E95" s="3117">
        <v>0.15</v>
      </c>
      <c r="F95" s="3117">
        <v>20</v>
      </c>
    </row>
    <row r="96" spans="1:6" ht="13.5">
      <c r="A96" s="3117">
        <v>24</v>
      </c>
      <c r="B96" s="3872"/>
      <c r="C96" s="3091" t="s">
        <v>2702</v>
      </c>
      <c r="D96" s="3091" t="s">
        <v>2703</v>
      </c>
      <c r="E96" s="3117">
        <v>0.1</v>
      </c>
      <c r="F96" s="3117">
        <v>15</v>
      </c>
    </row>
    <row r="97" spans="1:6" ht="13.5">
      <c r="A97" s="3117">
        <v>25</v>
      </c>
      <c r="B97" s="3872"/>
      <c r="C97" s="3091" t="s">
        <v>2704</v>
      </c>
      <c r="D97" s="3091" t="s">
        <v>2705</v>
      </c>
      <c r="E97" s="3117">
        <v>0.1</v>
      </c>
      <c r="F97" s="3117">
        <v>15</v>
      </c>
    </row>
    <row r="98" spans="1:6" ht="24">
      <c r="A98" s="3117">
        <v>26</v>
      </c>
      <c r="B98" s="3872"/>
      <c r="C98" s="3091" t="s">
        <v>2706</v>
      </c>
      <c r="D98" s="3091" t="s">
        <v>2707</v>
      </c>
      <c r="E98" s="3117">
        <v>0.1</v>
      </c>
      <c r="F98" s="3117">
        <v>15</v>
      </c>
    </row>
    <row r="99" spans="1:6" ht="24">
      <c r="A99" s="3117">
        <v>27</v>
      </c>
      <c r="B99" s="3872"/>
      <c r="C99" s="3091" t="s">
        <v>2708</v>
      </c>
      <c r="D99" s="3091" t="s">
        <v>2709</v>
      </c>
      <c r="E99" s="3117">
        <v>0.1</v>
      </c>
      <c r="F99" s="3117">
        <v>15</v>
      </c>
    </row>
    <row r="100" spans="1:6" ht="13.5">
      <c r="A100" s="3117">
        <v>28</v>
      </c>
      <c r="B100" s="3872"/>
      <c r="C100" s="3091" t="s">
        <v>2710</v>
      </c>
      <c r="D100" s="3091" t="s">
        <v>2711</v>
      </c>
      <c r="E100" s="3117">
        <v>0.1</v>
      </c>
      <c r="F100" s="3117">
        <v>15</v>
      </c>
    </row>
    <row r="101" spans="1:6" ht="13.5">
      <c r="A101" s="3117">
        <v>29</v>
      </c>
      <c r="B101" s="3872"/>
      <c r="C101" s="3091" t="s">
        <v>2712</v>
      </c>
      <c r="D101" s="3091" t="s">
        <v>2713</v>
      </c>
      <c r="E101" s="3117">
        <v>0.1</v>
      </c>
      <c r="F101" s="3117">
        <v>15</v>
      </c>
    </row>
    <row r="102" spans="1:6" ht="13.5">
      <c r="A102" s="3117">
        <v>30</v>
      </c>
      <c r="B102" s="3872"/>
      <c r="C102" s="3091" t="s">
        <v>2714</v>
      </c>
      <c r="D102" s="3091" t="s">
        <v>2715</v>
      </c>
      <c r="E102" s="3117">
        <v>0.1</v>
      </c>
      <c r="F102" s="3117">
        <v>15</v>
      </c>
    </row>
    <row r="103" spans="1:6" ht="24">
      <c r="A103" s="3117">
        <v>31</v>
      </c>
      <c r="B103" s="3872"/>
      <c r="C103" s="3091" t="s">
        <v>2716</v>
      </c>
      <c r="D103" s="3091" t="s">
        <v>2717</v>
      </c>
      <c r="E103" s="3117">
        <v>0.1</v>
      </c>
      <c r="F103" s="3117">
        <v>15</v>
      </c>
    </row>
    <row r="104" spans="1:6" ht="24">
      <c r="A104" s="3117">
        <v>32</v>
      </c>
      <c r="B104" s="3872"/>
      <c r="C104" s="3091" t="s">
        <v>2718</v>
      </c>
      <c r="D104" s="3091" t="s">
        <v>2719</v>
      </c>
      <c r="E104" s="3117">
        <v>0.1</v>
      </c>
      <c r="F104" s="3117">
        <v>15</v>
      </c>
    </row>
    <row r="105" spans="1:6" ht="24">
      <c r="A105" s="3117">
        <v>33</v>
      </c>
      <c r="B105" s="3872"/>
      <c r="C105" s="3091" t="s">
        <v>2720</v>
      </c>
      <c r="D105" s="3091" t="s">
        <v>2721</v>
      </c>
      <c r="E105" s="3117">
        <v>0.1</v>
      </c>
      <c r="F105" s="3117">
        <v>15</v>
      </c>
    </row>
    <row r="106" spans="1:6" ht="24">
      <c r="A106" s="3117">
        <v>34</v>
      </c>
      <c r="B106" s="3881"/>
      <c r="C106" s="3091" t="s">
        <v>2722</v>
      </c>
      <c r="D106" s="3091" t="s">
        <v>2723</v>
      </c>
      <c r="E106" s="3117">
        <v>0.1</v>
      </c>
      <c r="F106" s="3117">
        <v>15</v>
      </c>
    </row>
    <row r="107" spans="1:6" ht="24">
      <c r="A107" s="3117">
        <v>35</v>
      </c>
      <c r="B107" s="3877" t="s">
        <v>2724</v>
      </c>
      <c r="C107" s="3117" t="s">
        <v>2725</v>
      </c>
      <c r="D107" s="3091" t="s">
        <v>2726</v>
      </c>
      <c r="E107" s="3117">
        <v>0.15</v>
      </c>
      <c r="F107" s="3117">
        <v>20</v>
      </c>
    </row>
    <row r="108" spans="1:6" ht="13.5">
      <c r="A108" s="3117">
        <v>36</v>
      </c>
      <c r="B108" s="3872"/>
      <c r="C108" s="3117" t="s">
        <v>2727</v>
      </c>
      <c r="D108" s="3091" t="s">
        <v>2728</v>
      </c>
      <c r="E108" s="3117">
        <v>0.15</v>
      </c>
      <c r="F108" s="3117">
        <v>20</v>
      </c>
    </row>
    <row r="109" spans="1:6" ht="13.5">
      <c r="A109" s="3117">
        <v>37</v>
      </c>
      <c r="B109" s="3872"/>
      <c r="C109" s="3117" t="s">
        <v>2729</v>
      </c>
      <c r="D109" s="3091" t="s">
        <v>2730</v>
      </c>
      <c r="E109" s="3117">
        <v>0.15</v>
      </c>
      <c r="F109" s="3117">
        <v>20</v>
      </c>
    </row>
    <row r="110" spans="1:6" ht="13.5">
      <c r="A110" s="3117">
        <v>38</v>
      </c>
      <c r="B110" s="3872"/>
      <c r="C110" s="3117" t="s">
        <v>2731</v>
      </c>
      <c r="D110" s="3091" t="s">
        <v>2732</v>
      </c>
      <c r="E110" s="3117">
        <v>0.1</v>
      </c>
      <c r="F110" s="3117">
        <v>15</v>
      </c>
    </row>
    <row r="111" spans="1:6" ht="24">
      <c r="A111" s="3117">
        <v>39</v>
      </c>
      <c r="B111" s="3872"/>
      <c r="C111" s="3117" t="s">
        <v>2733</v>
      </c>
      <c r="D111" s="3091" t="s">
        <v>2734</v>
      </c>
      <c r="E111" s="3117">
        <v>0.1</v>
      </c>
      <c r="F111" s="3117">
        <v>15</v>
      </c>
    </row>
    <row r="112" spans="1:6" ht="24">
      <c r="A112" s="3117">
        <v>40</v>
      </c>
      <c r="B112" s="3881"/>
      <c r="C112" s="3117" t="s">
        <v>2735</v>
      </c>
      <c r="D112" s="3091" t="s">
        <v>2736</v>
      </c>
      <c r="E112" s="3117">
        <v>0.1</v>
      </c>
      <c r="F112" s="3117">
        <v>15</v>
      </c>
    </row>
    <row r="113" spans="1:6" ht="13.5">
      <c r="A113" s="3117">
        <v>41</v>
      </c>
      <c r="B113" s="3882" t="s">
        <v>2737</v>
      </c>
      <c r="C113" s="3117" t="s">
        <v>2738</v>
      </c>
      <c r="D113" s="3091" t="s">
        <v>2739</v>
      </c>
      <c r="E113" s="3117">
        <v>0.1</v>
      </c>
      <c r="F113" s="3117">
        <v>15</v>
      </c>
    </row>
    <row r="114" spans="1:6" ht="13.5">
      <c r="A114" s="3117">
        <v>42</v>
      </c>
      <c r="B114" s="3882"/>
      <c r="C114" s="3117" t="s">
        <v>2740</v>
      </c>
      <c r="D114" s="3091" t="s">
        <v>2741</v>
      </c>
      <c r="E114" s="3117">
        <v>0.1</v>
      </c>
      <c r="F114" s="3117">
        <v>15</v>
      </c>
    </row>
    <row r="115" spans="1:6" ht="24">
      <c r="A115" s="3117">
        <v>43</v>
      </c>
      <c r="B115" s="3882"/>
      <c r="C115" s="3117" t="s">
        <v>2742</v>
      </c>
      <c r="D115" s="3091" t="s">
        <v>2743</v>
      </c>
      <c r="E115" s="3117">
        <v>0.1</v>
      </c>
      <c r="F115" s="3117">
        <v>15</v>
      </c>
    </row>
    <row r="116" spans="1:6" ht="13.5">
      <c r="A116" s="3117">
        <v>44</v>
      </c>
      <c r="B116" s="3877" t="s">
        <v>2744</v>
      </c>
      <c r="C116" s="3117" t="s">
        <v>2745</v>
      </c>
      <c r="D116" s="3091" t="s">
        <v>2746</v>
      </c>
      <c r="E116" s="3117">
        <v>0.1</v>
      </c>
      <c r="F116" s="3117">
        <v>15</v>
      </c>
    </row>
    <row r="117" spans="1:6" ht="24">
      <c r="A117" s="3117">
        <v>45</v>
      </c>
      <c r="B117" s="3881"/>
      <c r="C117" s="3091" t="s">
        <v>2747</v>
      </c>
      <c r="D117" s="3091" t="s">
        <v>2748</v>
      </c>
      <c r="E117" s="3117">
        <v>0.1</v>
      </c>
      <c r="F117" s="3117">
        <v>15</v>
      </c>
    </row>
    <row r="118" spans="1:6" ht="24">
      <c r="A118" s="3117">
        <v>46</v>
      </c>
      <c r="B118" s="3877" t="s">
        <v>2749</v>
      </c>
      <c r="C118" s="3117" t="s">
        <v>2750</v>
      </c>
      <c r="D118" s="3091" t="s">
        <v>2751</v>
      </c>
      <c r="E118" s="3117">
        <v>0.1</v>
      </c>
      <c r="F118" s="3117">
        <v>15</v>
      </c>
    </row>
    <row r="119" spans="1:6" ht="24">
      <c r="A119" s="3117">
        <v>47</v>
      </c>
      <c r="B119" s="3881"/>
      <c r="C119" s="3117" t="s">
        <v>2752</v>
      </c>
      <c r="D119" s="3091" t="s">
        <v>2753</v>
      </c>
      <c r="E119" s="3117">
        <v>0.1</v>
      </c>
      <c r="F119" s="3117">
        <v>15</v>
      </c>
    </row>
    <row r="120" spans="1:6" ht="13.5">
      <c r="A120" s="3117">
        <v>48</v>
      </c>
      <c r="B120" s="3877" t="s">
        <v>2754</v>
      </c>
      <c r="C120" s="3117" t="s">
        <v>2755</v>
      </c>
      <c r="D120" s="3091" t="s">
        <v>2756</v>
      </c>
      <c r="E120" s="3117">
        <v>0.1</v>
      </c>
      <c r="F120" s="3117">
        <v>15</v>
      </c>
    </row>
    <row r="121" spans="1:6" ht="13.5">
      <c r="A121" s="3117">
        <v>49</v>
      </c>
      <c r="B121" s="3881"/>
      <c r="C121" s="3117" t="s">
        <v>2757</v>
      </c>
      <c r="D121" s="3091" t="s">
        <v>2758</v>
      </c>
      <c r="E121" s="3117">
        <v>0.1</v>
      </c>
      <c r="F121" s="3117">
        <v>15</v>
      </c>
    </row>
    <row r="122" spans="1:6" ht="24">
      <c r="A122" s="3117">
        <v>50</v>
      </c>
      <c r="B122" s="3882" t="s">
        <v>2759</v>
      </c>
      <c r="C122" s="3117" t="s">
        <v>2760</v>
      </c>
      <c r="D122" s="3091" t="s">
        <v>2761</v>
      </c>
      <c r="E122" s="3117">
        <v>0.1</v>
      </c>
      <c r="F122" s="3117">
        <v>15</v>
      </c>
    </row>
    <row r="123" spans="1:6" ht="24">
      <c r="A123" s="3117">
        <v>51</v>
      </c>
      <c r="B123" s="3882"/>
      <c r="C123" s="3117" t="s">
        <v>2762</v>
      </c>
      <c r="D123" s="3091" t="s">
        <v>2763</v>
      </c>
      <c r="E123" s="3117">
        <v>0.1</v>
      </c>
      <c r="F123" s="3117">
        <v>15</v>
      </c>
    </row>
    <row r="124" spans="1:6" ht="24">
      <c r="A124" s="3117">
        <v>52</v>
      </c>
      <c r="B124" s="3882" t="s">
        <v>2764</v>
      </c>
      <c r="C124" s="3117" t="s">
        <v>2765</v>
      </c>
      <c r="D124" s="3091" t="s">
        <v>2766</v>
      </c>
      <c r="E124" s="3117">
        <v>0.1</v>
      </c>
      <c r="F124" s="3117">
        <v>15</v>
      </c>
    </row>
    <row r="125" spans="1:6" ht="24">
      <c r="A125" s="3117">
        <v>53</v>
      </c>
      <c r="B125" s="3882"/>
      <c r="C125" s="3117" t="s">
        <v>2767</v>
      </c>
      <c r="D125" s="3091" t="s">
        <v>2768</v>
      </c>
      <c r="E125" s="3117">
        <v>0.1</v>
      </c>
      <c r="F125" s="3117">
        <v>15</v>
      </c>
    </row>
    <row r="126" spans="1:6" ht="13.5">
      <c r="A126" s="3117">
        <v>54</v>
      </c>
      <c r="B126" s="3117" t="s">
        <v>2769</v>
      </c>
      <c r="C126" s="3117" t="s">
        <v>2770</v>
      </c>
      <c r="D126" s="3091" t="s">
        <v>2771</v>
      </c>
      <c r="E126" s="3117">
        <v>0.1</v>
      </c>
      <c r="F126" s="3117">
        <v>15</v>
      </c>
    </row>
    <row r="127" spans="1:6" ht="13.5">
      <c r="A127" s="3117">
        <v>55</v>
      </c>
      <c r="B127" s="3882" t="s">
        <v>2772</v>
      </c>
      <c r="C127" s="3117" t="s">
        <v>2773</v>
      </c>
      <c r="D127" s="3091" t="s">
        <v>2774</v>
      </c>
      <c r="E127" s="3117">
        <v>0.1</v>
      </c>
      <c r="F127" s="3117">
        <v>15</v>
      </c>
    </row>
    <row r="128" spans="1:6" ht="13.5">
      <c r="A128" s="3117">
        <v>56</v>
      </c>
      <c r="B128" s="3882"/>
      <c r="C128" s="3117" t="s">
        <v>2775</v>
      </c>
      <c r="D128" s="3091" t="s">
        <v>2776</v>
      </c>
      <c r="E128" s="3117">
        <v>0.1</v>
      </c>
      <c r="F128" s="3117">
        <v>15</v>
      </c>
    </row>
    <row r="129" spans="1:6" ht="24">
      <c r="A129" s="3117">
        <v>57</v>
      </c>
      <c r="B129" s="3882"/>
      <c r="C129" s="3117" t="s">
        <v>2777</v>
      </c>
      <c r="D129" s="3091" t="s">
        <v>2778</v>
      </c>
      <c r="E129" s="3117">
        <v>0.1</v>
      </c>
      <c r="F129" s="3117">
        <v>15</v>
      </c>
    </row>
    <row r="130" spans="1:6" ht="24">
      <c r="A130" s="3117">
        <v>58</v>
      </c>
      <c r="B130" s="3882" t="s">
        <v>2779</v>
      </c>
      <c r="C130" s="3117" t="s">
        <v>2780</v>
      </c>
      <c r="D130" s="3091" t="s">
        <v>2781</v>
      </c>
      <c r="E130" s="3117">
        <v>0.1</v>
      </c>
      <c r="F130" s="3117">
        <v>15</v>
      </c>
    </row>
    <row r="131" spans="1:6" ht="13.5">
      <c r="A131" s="3117">
        <v>59</v>
      </c>
      <c r="B131" s="3882"/>
      <c r="C131" s="3117" t="s">
        <v>2782</v>
      </c>
      <c r="D131" s="3091" t="s">
        <v>2783</v>
      </c>
      <c r="E131" s="3117">
        <v>0.1</v>
      </c>
      <c r="F131" s="3117">
        <v>15</v>
      </c>
    </row>
    <row r="132" spans="1:6" ht="13.5">
      <c r="A132" s="3117">
        <v>60</v>
      </c>
      <c r="B132" s="3877" t="s">
        <v>2784</v>
      </c>
      <c r="C132" s="3117" t="s">
        <v>2785</v>
      </c>
      <c r="D132" s="3091" t="s">
        <v>2786</v>
      </c>
      <c r="E132" s="3117">
        <v>0.1</v>
      </c>
      <c r="F132" s="3117">
        <v>15</v>
      </c>
    </row>
    <row r="133" spans="1:6" ht="13.5">
      <c r="A133" s="3117">
        <v>61</v>
      </c>
      <c r="B133" s="3881"/>
      <c r="C133" s="3117" t="s">
        <v>2787</v>
      </c>
      <c r="D133" s="3091" t="s">
        <v>2788</v>
      </c>
      <c r="E133" s="3117">
        <v>0.1</v>
      </c>
      <c r="F133" s="3117">
        <v>15</v>
      </c>
    </row>
    <row r="134" spans="1:6" ht="24">
      <c r="A134" s="3117">
        <v>62</v>
      </c>
      <c r="B134" s="3117" t="s">
        <v>2789</v>
      </c>
      <c r="C134" s="3117" t="s">
        <v>2790</v>
      </c>
      <c r="D134" s="3091" t="s">
        <v>2791</v>
      </c>
      <c r="E134" s="3117">
        <v>0.1</v>
      </c>
      <c r="F134" s="3117">
        <v>15</v>
      </c>
    </row>
    <row r="135" spans="1:6" ht="13.5">
      <c r="A135" s="3117">
        <v>63</v>
      </c>
      <c r="B135" s="3882" t="s">
        <v>2792</v>
      </c>
      <c r="C135" s="3117" t="s">
        <v>2793</v>
      </c>
      <c r="D135" s="3091" t="s">
        <v>2794</v>
      </c>
      <c r="E135" s="3117">
        <v>0.1</v>
      </c>
      <c r="F135" s="3117">
        <v>15</v>
      </c>
    </row>
    <row r="136" spans="1:6" ht="13.5">
      <c r="A136" s="3117">
        <v>64</v>
      </c>
      <c r="B136" s="3882"/>
      <c r="C136" s="3117" t="s">
        <v>2795</v>
      </c>
      <c r="D136" s="3091" t="s">
        <v>2796</v>
      </c>
      <c r="E136" s="3117">
        <v>0.1</v>
      </c>
      <c r="F136" s="3117">
        <v>15</v>
      </c>
    </row>
    <row r="137" spans="1:6" ht="13.5">
      <c r="A137" s="3117">
        <v>65</v>
      </c>
      <c r="B137" s="3117" t="s">
        <v>2797</v>
      </c>
      <c r="C137" s="3117" t="s">
        <v>2798</v>
      </c>
      <c r="D137" s="3091" t="s">
        <v>2799</v>
      </c>
      <c r="E137" s="3117">
        <v>0.1</v>
      </c>
      <c r="F137" s="3117">
        <v>15</v>
      </c>
    </row>
    <row r="138" spans="1:6" ht="13.5">
      <c r="A138" s="3117"/>
      <c r="B138" s="3117"/>
      <c r="C138" s="3117"/>
      <c r="D138" s="3117"/>
      <c r="E138" s="3117" t="s">
        <v>2800</v>
      </c>
      <c r="F138" s="3117" t="s">
        <v>2800</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40"/>
    <col min="14" max="16384" width="9" style="750"/>
  </cols>
  <sheetData>
    <row r="1" spans="1:20" ht="15" thickBot="1">
      <c r="A1" s="3126" t="s">
        <v>2801</v>
      </c>
      <c r="B1" s="3126"/>
      <c r="C1" s="3126"/>
      <c r="D1" s="3126"/>
      <c r="E1" s="3126"/>
      <c r="F1" s="3126"/>
      <c r="G1" s="3126"/>
      <c r="H1" s="3126"/>
      <c r="I1" s="3126"/>
      <c r="J1" s="3126"/>
      <c r="K1" s="3126"/>
      <c r="L1" s="3126"/>
      <c r="M1" s="3126"/>
      <c r="N1" s="749"/>
    </row>
    <row r="2" spans="1:20">
      <c r="A2" s="3127" t="s">
        <v>2802</v>
      </c>
      <c r="B2" s="3128" t="s">
        <v>2598</v>
      </c>
      <c r="C2" s="3128" t="s">
        <v>2599</v>
      </c>
      <c r="D2" s="3128" t="s">
        <v>2600</v>
      </c>
      <c r="E2" s="3128" t="s">
        <v>2601</v>
      </c>
      <c r="F2" s="3128" t="s">
        <v>2602</v>
      </c>
      <c r="G2" s="3128" t="s">
        <v>2603</v>
      </c>
      <c r="H2" s="3129" t="s">
        <v>2604</v>
      </c>
      <c r="I2" s="3129" t="s">
        <v>2605</v>
      </c>
      <c r="J2" s="3130" t="s">
        <v>2606</v>
      </c>
      <c r="K2" s="3130" t="s">
        <v>2607</v>
      </c>
      <c r="L2" s="3130" t="s">
        <v>2608</v>
      </c>
      <c r="M2" s="3131" t="s">
        <v>2609</v>
      </c>
      <c r="Q2" s="3141" t="s">
        <v>2807</v>
      </c>
      <c r="R2" s="3141" t="s">
        <v>2808</v>
      </c>
      <c r="S2" s="3141" t="s">
        <v>2809</v>
      </c>
      <c r="T2" s="3141" t="s">
        <v>2810</v>
      </c>
    </row>
    <row r="3" spans="1:20">
      <c r="A3" s="3132">
        <v>1</v>
      </c>
      <c r="B3" s="3133">
        <v>1.2574000000000001</v>
      </c>
      <c r="C3" s="3133">
        <v>1.2574000000000001</v>
      </c>
      <c r="D3" s="3133">
        <v>1.2299</v>
      </c>
      <c r="E3" s="3133">
        <v>1.2299</v>
      </c>
      <c r="F3" s="3133">
        <v>1.2299</v>
      </c>
      <c r="G3" s="3133">
        <v>1.2299</v>
      </c>
      <c r="H3" s="3133">
        <v>1.2299</v>
      </c>
      <c r="I3" s="3133">
        <v>1.2333000000000001</v>
      </c>
      <c r="J3" s="3133">
        <v>1.2333000000000001</v>
      </c>
      <c r="K3" s="3133">
        <v>1.2333000000000001</v>
      </c>
      <c r="L3" s="3133">
        <v>1.2333000000000001</v>
      </c>
      <c r="M3" s="3134">
        <v>1.2333000000000001</v>
      </c>
      <c r="N3" s="751"/>
      <c r="Q3" s="3141">
        <v>10</v>
      </c>
      <c r="R3" s="3141">
        <f>ROUND(0.9968-0.011*Q3,4)</f>
        <v>0.88680000000000003</v>
      </c>
      <c r="S3" s="3141">
        <f>ROUND(0.949-0.014*Q3,4)</f>
        <v>0.80900000000000005</v>
      </c>
      <c r="T3" s="3141">
        <f>ROUND(0.8486-0.018*Q3,4)</f>
        <v>0.66859999999999997</v>
      </c>
    </row>
    <row r="4" spans="1:20">
      <c r="A4" s="3132">
        <v>1.1000000000000001</v>
      </c>
      <c r="B4" s="3133">
        <v>1.2283999999999999</v>
      </c>
      <c r="C4" s="3133">
        <v>1.2283999999999999</v>
      </c>
      <c r="D4" s="3133">
        <v>1.1984999999999999</v>
      </c>
      <c r="E4" s="3133">
        <v>1.1984999999999999</v>
      </c>
      <c r="F4" s="3133">
        <v>1.1984999999999999</v>
      </c>
      <c r="G4" s="3133">
        <v>1.1984999999999999</v>
      </c>
      <c r="H4" s="3133">
        <v>1.1984999999999999</v>
      </c>
      <c r="I4" s="3133">
        <v>1.1899</v>
      </c>
      <c r="J4" s="3133">
        <v>1.1899</v>
      </c>
      <c r="K4" s="3133">
        <v>1.1899</v>
      </c>
      <c r="L4" s="3133">
        <v>1.1899</v>
      </c>
      <c r="M4" s="3134">
        <v>1.1899</v>
      </c>
    </row>
    <row r="5" spans="1:20">
      <c r="A5" s="3132">
        <v>1.2</v>
      </c>
      <c r="B5" s="3133">
        <v>1.2031000000000001</v>
      </c>
      <c r="C5" s="3133">
        <v>1.2031000000000001</v>
      </c>
      <c r="D5" s="3133">
        <v>1.1711</v>
      </c>
      <c r="E5" s="3133">
        <v>1.1711</v>
      </c>
      <c r="F5" s="3133">
        <v>1.1711</v>
      </c>
      <c r="G5" s="3133">
        <v>1.1711</v>
      </c>
      <c r="H5" s="3133">
        <v>1.1711</v>
      </c>
      <c r="I5" s="3133">
        <v>1.1528</v>
      </c>
      <c r="J5" s="3133">
        <v>1.1528</v>
      </c>
      <c r="K5" s="3133">
        <v>1.1528</v>
      </c>
      <c r="L5" s="3133">
        <v>1.1528</v>
      </c>
      <c r="M5" s="3134">
        <v>1.1528</v>
      </c>
    </row>
    <row r="6" spans="1:20">
      <c r="A6" s="3132">
        <v>1.3</v>
      </c>
      <c r="B6" s="3133">
        <v>1.1811</v>
      </c>
      <c r="C6" s="3133">
        <v>1.1811</v>
      </c>
      <c r="D6" s="3133">
        <v>1.1472</v>
      </c>
      <c r="E6" s="3133">
        <v>1.1472</v>
      </c>
      <c r="F6" s="3133">
        <v>1.1472</v>
      </c>
      <c r="G6" s="3133">
        <v>1.1472</v>
      </c>
      <c r="H6" s="3133">
        <v>1.1472</v>
      </c>
      <c r="I6" s="3133">
        <v>1.1214</v>
      </c>
      <c r="J6" s="3133">
        <v>1.1214</v>
      </c>
      <c r="K6" s="3133">
        <v>1.1214</v>
      </c>
      <c r="L6" s="3133">
        <v>1.1214</v>
      </c>
      <c r="M6" s="3134">
        <v>1.1214</v>
      </c>
    </row>
    <row r="7" spans="1:20">
      <c r="A7" s="3132">
        <v>1.4</v>
      </c>
      <c r="B7" s="3133">
        <v>1.1619999999999999</v>
      </c>
      <c r="C7" s="3133">
        <v>1.1619999999999999</v>
      </c>
      <c r="D7" s="3133">
        <v>1.1265000000000001</v>
      </c>
      <c r="E7" s="3133">
        <v>1.1265000000000001</v>
      </c>
      <c r="F7" s="3133">
        <v>1.1265000000000001</v>
      </c>
      <c r="G7" s="3133">
        <v>1.1265000000000001</v>
      </c>
      <c r="H7" s="3133">
        <v>1.1265000000000001</v>
      </c>
      <c r="I7" s="3133">
        <v>1.0948</v>
      </c>
      <c r="J7" s="3133">
        <v>1.0948</v>
      </c>
      <c r="K7" s="3133">
        <v>1.0948</v>
      </c>
      <c r="L7" s="3133">
        <v>1.0948</v>
      </c>
      <c r="M7" s="3134">
        <v>1.0948</v>
      </c>
    </row>
    <row r="8" spans="1:20">
      <c r="A8" s="3132">
        <v>1.5</v>
      </c>
      <c r="B8" s="3133">
        <v>1.1453</v>
      </c>
      <c r="C8" s="3133">
        <v>1.1453</v>
      </c>
      <c r="D8" s="3133">
        <v>1.1084000000000001</v>
      </c>
      <c r="E8" s="3133">
        <v>1.1084000000000001</v>
      </c>
      <c r="F8" s="3133">
        <v>1.1084000000000001</v>
      </c>
      <c r="G8" s="3133">
        <v>1.1084000000000001</v>
      </c>
      <c r="H8" s="3133">
        <v>1.1084000000000001</v>
      </c>
      <c r="I8" s="3133">
        <v>1.0725</v>
      </c>
      <c r="J8" s="3133">
        <v>1.0725</v>
      </c>
      <c r="K8" s="3133">
        <v>1.0725</v>
      </c>
      <c r="L8" s="3133">
        <v>1.0725</v>
      </c>
      <c r="M8" s="3134">
        <v>1.0725</v>
      </c>
    </row>
    <row r="9" spans="1:20">
      <c r="A9" s="3132">
        <v>1.6</v>
      </c>
      <c r="B9" s="3133">
        <v>1.1306</v>
      </c>
      <c r="C9" s="3133">
        <v>1.1306</v>
      </c>
      <c r="D9" s="3133">
        <v>1.0924</v>
      </c>
      <c r="E9" s="3133">
        <v>1.0924</v>
      </c>
      <c r="F9" s="3133">
        <v>1.0924</v>
      </c>
      <c r="G9" s="3133">
        <v>1.0924</v>
      </c>
      <c r="H9" s="3133">
        <v>1.0924</v>
      </c>
      <c r="I9" s="3133">
        <v>1.0538000000000001</v>
      </c>
      <c r="J9" s="3133">
        <v>1.0538000000000001</v>
      </c>
      <c r="K9" s="3133">
        <v>1.0538000000000001</v>
      </c>
      <c r="L9" s="3133">
        <v>1.0538000000000001</v>
      </c>
      <c r="M9" s="3134">
        <v>1.0538000000000001</v>
      </c>
    </row>
    <row r="10" spans="1:20">
      <c r="A10" s="3132">
        <v>1.7</v>
      </c>
      <c r="B10" s="3133">
        <v>1.1175999999999999</v>
      </c>
      <c r="C10" s="3133">
        <v>1.1175999999999999</v>
      </c>
      <c r="D10" s="3133">
        <v>1.0783</v>
      </c>
      <c r="E10" s="3133">
        <v>1.0783</v>
      </c>
      <c r="F10" s="3133">
        <v>1.0783</v>
      </c>
      <c r="G10" s="3133">
        <v>1.0783</v>
      </c>
      <c r="H10" s="3133">
        <v>1.0783</v>
      </c>
      <c r="I10" s="3133">
        <v>1.0379</v>
      </c>
      <c r="J10" s="3133">
        <v>1.0379</v>
      </c>
      <c r="K10" s="3133">
        <v>1.0379</v>
      </c>
      <c r="L10" s="3133">
        <v>1.0379</v>
      </c>
      <c r="M10" s="3134">
        <v>1.0379</v>
      </c>
    </row>
    <row r="11" spans="1:20">
      <c r="A11" s="3132">
        <v>1.8</v>
      </c>
      <c r="B11" s="3133">
        <v>1.1057999999999999</v>
      </c>
      <c r="C11" s="3133">
        <v>1.1057999999999999</v>
      </c>
      <c r="D11" s="3133">
        <v>1.0653999999999999</v>
      </c>
      <c r="E11" s="3133">
        <v>1.0653999999999999</v>
      </c>
      <c r="F11" s="3133">
        <v>1.0653999999999999</v>
      </c>
      <c r="G11" s="3133">
        <v>1.0653999999999999</v>
      </c>
      <c r="H11" s="3133">
        <v>1.0653999999999999</v>
      </c>
      <c r="I11" s="3133">
        <v>1.0241</v>
      </c>
      <c r="J11" s="3133">
        <v>1.0241</v>
      </c>
      <c r="K11" s="3133">
        <v>1.0241</v>
      </c>
      <c r="L11" s="3133">
        <v>1.0241</v>
      </c>
      <c r="M11" s="3134">
        <v>1.0241</v>
      </c>
    </row>
    <row r="12" spans="1:20">
      <c r="A12" s="3132">
        <v>1.9</v>
      </c>
      <c r="B12" s="3133">
        <v>1.0949</v>
      </c>
      <c r="C12" s="3133">
        <v>1.0949</v>
      </c>
      <c r="D12" s="3133">
        <v>1.0537000000000001</v>
      </c>
      <c r="E12" s="3133">
        <v>1.0537000000000001</v>
      </c>
      <c r="F12" s="3133">
        <v>1.0537000000000001</v>
      </c>
      <c r="G12" s="3133">
        <v>1.0537000000000001</v>
      </c>
      <c r="H12" s="3133">
        <v>1.0537000000000001</v>
      </c>
      <c r="I12" s="3133">
        <v>1.0117</v>
      </c>
      <c r="J12" s="3133">
        <v>1.0117</v>
      </c>
      <c r="K12" s="3133">
        <v>1.0117</v>
      </c>
      <c r="L12" s="3133">
        <v>1.0117</v>
      </c>
      <c r="M12" s="3134">
        <v>1.0117</v>
      </c>
    </row>
    <row r="13" spans="1:20">
      <c r="A13" s="3132">
        <v>2</v>
      </c>
      <c r="B13" s="3133">
        <v>1.0847</v>
      </c>
      <c r="C13" s="3133">
        <v>1.0847</v>
      </c>
      <c r="D13" s="3133">
        <v>1.0427</v>
      </c>
      <c r="E13" s="3133">
        <v>1.0427</v>
      </c>
      <c r="F13" s="3133">
        <v>1.0427</v>
      </c>
      <c r="G13" s="3133">
        <v>1.0427</v>
      </c>
      <c r="H13" s="3133">
        <v>1.0427</v>
      </c>
      <c r="I13" s="3133">
        <v>1</v>
      </c>
      <c r="J13" s="3133">
        <v>1</v>
      </c>
      <c r="K13" s="3133">
        <v>1</v>
      </c>
      <c r="L13" s="3133">
        <v>1</v>
      </c>
      <c r="M13" s="3134">
        <v>1</v>
      </c>
    </row>
    <row r="14" spans="1:20">
      <c r="A14" s="3135">
        <v>2.1</v>
      </c>
      <c r="B14" s="3133">
        <v>1.0749</v>
      </c>
      <c r="C14" s="3133">
        <v>1.0749</v>
      </c>
      <c r="D14" s="3133">
        <v>1.0327999999999999</v>
      </c>
      <c r="E14" s="3133">
        <v>1.0327999999999999</v>
      </c>
      <c r="F14" s="3133">
        <v>1.0327999999999999</v>
      </c>
      <c r="G14" s="3133">
        <v>1.0327999999999999</v>
      </c>
      <c r="H14" s="3133">
        <v>1.0327999999999999</v>
      </c>
      <c r="I14" s="3133">
        <v>0.98819999999999997</v>
      </c>
      <c r="J14" s="3133">
        <v>0.98819999999999997</v>
      </c>
      <c r="K14" s="3133">
        <v>0.98819999999999997</v>
      </c>
      <c r="L14" s="3133">
        <v>0.98819999999999997</v>
      </c>
      <c r="M14" s="3134">
        <v>0.98819999999999997</v>
      </c>
    </row>
    <row r="15" spans="1:20">
      <c r="A15" s="3135">
        <v>2.2000000000000002</v>
      </c>
      <c r="B15" s="3133">
        <v>1.0663</v>
      </c>
      <c r="C15" s="3133">
        <v>1.0663</v>
      </c>
      <c r="D15" s="3133">
        <v>1.0237000000000001</v>
      </c>
      <c r="E15" s="3133">
        <v>1.0237000000000001</v>
      </c>
      <c r="F15" s="3133">
        <v>1.0237000000000001</v>
      </c>
      <c r="G15" s="3133">
        <v>1.0237000000000001</v>
      </c>
      <c r="H15" s="3133">
        <v>1.0237000000000001</v>
      </c>
      <c r="I15" s="3133">
        <v>0.9768</v>
      </c>
      <c r="J15" s="3133">
        <v>0.9768</v>
      </c>
      <c r="K15" s="3133">
        <v>0.9768</v>
      </c>
      <c r="L15" s="3133">
        <v>0.9768</v>
      </c>
      <c r="M15" s="3134">
        <v>0.9768</v>
      </c>
    </row>
    <row r="16" spans="1:20">
      <c r="A16" s="3135">
        <v>2.2999999999999998</v>
      </c>
      <c r="B16" s="3133">
        <v>1.0584</v>
      </c>
      <c r="C16" s="3133">
        <v>1.0584</v>
      </c>
      <c r="D16" s="3133">
        <v>1.0152000000000001</v>
      </c>
      <c r="E16" s="3133">
        <v>1.0152000000000001</v>
      </c>
      <c r="F16" s="3133">
        <v>1.0152000000000001</v>
      </c>
      <c r="G16" s="3133">
        <v>1.0152000000000001</v>
      </c>
      <c r="H16" s="3133">
        <v>1.0152000000000001</v>
      </c>
      <c r="I16" s="3133">
        <v>0.96609999999999996</v>
      </c>
      <c r="J16" s="3133">
        <v>0.96609999999999996</v>
      </c>
      <c r="K16" s="3133">
        <v>0.96609999999999996</v>
      </c>
      <c r="L16" s="3133">
        <v>0.96609999999999996</v>
      </c>
      <c r="M16" s="3134">
        <v>0.96609999999999996</v>
      </c>
      <c r="N16" s="751"/>
    </row>
    <row r="17" spans="1:14">
      <c r="A17" s="3135">
        <v>2.4</v>
      </c>
      <c r="B17" s="3133">
        <v>1.0511999999999999</v>
      </c>
      <c r="C17" s="3133">
        <v>1.0511999999999999</v>
      </c>
      <c r="D17" s="3133">
        <v>1.0074000000000001</v>
      </c>
      <c r="E17" s="3133">
        <v>1.0074000000000001</v>
      </c>
      <c r="F17" s="3133">
        <v>1.0074000000000001</v>
      </c>
      <c r="G17" s="3133">
        <v>1.0074000000000001</v>
      </c>
      <c r="H17" s="3133">
        <v>1.0074000000000001</v>
      </c>
      <c r="I17" s="3133">
        <v>0.95579999999999998</v>
      </c>
      <c r="J17" s="3133">
        <v>0.95579999999999998</v>
      </c>
      <c r="K17" s="3133">
        <v>0.95579999999999998</v>
      </c>
      <c r="L17" s="3133">
        <v>0.95579999999999998</v>
      </c>
      <c r="M17" s="3134">
        <v>0.95579999999999998</v>
      </c>
      <c r="N17" s="751"/>
    </row>
    <row r="18" spans="1:14">
      <c r="A18" s="3135">
        <v>2.5</v>
      </c>
      <c r="B18" s="3133">
        <v>1.0445</v>
      </c>
      <c r="C18" s="3133">
        <v>1.0445</v>
      </c>
      <c r="D18" s="3133">
        <v>1</v>
      </c>
      <c r="E18" s="3133">
        <v>1</v>
      </c>
      <c r="F18" s="3133">
        <v>1</v>
      </c>
      <c r="G18" s="3133">
        <v>1</v>
      </c>
      <c r="H18" s="3133">
        <v>1</v>
      </c>
      <c r="I18" s="3133">
        <v>0.94620000000000004</v>
      </c>
      <c r="J18" s="3133">
        <v>0.94620000000000004</v>
      </c>
      <c r="K18" s="3133">
        <v>0.94620000000000004</v>
      </c>
      <c r="L18" s="3133">
        <v>0.94620000000000004</v>
      </c>
      <c r="M18" s="3134">
        <v>0.94620000000000004</v>
      </c>
    </row>
    <row r="19" spans="1:14">
      <c r="A19" s="3135">
        <v>2.6</v>
      </c>
      <c r="B19" s="3133">
        <v>1.0386</v>
      </c>
      <c r="C19" s="3133">
        <v>1.0386</v>
      </c>
      <c r="D19" s="3133">
        <v>0.99350000000000005</v>
      </c>
      <c r="E19" s="3133">
        <v>0.99350000000000005</v>
      </c>
      <c r="F19" s="3133">
        <v>0.99350000000000005</v>
      </c>
      <c r="G19" s="3133">
        <v>0.99350000000000005</v>
      </c>
      <c r="H19" s="3133">
        <v>0.99350000000000005</v>
      </c>
      <c r="I19" s="3133">
        <v>0.93710000000000004</v>
      </c>
      <c r="J19" s="3133">
        <v>0.93710000000000004</v>
      </c>
      <c r="K19" s="3133">
        <v>0.93710000000000004</v>
      </c>
      <c r="L19" s="3133">
        <v>0.93710000000000004</v>
      </c>
      <c r="M19" s="3134">
        <v>0.93710000000000004</v>
      </c>
    </row>
    <row r="20" spans="1:14">
      <c r="A20" s="3135">
        <v>2.7</v>
      </c>
      <c r="B20" s="3133">
        <v>1.0331999999999999</v>
      </c>
      <c r="C20" s="3133">
        <v>1.0331999999999999</v>
      </c>
      <c r="D20" s="3133">
        <v>0.98770000000000002</v>
      </c>
      <c r="E20" s="3133">
        <v>0.98770000000000002</v>
      </c>
      <c r="F20" s="3133">
        <v>0.98770000000000002</v>
      </c>
      <c r="G20" s="3133">
        <v>0.98770000000000002</v>
      </c>
      <c r="H20" s="3133">
        <v>0.98770000000000002</v>
      </c>
      <c r="I20" s="3133">
        <v>0.92859999999999998</v>
      </c>
      <c r="J20" s="3133">
        <v>0.92859999999999998</v>
      </c>
      <c r="K20" s="3133">
        <v>0.92859999999999998</v>
      </c>
      <c r="L20" s="3133">
        <v>0.92859999999999998</v>
      </c>
      <c r="M20" s="3134">
        <v>0.92859999999999998</v>
      </c>
    </row>
    <row r="21" spans="1:14">
      <c r="A21" s="3135">
        <v>2.8</v>
      </c>
      <c r="B21" s="3133">
        <v>1.0282</v>
      </c>
      <c r="C21" s="3133">
        <v>1.0282</v>
      </c>
      <c r="D21" s="3133">
        <v>0.98260000000000003</v>
      </c>
      <c r="E21" s="3133">
        <v>0.98260000000000003</v>
      </c>
      <c r="F21" s="3133">
        <v>0.98260000000000003</v>
      </c>
      <c r="G21" s="3133">
        <v>0.98260000000000003</v>
      </c>
      <c r="H21" s="3133">
        <v>0.98260000000000003</v>
      </c>
      <c r="I21" s="3133">
        <v>0.92069999999999996</v>
      </c>
      <c r="J21" s="3133">
        <v>0.92069999999999996</v>
      </c>
      <c r="K21" s="3133">
        <v>0.92069999999999996</v>
      </c>
      <c r="L21" s="3133">
        <v>0.92069999999999996</v>
      </c>
      <c r="M21" s="3134">
        <v>0.92069999999999996</v>
      </c>
    </row>
    <row r="22" spans="1:14">
      <c r="A22" s="3135">
        <v>2.9</v>
      </c>
      <c r="B22" s="3133">
        <v>1.0235000000000001</v>
      </c>
      <c r="C22" s="3133">
        <v>1.0235000000000001</v>
      </c>
      <c r="D22" s="3133">
        <v>0.97770000000000001</v>
      </c>
      <c r="E22" s="3133">
        <v>0.97770000000000001</v>
      </c>
      <c r="F22" s="3133">
        <v>0.97770000000000001</v>
      </c>
      <c r="G22" s="3133">
        <v>0.97770000000000001</v>
      </c>
      <c r="H22" s="3133">
        <v>0.97770000000000001</v>
      </c>
      <c r="I22" s="3133">
        <v>0.9133</v>
      </c>
      <c r="J22" s="3133">
        <v>0.9133</v>
      </c>
      <c r="K22" s="3133">
        <v>0.9133</v>
      </c>
      <c r="L22" s="3133">
        <v>0.9133</v>
      </c>
      <c r="M22" s="3134">
        <v>0.9133</v>
      </c>
    </row>
    <row r="23" spans="1:14">
      <c r="A23" s="3135">
        <v>3</v>
      </c>
      <c r="B23" s="3133">
        <v>1.0190999999999999</v>
      </c>
      <c r="C23" s="3133">
        <v>1.0190999999999999</v>
      </c>
      <c r="D23" s="3133">
        <v>0.97299999999999998</v>
      </c>
      <c r="E23" s="3133">
        <v>0.97299999999999998</v>
      </c>
      <c r="F23" s="3133">
        <v>0.97299999999999998</v>
      </c>
      <c r="G23" s="3133">
        <v>0.97299999999999998</v>
      </c>
      <c r="H23" s="3133">
        <v>0.97299999999999998</v>
      </c>
      <c r="I23" s="3133">
        <v>0.90629999999999999</v>
      </c>
      <c r="J23" s="3133">
        <v>0.90629999999999999</v>
      </c>
      <c r="K23" s="3133">
        <v>0.90629999999999999</v>
      </c>
      <c r="L23" s="3133">
        <v>0.90629999999999999</v>
      </c>
      <c r="M23" s="3134">
        <v>0.90629999999999999</v>
      </c>
    </row>
    <row r="24" spans="1:14">
      <c r="A24" s="3135">
        <v>3.1</v>
      </c>
      <c r="B24" s="3133">
        <v>1.0148999999999999</v>
      </c>
      <c r="C24" s="3133">
        <v>1.0148999999999999</v>
      </c>
      <c r="D24" s="3133">
        <v>0.96840000000000004</v>
      </c>
      <c r="E24" s="3133">
        <v>0.96840000000000004</v>
      </c>
      <c r="F24" s="3133">
        <v>0.96840000000000004</v>
      </c>
      <c r="G24" s="3133">
        <v>0.96840000000000004</v>
      </c>
      <c r="H24" s="3133">
        <v>0.96840000000000004</v>
      </c>
      <c r="I24" s="3133">
        <v>0.89959999999999996</v>
      </c>
      <c r="J24" s="3133">
        <v>0.89959999999999996</v>
      </c>
      <c r="K24" s="3133">
        <v>0.89959999999999996</v>
      </c>
      <c r="L24" s="3133">
        <v>0.89959999999999996</v>
      </c>
      <c r="M24" s="3134">
        <v>0.89959999999999996</v>
      </c>
    </row>
    <row r="25" spans="1:14">
      <c r="A25" s="3135">
        <v>3.2</v>
      </c>
      <c r="B25" s="3133">
        <v>1.0108999999999999</v>
      </c>
      <c r="C25" s="3133">
        <v>1.0108999999999999</v>
      </c>
      <c r="D25" s="3133">
        <v>0.96399999999999997</v>
      </c>
      <c r="E25" s="3133">
        <v>0.96399999999999997</v>
      </c>
      <c r="F25" s="3133">
        <v>0.96399999999999997</v>
      </c>
      <c r="G25" s="3133">
        <v>0.96399999999999997</v>
      </c>
      <c r="H25" s="3133">
        <v>0.96399999999999997</v>
      </c>
      <c r="I25" s="3133">
        <v>0.89319999999999999</v>
      </c>
      <c r="J25" s="3133">
        <v>0.89319999999999999</v>
      </c>
      <c r="K25" s="3133">
        <v>0.89319999999999999</v>
      </c>
      <c r="L25" s="3133">
        <v>0.89319999999999999</v>
      </c>
      <c r="M25" s="3134">
        <v>0.89319999999999999</v>
      </c>
    </row>
    <row r="26" spans="1:14">
      <c r="A26" s="3135">
        <v>3.3</v>
      </c>
      <c r="B26" s="3133">
        <v>1.0071000000000001</v>
      </c>
      <c r="C26" s="3133">
        <v>1.0071000000000001</v>
      </c>
      <c r="D26" s="3133">
        <v>0.95979999999999999</v>
      </c>
      <c r="E26" s="3133">
        <v>0.95979999999999999</v>
      </c>
      <c r="F26" s="3133">
        <v>0.95979999999999999</v>
      </c>
      <c r="G26" s="3133">
        <v>0.95979999999999999</v>
      </c>
      <c r="H26" s="3133">
        <v>0.95979999999999999</v>
      </c>
      <c r="I26" s="3133">
        <v>0.8871</v>
      </c>
      <c r="J26" s="3133">
        <v>0.8871</v>
      </c>
      <c r="K26" s="3133">
        <v>0.8871</v>
      </c>
      <c r="L26" s="3133">
        <v>0.8871</v>
      </c>
      <c r="M26" s="3134">
        <v>0.8871</v>
      </c>
    </row>
    <row r="27" spans="1:14">
      <c r="A27" s="3135">
        <v>3.4</v>
      </c>
      <c r="B27" s="3133">
        <v>1.0035000000000001</v>
      </c>
      <c r="C27" s="3133">
        <v>1.0035000000000001</v>
      </c>
      <c r="D27" s="3133">
        <v>0.95579999999999998</v>
      </c>
      <c r="E27" s="3133">
        <v>0.95579999999999998</v>
      </c>
      <c r="F27" s="3133">
        <v>0.95579999999999998</v>
      </c>
      <c r="G27" s="3133">
        <v>0.95579999999999998</v>
      </c>
      <c r="H27" s="3133">
        <v>0.95579999999999998</v>
      </c>
      <c r="I27" s="3133">
        <v>0.88119999999999998</v>
      </c>
      <c r="J27" s="3133">
        <v>0.88119999999999998</v>
      </c>
      <c r="K27" s="3133">
        <v>0.88119999999999998</v>
      </c>
      <c r="L27" s="3133">
        <v>0.88119999999999998</v>
      </c>
      <c r="M27" s="3134">
        <v>0.88119999999999998</v>
      </c>
    </row>
    <row r="28" spans="1:14">
      <c r="A28" s="3135">
        <v>3.5</v>
      </c>
      <c r="B28" s="3133">
        <v>1</v>
      </c>
      <c r="C28" s="3133">
        <v>1</v>
      </c>
      <c r="D28" s="3133">
        <v>0.95199999999999996</v>
      </c>
      <c r="E28" s="3133">
        <v>0.95199999999999996</v>
      </c>
      <c r="F28" s="3133">
        <v>0.95199999999999996</v>
      </c>
      <c r="G28" s="3133">
        <v>0.95199999999999996</v>
      </c>
      <c r="H28" s="3133">
        <v>0.95199999999999996</v>
      </c>
      <c r="I28" s="3133">
        <v>0.87549999999999994</v>
      </c>
      <c r="J28" s="3133">
        <v>0.87549999999999994</v>
      </c>
      <c r="K28" s="3133">
        <v>0.87549999999999994</v>
      </c>
      <c r="L28" s="3133">
        <v>0.87549999999999994</v>
      </c>
      <c r="M28" s="3134">
        <v>0.87549999999999994</v>
      </c>
    </row>
    <row r="29" spans="1:14">
      <c r="A29" s="3135">
        <v>3.6</v>
      </c>
      <c r="B29" s="3133">
        <v>0.99660000000000004</v>
      </c>
      <c r="C29" s="3133">
        <v>0.99660000000000004</v>
      </c>
      <c r="D29" s="3133">
        <v>0.94840000000000002</v>
      </c>
      <c r="E29" s="3133">
        <v>0.94840000000000002</v>
      </c>
      <c r="F29" s="3133">
        <v>0.94840000000000002</v>
      </c>
      <c r="G29" s="3133">
        <v>0.94840000000000002</v>
      </c>
      <c r="H29" s="3133">
        <v>0.94840000000000002</v>
      </c>
      <c r="I29" s="3133">
        <v>0.87</v>
      </c>
      <c r="J29" s="3133">
        <v>0.87</v>
      </c>
      <c r="K29" s="3133">
        <v>0.87</v>
      </c>
      <c r="L29" s="3133">
        <v>0.87</v>
      </c>
      <c r="M29" s="3134">
        <v>0.87</v>
      </c>
    </row>
    <row r="30" spans="1:14">
      <c r="A30" s="3135">
        <v>3.7</v>
      </c>
      <c r="B30" s="3133">
        <v>0.99329999999999996</v>
      </c>
      <c r="C30" s="3133">
        <v>0.99329999999999996</v>
      </c>
      <c r="D30" s="3133">
        <v>0.94499999999999995</v>
      </c>
      <c r="E30" s="3133">
        <v>0.94499999999999995</v>
      </c>
      <c r="F30" s="3133">
        <v>0.94499999999999995</v>
      </c>
      <c r="G30" s="3133">
        <v>0.94499999999999995</v>
      </c>
      <c r="H30" s="3133">
        <v>0.94499999999999995</v>
      </c>
      <c r="I30" s="3133">
        <v>0.86470000000000002</v>
      </c>
      <c r="J30" s="3133">
        <v>0.86470000000000002</v>
      </c>
      <c r="K30" s="3133">
        <v>0.86470000000000002</v>
      </c>
      <c r="L30" s="3133">
        <v>0.86470000000000002</v>
      </c>
      <c r="M30" s="3134">
        <v>0.86470000000000002</v>
      </c>
    </row>
    <row r="31" spans="1:14">
      <c r="A31" s="3135">
        <v>3.8</v>
      </c>
      <c r="B31" s="3133">
        <v>0.99009999999999998</v>
      </c>
      <c r="C31" s="3133">
        <v>0.99009999999999998</v>
      </c>
      <c r="D31" s="3133">
        <v>0.94169999999999998</v>
      </c>
      <c r="E31" s="3133">
        <v>0.94169999999999998</v>
      </c>
      <c r="F31" s="3133">
        <v>0.94169999999999998</v>
      </c>
      <c r="G31" s="3133">
        <v>0.94169999999999998</v>
      </c>
      <c r="H31" s="3133">
        <v>0.94169999999999998</v>
      </c>
      <c r="I31" s="3133">
        <v>0.85960000000000003</v>
      </c>
      <c r="J31" s="3133">
        <v>0.85960000000000003</v>
      </c>
      <c r="K31" s="3133">
        <v>0.85960000000000003</v>
      </c>
      <c r="L31" s="3133">
        <v>0.85960000000000003</v>
      </c>
      <c r="M31" s="3134">
        <v>0.85960000000000003</v>
      </c>
    </row>
    <row r="32" spans="1:14">
      <c r="A32" s="3135">
        <v>3.9</v>
      </c>
      <c r="B32" s="3133">
        <v>0.98699999999999999</v>
      </c>
      <c r="C32" s="3133">
        <v>0.98699999999999999</v>
      </c>
      <c r="D32" s="3133">
        <v>0.9385</v>
      </c>
      <c r="E32" s="3133">
        <v>0.9385</v>
      </c>
      <c r="F32" s="3133">
        <v>0.9385</v>
      </c>
      <c r="G32" s="3133">
        <v>0.9385</v>
      </c>
      <c r="H32" s="3133">
        <v>0.9385</v>
      </c>
      <c r="I32" s="3133">
        <v>0.85470000000000002</v>
      </c>
      <c r="J32" s="3133">
        <v>0.85470000000000002</v>
      </c>
      <c r="K32" s="3133">
        <v>0.85470000000000002</v>
      </c>
      <c r="L32" s="3133">
        <v>0.85470000000000002</v>
      </c>
      <c r="M32" s="3134">
        <v>0.85470000000000002</v>
      </c>
    </row>
    <row r="33" spans="1:13">
      <c r="A33" s="3135">
        <v>4</v>
      </c>
      <c r="B33" s="3133">
        <v>0.98399999999999999</v>
      </c>
      <c r="C33" s="3133">
        <v>0.98399999999999999</v>
      </c>
      <c r="D33" s="3133">
        <v>0.93540000000000001</v>
      </c>
      <c r="E33" s="3133">
        <v>0.93540000000000001</v>
      </c>
      <c r="F33" s="3133">
        <v>0.93540000000000001</v>
      </c>
      <c r="G33" s="3133">
        <v>0.93540000000000001</v>
      </c>
      <c r="H33" s="3133">
        <v>0.93540000000000001</v>
      </c>
      <c r="I33" s="3133">
        <v>0.84989999999999999</v>
      </c>
      <c r="J33" s="3133">
        <v>0.84989999999999999</v>
      </c>
      <c r="K33" s="3133">
        <v>0.84989999999999999</v>
      </c>
      <c r="L33" s="3133">
        <v>0.84989999999999999</v>
      </c>
      <c r="M33" s="3134">
        <v>0.84989999999999999</v>
      </c>
    </row>
    <row r="34" spans="1:13">
      <c r="A34" s="3135">
        <v>4.0999999999999996</v>
      </c>
      <c r="B34" s="3133">
        <v>0.98109999999999997</v>
      </c>
      <c r="C34" s="3133">
        <v>0.98109999999999997</v>
      </c>
      <c r="D34" s="3133">
        <v>0.93240000000000001</v>
      </c>
      <c r="E34" s="3133">
        <v>0.93240000000000001</v>
      </c>
      <c r="F34" s="3133">
        <v>0.93240000000000001</v>
      </c>
      <c r="G34" s="3133">
        <v>0.93240000000000001</v>
      </c>
      <c r="H34" s="3133">
        <v>0.93240000000000001</v>
      </c>
      <c r="I34" s="3133">
        <v>0.84519999999999995</v>
      </c>
      <c r="J34" s="3133">
        <v>0.84519999999999995</v>
      </c>
      <c r="K34" s="3133">
        <v>0.84519999999999995</v>
      </c>
      <c r="L34" s="3133">
        <v>0.84519999999999995</v>
      </c>
      <c r="M34" s="3134">
        <v>0.84519999999999995</v>
      </c>
    </row>
    <row r="35" spans="1:13">
      <c r="A35" s="3135">
        <v>4.2</v>
      </c>
      <c r="B35" s="3133">
        <v>0.97829999999999995</v>
      </c>
      <c r="C35" s="3133">
        <v>0.97829999999999995</v>
      </c>
      <c r="D35" s="3133">
        <v>0.92949999999999999</v>
      </c>
      <c r="E35" s="3133">
        <v>0.92949999999999999</v>
      </c>
      <c r="F35" s="3133">
        <v>0.92949999999999999</v>
      </c>
      <c r="G35" s="3133">
        <v>0.92949999999999999</v>
      </c>
      <c r="H35" s="3133">
        <v>0.92949999999999999</v>
      </c>
      <c r="I35" s="3133">
        <v>0.84060000000000001</v>
      </c>
      <c r="J35" s="3133">
        <v>0.84060000000000001</v>
      </c>
      <c r="K35" s="3133">
        <v>0.84060000000000001</v>
      </c>
      <c r="L35" s="3133">
        <v>0.84060000000000001</v>
      </c>
      <c r="M35" s="3134">
        <v>0.84060000000000001</v>
      </c>
    </row>
    <row r="36" spans="1:13">
      <c r="A36" s="3135">
        <v>4.3</v>
      </c>
      <c r="B36" s="3133">
        <v>0.97560000000000002</v>
      </c>
      <c r="C36" s="3133">
        <v>0.97560000000000002</v>
      </c>
      <c r="D36" s="3133">
        <v>0.92669999999999997</v>
      </c>
      <c r="E36" s="3133">
        <v>0.92669999999999997</v>
      </c>
      <c r="F36" s="3133">
        <v>0.92669999999999997</v>
      </c>
      <c r="G36" s="3133">
        <v>0.92669999999999997</v>
      </c>
      <c r="H36" s="3133">
        <v>0.92669999999999997</v>
      </c>
      <c r="I36" s="3133">
        <v>0.83609999999999995</v>
      </c>
      <c r="J36" s="3133">
        <v>0.83609999999999995</v>
      </c>
      <c r="K36" s="3133">
        <v>0.83609999999999995</v>
      </c>
      <c r="L36" s="3133">
        <v>0.83609999999999995</v>
      </c>
      <c r="M36" s="3134">
        <v>0.83609999999999995</v>
      </c>
    </row>
    <row r="37" spans="1:13">
      <c r="A37" s="3135">
        <v>4.4000000000000004</v>
      </c>
      <c r="B37" s="3133">
        <v>0.97299999999999998</v>
      </c>
      <c r="C37" s="3133">
        <v>0.97299999999999998</v>
      </c>
      <c r="D37" s="3133">
        <v>0.92400000000000004</v>
      </c>
      <c r="E37" s="3133">
        <v>0.92400000000000004</v>
      </c>
      <c r="F37" s="3133">
        <v>0.92400000000000004</v>
      </c>
      <c r="G37" s="3133">
        <v>0.92400000000000004</v>
      </c>
      <c r="H37" s="3133">
        <v>0.92400000000000004</v>
      </c>
      <c r="I37" s="3133">
        <v>0.83169999999999999</v>
      </c>
      <c r="J37" s="3133">
        <v>0.83169999999999999</v>
      </c>
      <c r="K37" s="3133">
        <v>0.83169999999999999</v>
      </c>
      <c r="L37" s="3133">
        <v>0.83169999999999999</v>
      </c>
      <c r="M37" s="3134">
        <v>0.83169999999999999</v>
      </c>
    </row>
    <row r="38" spans="1:13">
      <c r="A38" s="3135">
        <v>4.5</v>
      </c>
      <c r="B38" s="3133">
        <v>0.97050000000000003</v>
      </c>
      <c r="C38" s="3133">
        <v>0.97050000000000003</v>
      </c>
      <c r="D38" s="3133">
        <v>0.92130000000000001</v>
      </c>
      <c r="E38" s="3133">
        <v>0.92130000000000001</v>
      </c>
      <c r="F38" s="3133">
        <v>0.92130000000000001</v>
      </c>
      <c r="G38" s="3133">
        <v>0.92130000000000001</v>
      </c>
      <c r="H38" s="3133">
        <v>0.92130000000000001</v>
      </c>
      <c r="I38" s="3133">
        <v>0.82740000000000002</v>
      </c>
      <c r="J38" s="3133">
        <v>0.82740000000000002</v>
      </c>
      <c r="K38" s="3133">
        <v>0.82740000000000002</v>
      </c>
      <c r="L38" s="3133">
        <v>0.82740000000000002</v>
      </c>
      <c r="M38" s="3134">
        <v>0.82740000000000002</v>
      </c>
    </row>
    <row r="39" spans="1:13">
      <c r="A39" s="3135">
        <v>4.5999999999999996</v>
      </c>
      <c r="B39" s="3133">
        <v>0.96809999999999996</v>
      </c>
      <c r="C39" s="3133">
        <v>0.96809999999999996</v>
      </c>
      <c r="D39" s="3133">
        <v>0.91869999999999996</v>
      </c>
      <c r="E39" s="3133">
        <v>0.91869999999999996</v>
      </c>
      <c r="F39" s="3133">
        <v>0.91869999999999996</v>
      </c>
      <c r="G39" s="3133">
        <v>0.91869999999999996</v>
      </c>
      <c r="H39" s="3133">
        <v>0.91869999999999996</v>
      </c>
      <c r="I39" s="3133">
        <v>0.82320000000000004</v>
      </c>
      <c r="J39" s="3133">
        <v>0.82320000000000004</v>
      </c>
      <c r="K39" s="3133">
        <v>0.82320000000000004</v>
      </c>
      <c r="L39" s="3133">
        <v>0.82320000000000004</v>
      </c>
      <c r="M39" s="3134">
        <v>0.82320000000000004</v>
      </c>
    </row>
    <row r="40" spans="1:13">
      <c r="A40" s="3135">
        <v>4.7</v>
      </c>
      <c r="B40" s="3133">
        <v>0.96579999999999999</v>
      </c>
      <c r="C40" s="3133">
        <v>0.96579999999999999</v>
      </c>
      <c r="D40" s="3133">
        <v>0.91610000000000003</v>
      </c>
      <c r="E40" s="3133">
        <v>0.91610000000000003</v>
      </c>
      <c r="F40" s="3133">
        <v>0.91610000000000003</v>
      </c>
      <c r="G40" s="3133">
        <v>0.91610000000000003</v>
      </c>
      <c r="H40" s="3133">
        <v>0.91610000000000003</v>
      </c>
      <c r="I40" s="3133">
        <v>0.81910000000000005</v>
      </c>
      <c r="J40" s="3133">
        <v>0.81910000000000005</v>
      </c>
      <c r="K40" s="3133">
        <v>0.81910000000000005</v>
      </c>
      <c r="L40" s="3133">
        <v>0.81910000000000005</v>
      </c>
      <c r="M40" s="3134">
        <v>0.81910000000000005</v>
      </c>
    </row>
    <row r="41" spans="1:13">
      <c r="A41" s="3135">
        <v>4.8</v>
      </c>
      <c r="B41" s="3133">
        <v>0.96360000000000001</v>
      </c>
      <c r="C41" s="3133">
        <v>0.96360000000000001</v>
      </c>
      <c r="D41" s="3133">
        <v>0.91349999999999998</v>
      </c>
      <c r="E41" s="3133">
        <v>0.91349999999999998</v>
      </c>
      <c r="F41" s="3133">
        <v>0.91349999999999998</v>
      </c>
      <c r="G41" s="3133">
        <v>0.91349999999999998</v>
      </c>
      <c r="H41" s="3133">
        <v>0.91349999999999998</v>
      </c>
      <c r="I41" s="3133">
        <v>0.81510000000000005</v>
      </c>
      <c r="J41" s="3133">
        <v>0.81510000000000005</v>
      </c>
      <c r="K41" s="3133">
        <v>0.81510000000000005</v>
      </c>
      <c r="L41" s="3133">
        <v>0.81510000000000005</v>
      </c>
      <c r="M41" s="3134">
        <v>0.81510000000000005</v>
      </c>
    </row>
    <row r="42" spans="1:13">
      <c r="A42" s="3135">
        <v>4.9000000000000004</v>
      </c>
      <c r="B42" s="3133">
        <v>0.96150000000000002</v>
      </c>
      <c r="C42" s="3133">
        <v>0.96150000000000002</v>
      </c>
      <c r="D42" s="3133">
        <v>0.91100000000000003</v>
      </c>
      <c r="E42" s="3133">
        <v>0.91100000000000003</v>
      </c>
      <c r="F42" s="3133">
        <v>0.91100000000000003</v>
      </c>
      <c r="G42" s="3133">
        <v>0.91100000000000003</v>
      </c>
      <c r="H42" s="3133">
        <v>0.91100000000000003</v>
      </c>
      <c r="I42" s="3133">
        <v>0.81110000000000004</v>
      </c>
      <c r="J42" s="3133">
        <v>0.81110000000000004</v>
      </c>
      <c r="K42" s="3133">
        <v>0.81110000000000004</v>
      </c>
      <c r="L42" s="3133">
        <v>0.81110000000000004</v>
      </c>
      <c r="M42" s="3134">
        <v>0.81110000000000004</v>
      </c>
    </row>
    <row r="43" spans="1:13">
      <c r="A43" s="3135">
        <v>5</v>
      </c>
      <c r="B43" s="3133">
        <v>0.95940000000000003</v>
      </c>
      <c r="C43" s="3133">
        <v>0.95940000000000003</v>
      </c>
      <c r="D43" s="3133">
        <v>0.90849999999999997</v>
      </c>
      <c r="E43" s="3133">
        <v>0.90849999999999997</v>
      </c>
      <c r="F43" s="3133">
        <v>0.90849999999999997</v>
      </c>
      <c r="G43" s="3133">
        <v>0.90849999999999997</v>
      </c>
      <c r="H43" s="3133">
        <v>0.90849999999999997</v>
      </c>
      <c r="I43" s="3133">
        <v>0.80720000000000003</v>
      </c>
      <c r="J43" s="3133">
        <v>0.80720000000000003</v>
      </c>
      <c r="K43" s="3133">
        <v>0.80720000000000003</v>
      </c>
      <c r="L43" s="3133">
        <v>0.80720000000000003</v>
      </c>
      <c r="M43" s="3134">
        <v>0.80720000000000003</v>
      </c>
    </row>
    <row r="44" spans="1:13">
      <c r="A44" s="3132">
        <v>5.0999999999999996</v>
      </c>
      <c r="B44" s="3133">
        <v>0.95740000000000003</v>
      </c>
      <c r="C44" s="3133">
        <v>0.95740000000000003</v>
      </c>
      <c r="D44" s="3133">
        <v>0.90600000000000003</v>
      </c>
      <c r="E44" s="3133">
        <v>0.90600000000000003</v>
      </c>
      <c r="F44" s="3133">
        <v>0.90600000000000003</v>
      </c>
      <c r="G44" s="3133">
        <v>0.90600000000000003</v>
      </c>
      <c r="H44" s="3133">
        <v>0.90600000000000003</v>
      </c>
      <c r="I44" s="3133">
        <v>0.80330000000000001</v>
      </c>
      <c r="J44" s="3133">
        <v>0.80330000000000001</v>
      </c>
      <c r="K44" s="3133">
        <v>0.80330000000000001</v>
      </c>
      <c r="L44" s="3133">
        <v>0.80330000000000001</v>
      </c>
      <c r="M44" s="3134">
        <v>0.80330000000000001</v>
      </c>
    </row>
    <row r="45" spans="1:13">
      <c r="A45" s="3132">
        <v>5.2</v>
      </c>
      <c r="B45" s="3133">
        <v>0.95540000000000003</v>
      </c>
      <c r="C45" s="3133">
        <v>0.95540000000000003</v>
      </c>
      <c r="D45" s="3133">
        <v>0.90349999999999997</v>
      </c>
      <c r="E45" s="3133">
        <v>0.90349999999999997</v>
      </c>
      <c r="F45" s="3133">
        <v>0.90349999999999997</v>
      </c>
      <c r="G45" s="3133">
        <v>0.90349999999999997</v>
      </c>
      <c r="H45" s="3133">
        <v>0.90349999999999997</v>
      </c>
      <c r="I45" s="3133">
        <v>0.79949999999999999</v>
      </c>
      <c r="J45" s="3133">
        <v>0.79949999999999999</v>
      </c>
      <c r="K45" s="3133">
        <v>0.79949999999999999</v>
      </c>
      <c r="L45" s="3133">
        <v>0.79949999999999999</v>
      </c>
      <c r="M45" s="3134">
        <v>0.79949999999999999</v>
      </c>
    </row>
    <row r="46" spans="1:13">
      <c r="A46" s="3132">
        <v>5.3</v>
      </c>
      <c r="B46" s="3133">
        <v>0.95350000000000001</v>
      </c>
      <c r="C46" s="3133">
        <v>0.95350000000000001</v>
      </c>
      <c r="D46" s="3133">
        <v>0.90110000000000001</v>
      </c>
      <c r="E46" s="3133">
        <v>0.90110000000000001</v>
      </c>
      <c r="F46" s="3133">
        <v>0.90110000000000001</v>
      </c>
      <c r="G46" s="3133">
        <v>0.90110000000000001</v>
      </c>
      <c r="H46" s="3133">
        <v>0.90110000000000001</v>
      </c>
      <c r="I46" s="3133">
        <v>0.79569999999999996</v>
      </c>
      <c r="J46" s="3133">
        <v>0.79569999999999996</v>
      </c>
      <c r="K46" s="3133">
        <v>0.79569999999999996</v>
      </c>
      <c r="L46" s="3133">
        <v>0.79569999999999996</v>
      </c>
      <c r="M46" s="3134">
        <v>0.79569999999999996</v>
      </c>
    </row>
    <row r="47" spans="1:13">
      <c r="A47" s="3132">
        <v>5.4</v>
      </c>
      <c r="B47" s="3133">
        <v>0.9516</v>
      </c>
      <c r="C47" s="3133">
        <v>0.9516</v>
      </c>
      <c r="D47" s="3133">
        <v>0.89870000000000005</v>
      </c>
      <c r="E47" s="3133">
        <v>0.89870000000000005</v>
      </c>
      <c r="F47" s="3133">
        <v>0.89870000000000005</v>
      </c>
      <c r="G47" s="3133">
        <v>0.89870000000000005</v>
      </c>
      <c r="H47" s="3133">
        <v>0.89870000000000005</v>
      </c>
      <c r="I47" s="3133">
        <v>0.79200000000000004</v>
      </c>
      <c r="J47" s="3133">
        <v>0.79200000000000004</v>
      </c>
      <c r="K47" s="3133">
        <v>0.79200000000000004</v>
      </c>
      <c r="L47" s="3133">
        <v>0.79200000000000004</v>
      </c>
      <c r="M47" s="3134">
        <v>0.79200000000000004</v>
      </c>
    </row>
    <row r="48" spans="1:13">
      <c r="A48" s="3132">
        <v>5.5</v>
      </c>
      <c r="B48" s="3133">
        <v>0.94979999999999998</v>
      </c>
      <c r="C48" s="3133">
        <v>0.94979999999999998</v>
      </c>
      <c r="D48" s="3133">
        <v>0.89629999999999999</v>
      </c>
      <c r="E48" s="3133">
        <v>0.89629999999999999</v>
      </c>
      <c r="F48" s="3133">
        <v>0.89629999999999999</v>
      </c>
      <c r="G48" s="3133">
        <v>0.89629999999999999</v>
      </c>
      <c r="H48" s="3133">
        <v>0.89629999999999999</v>
      </c>
      <c r="I48" s="3133">
        <v>0.7883</v>
      </c>
      <c r="J48" s="3133">
        <v>0.7883</v>
      </c>
      <c r="K48" s="3133">
        <v>0.7883</v>
      </c>
      <c r="L48" s="3133">
        <v>0.7883</v>
      </c>
      <c r="M48" s="3134">
        <v>0.7883</v>
      </c>
    </row>
    <row r="49" spans="1:13">
      <c r="A49" s="3132">
        <v>5.6</v>
      </c>
      <c r="B49" s="3133">
        <v>0.94799999999999995</v>
      </c>
      <c r="C49" s="3133">
        <v>0.94799999999999995</v>
      </c>
      <c r="D49" s="3133">
        <v>0.89390000000000003</v>
      </c>
      <c r="E49" s="3133">
        <v>0.89390000000000003</v>
      </c>
      <c r="F49" s="3133">
        <v>0.89390000000000003</v>
      </c>
      <c r="G49" s="3133">
        <v>0.89390000000000003</v>
      </c>
      <c r="H49" s="3133">
        <v>0.89390000000000003</v>
      </c>
      <c r="I49" s="3133">
        <v>0.78469999999999995</v>
      </c>
      <c r="J49" s="3133">
        <v>0.78469999999999995</v>
      </c>
      <c r="K49" s="3133">
        <v>0.78469999999999995</v>
      </c>
      <c r="L49" s="3133">
        <v>0.78469999999999995</v>
      </c>
      <c r="M49" s="3134">
        <v>0.78469999999999995</v>
      </c>
    </row>
    <row r="50" spans="1:13">
      <c r="A50" s="3135">
        <v>5.7</v>
      </c>
      <c r="B50" s="3133">
        <v>0.94620000000000004</v>
      </c>
      <c r="C50" s="3133">
        <v>0.94620000000000004</v>
      </c>
      <c r="D50" s="3133">
        <v>0.89149999999999996</v>
      </c>
      <c r="E50" s="3133">
        <v>0.89149999999999996</v>
      </c>
      <c r="F50" s="3133">
        <v>0.89149999999999996</v>
      </c>
      <c r="G50" s="3133">
        <v>0.89149999999999996</v>
      </c>
      <c r="H50" s="3133">
        <v>0.89149999999999996</v>
      </c>
      <c r="I50" s="3133">
        <v>0.78110000000000002</v>
      </c>
      <c r="J50" s="3133">
        <v>0.78110000000000002</v>
      </c>
      <c r="K50" s="3133">
        <v>0.78110000000000002</v>
      </c>
      <c r="L50" s="3133">
        <v>0.78110000000000002</v>
      </c>
      <c r="M50" s="3134">
        <v>0.78110000000000002</v>
      </c>
    </row>
    <row r="51" spans="1:13">
      <c r="A51" s="3132">
        <v>5.8</v>
      </c>
      <c r="B51" s="3133">
        <v>0.94450000000000001</v>
      </c>
      <c r="C51" s="3133">
        <v>0.94450000000000001</v>
      </c>
      <c r="D51" s="3133">
        <v>0.88919999999999999</v>
      </c>
      <c r="E51" s="3133">
        <v>0.88919999999999999</v>
      </c>
      <c r="F51" s="3133">
        <v>0.88919999999999999</v>
      </c>
      <c r="G51" s="3133">
        <v>0.88919999999999999</v>
      </c>
      <c r="H51" s="3133">
        <v>0.88919999999999999</v>
      </c>
      <c r="I51" s="3133">
        <v>0.77759999999999996</v>
      </c>
      <c r="J51" s="3133">
        <v>0.77759999999999996</v>
      </c>
      <c r="K51" s="3133">
        <v>0.77759999999999996</v>
      </c>
      <c r="L51" s="3133">
        <v>0.77759999999999996</v>
      </c>
      <c r="M51" s="3134">
        <v>0.77759999999999996</v>
      </c>
    </row>
    <row r="52" spans="1:13">
      <c r="A52" s="3132">
        <v>5.9</v>
      </c>
      <c r="B52" s="3133">
        <v>0.94279999999999997</v>
      </c>
      <c r="C52" s="3133">
        <v>0.94279999999999997</v>
      </c>
      <c r="D52" s="3133">
        <v>0.88690000000000002</v>
      </c>
      <c r="E52" s="3133">
        <v>0.88690000000000002</v>
      </c>
      <c r="F52" s="3133">
        <v>0.88690000000000002</v>
      </c>
      <c r="G52" s="3133">
        <v>0.88690000000000002</v>
      </c>
      <c r="H52" s="3133">
        <v>0.88690000000000002</v>
      </c>
      <c r="I52" s="3133">
        <v>0.77410000000000001</v>
      </c>
      <c r="J52" s="3133">
        <v>0.77410000000000001</v>
      </c>
      <c r="K52" s="3133">
        <v>0.77410000000000001</v>
      </c>
      <c r="L52" s="3133">
        <v>0.77410000000000001</v>
      </c>
      <c r="M52" s="3134">
        <v>0.77410000000000001</v>
      </c>
    </row>
    <row r="53" spans="1:13">
      <c r="A53" s="3132">
        <v>6</v>
      </c>
      <c r="B53" s="3133">
        <v>0.94110000000000005</v>
      </c>
      <c r="C53" s="3133">
        <v>0.94110000000000005</v>
      </c>
      <c r="D53" s="3133">
        <v>0.88460000000000005</v>
      </c>
      <c r="E53" s="3133">
        <v>0.88460000000000005</v>
      </c>
      <c r="F53" s="3133">
        <v>0.88460000000000005</v>
      </c>
      <c r="G53" s="3133">
        <v>0.88460000000000005</v>
      </c>
      <c r="H53" s="3133">
        <v>0.88460000000000005</v>
      </c>
      <c r="I53" s="3133">
        <v>0.77070000000000005</v>
      </c>
      <c r="J53" s="3133">
        <v>0.77070000000000005</v>
      </c>
      <c r="K53" s="3133">
        <v>0.77070000000000005</v>
      </c>
      <c r="L53" s="3133">
        <v>0.77070000000000005</v>
      </c>
      <c r="M53" s="3134">
        <v>0.77070000000000005</v>
      </c>
    </row>
    <row r="54" spans="1:13">
      <c r="A54" s="3132">
        <v>6.1</v>
      </c>
      <c r="B54" s="3133">
        <v>0.93940000000000001</v>
      </c>
      <c r="C54" s="3133">
        <v>0.93940000000000001</v>
      </c>
      <c r="D54" s="3133">
        <v>0.88229999999999997</v>
      </c>
      <c r="E54" s="3133">
        <v>0.88229999999999997</v>
      </c>
      <c r="F54" s="3133">
        <v>0.88229999999999997</v>
      </c>
      <c r="G54" s="3133">
        <v>0.88229999999999997</v>
      </c>
      <c r="H54" s="3133">
        <v>0.88229999999999997</v>
      </c>
      <c r="I54" s="3133">
        <v>0.76729999999999998</v>
      </c>
      <c r="J54" s="3133">
        <v>0.76729999999999998</v>
      </c>
      <c r="K54" s="3133">
        <v>0.76729999999999998</v>
      </c>
      <c r="L54" s="3133">
        <v>0.76729999999999998</v>
      </c>
      <c r="M54" s="3134">
        <v>0.76729999999999998</v>
      </c>
    </row>
    <row r="55" spans="1:13">
      <c r="A55" s="3132">
        <v>6.2</v>
      </c>
      <c r="B55" s="3133">
        <v>0.93769999999999998</v>
      </c>
      <c r="C55" s="3133">
        <v>0.93769999999999998</v>
      </c>
      <c r="D55" s="3133">
        <v>0.88</v>
      </c>
      <c r="E55" s="3133">
        <v>0.88</v>
      </c>
      <c r="F55" s="3133">
        <v>0.88</v>
      </c>
      <c r="G55" s="3133">
        <v>0.88</v>
      </c>
      <c r="H55" s="3133">
        <v>0.88</v>
      </c>
      <c r="I55" s="3133">
        <v>0.76400000000000001</v>
      </c>
      <c r="J55" s="3133">
        <v>0.76400000000000001</v>
      </c>
      <c r="K55" s="3133">
        <v>0.76400000000000001</v>
      </c>
      <c r="L55" s="3133">
        <v>0.76400000000000001</v>
      </c>
      <c r="M55" s="3134">
        <v>0.76400000000000001</v>
      </c>
    </row>
    <row r="56" spans="1:13">
      <c r="A56" s="3132">
        <v>6.3</v>
      </c>
      <c r="B56" s="3133">
        <v>0.93610000000000004</v>
      </c>
      <c r="C56" s="3133">
        <v>0.93610000000000004</v>
      </c>
      <c r="D56" s="3133">
        <v>0.87780000000000002</v>
      </c>
      <c r="E56" s="3133">
        <v>0.87780000000000002</v>
      </c>
      <c r="F56" s="3133">
        <v>0.87780000000000002</v>
      </c>
      <c r="G56" s="3133">
        <v>0.87780000000000002</v>
      </c>
      <c r="H56" s="3133">
        <v>0.87780000000000002</v>
      </c>
      <c r="I56" s="3133">
        <v>0.76070000000000004</v>
      </c>
      <c r="J56" s="3133">
        <v>0.76070000000000004</v>
      </c>
      <c r="K56" s="3133">
        <v>0.76070000000000004</v>
      </c>
      <c r="L56" s="3133">
        <v>0.76070000000000004</v>
      </c>
      <c r="M56" s="3134">
        <v>0.76070000000000004</v>
      </c>
    </row>
    <row r="57" spans="1:13">
      <c r="A57" s="3132">
        <v>6.4</v>
      </c>
      <c r="B57" s="3133">
        <v>0.9345</v>
      </c>
      <c r="C57" s="3133">
        <v>0.9345</v>
      </c>
      <c r="D57" s="3133">
        <v>0.87560000000000004</v>
      </c>
      <c r="E57" s="3133">
        <v>0.87560000000000004</v>
      </c>
      <c r="F57" s="3133">
        <v>0.87560000000000004</v>
      </c>
      <c r="G57" s="3133">
        <v>0.87560000000000004</v>
      </c>
      <c r="H57" s="3133">
        <v>0.87560000000000004</v>
      </c>
      <c r="I57" s="3133">
        <v>0.75749999999999995</v>
      </c>
      <c r="J57" s="3133">
        <v>0.75749999999999995</v>
      </c>
      <c r="K57" s="3133">
        <v>0.75749999999999995</v>
      </c>
      <c r="L57" s="3133">
        <v>0.75749999999999995</v>
      </c>
      <c r="M57" s="3134">
        <v>0.75749999999999995</v>
      </c>
    </row>
    <row r="58" spans="1:13">
      <c r="A58" s="3132">
        <v>6.5</v>
      </c>
      <c r="B58" s="3133">
        <v>0.93289999999999995</v>
      </c>
      <c r="C58" s="3133">
        <v>0.93289999999999995</v>
      </c>
      <c r="D58" s="3133">
        <v>0.87339999999999995</v>
      </c>
      <c r="E58" s="3133">
        <v>0.87339999999999995</v>
      </c>
      <c r="F58" s="3133">
        <v>0.87339999999999995</v>
      </c>
      <c r="G58" s="3133">
        <v>0.87339999999999995</v>
      </c>
      <c r="H58" s="3133">
        <v>0.87339999999999995</v>
      </c>
      <c r="I58" s="3133">
        <v>0.75429999999999997</v>
      </c>
      <c r="J58" s="3133">
        <v>0.75429999999999997</v>
      </c>
      <c r="K58" s="3133">
        <v>0.75429999999999997</v>
      </c>
      <c r="L58" s="3133">
        <v>0.75429999999999997</v>
      </c>
      <c r="M58" s="3134">
        <v>0.75429999999999997</v>
      </c>
    </row>
    <row r="59" spans="1:13">
      <c r="A59" s="3132">
        <v>6.6</v>
      </c>
      <c r="B59" s="3133">
        <v>0.93130000000000002</v>
      </c>
      <c r="C59" s="3133">
        <v>0.93130000000000002</v>
      </c>
      <c r="D59" s="3133">
        <v>0.87119999999999997</v>
      </c>
      <c r="E59" s="3133">
        <v>0.87119999999999997</v>
      </c>
      <c r="F59" s="3133">
        <v>0.87119999999999997</v>
      </c>
      <c r="G59" s="3133">
        <v>0.87119999999999997</v>
      </c>
      <c r="H59" s="3133">
        <v>0.87119999999999997</v>
      </c>
      <c r="I59" s="3133">
        <v>0.75119999999999998</v>
      </c>
      <c r="J59" s="3133">
        <v>0.75119999999999998</v>
      </c>
      <c r="K59" s="3133">
        <v>0.75119999999999998</v>
      </c>
      <c r="L59" s="3133">
        <v>0.75119999999999998</v>
      </c>
      <c r="M59" s="3134">
        <v>0.75119999999999998</v>
      </c>
    </row>
    <row r="60" spans="1:13">
      <c r="A60" s="3132">
        <v>6.7</v>
      </c>
      <c r="B60" s="3133">
        <v>0.92969999999999997</v>
      </c>
      <c r="C60" s="3133">
        <v>0.92969999999999997</v>
      </c>
      <c r="D60" s="3133">
        <v>0.86899999999999999</v>
      </c>
      <c r="E60" s="3133">
        <v>0.86899999999999999</v>
      </c>
      <c r="F60" s="3133">
        <v>0.86899999999999999</v>
      </c>
      <c r="G60" s="3133">
        <v>0.86899999999999999</v>
      </c>
      <c r="H60" s="3133">
        <v>0.86899999999999999</v>
      </c>
      <c r="I60" s="3133">
        <v>0.74809999999999999</v>
      </c>
      <c r="J60" s="3133">
        <v>0.74809999999999999</v>
      </c>
      <c r="K60" s="3133">
        <v>0.74809999999999999</v>
      </c>
      <c r="L60" s="3133">
        <v>0.74809999999999999</v>
      </c>
      <c r="M60" s="3134">
        <v>0.74809999999999999</v>
      </c>
    </row>
    <row r="61" spans="1:13">
      <c r="A61" s="3132">
        <v>6.8</v>
      </c>
      <c r="B61" s="3133">
        <v>0.92820000000000003</v>
      </c>
      <c r="C61" s="3133">
        <v>0.92820000000000003</v>
      </c>
      <c r="D61" s="3133">
        <v>0.8669</v>
      </c>
      <c r="E61" s="3133">
        <v>0.8669</v>
      </c>
      <c r="F61" s="3133">
        <v>0.8669</v>
      </c>
      <c r="G61" s="3133">
        <v>0.8669</v>
      </c>
      <c r="H61" s="3133">
        <v>0.8669</v>
      </c>
      <c r="I61" s="3133">
        <v>0.74509999999999998</v>
      </c>
      <c r="J61" s="3133">
        <v>0.74509999999999998</v>
      </c>
      <c r="K61" s="3133">
        <v>0.74509999999999998</v>
      </c>
      <c r="L61" s="3133">
        <v>0.74509999999999998</v>
      </c>
      <c r="M61" s="3134">
        <v>0.74509999999999998</v>
      </c>
    </row>
    <row r="62" spans="1:13">
      <c r="A62" s="3132">
        <v>6.9</v>
      </c>
      <c r="B62" s="3133">
        <v>0.92669999999999997</v>
      </c>
      <c r="C62" s="3133">
        <v>0.92669999999999997</v>
      </c>
      <c r="D62" s="3133">
        <v>0.86480000000000001</v>
      </c>
      <c r="E62" s="3133">
        <v>0.86480000000000001</v>
      </c>
      <c r="F62" s="3133">
        <v>0.86480000000000001</v>
      </c>
      <c r="G62" s="3133">
        <v>0.86480000000000001</v>
      </c>
      <c r="H62" s="3133">
        <v>0.86480000000000001</v>
      </c>
      <c r="I62" s="3133">
        <v>0.74209999999999998</v>
      </c>
      <c r="J62" s="3133">
        <v>0.74209999999999998</v>
      </c>
      <c r="K62" s="3133">
        <v>0.74209999999999998</v>
      </c>
      <c r="L62" s="3133">
        <v>0.74209999999999998</v>
      </c>
      <c r="M62" s="3134">
        <v>0.74209999999999998</v>
      </c>
    </row>
    <row r="63" spans="1:13">
      <c r="A63" s="3132">
        <v>7</v>
      </c>
      <c r="B63" s="3133">
        <v>0.92520000000000002</v>
      </c>
      <c r="C63" s="3133">
        <v>0.92520000000000002</v>
      </c>
      <c r="D63" s="3133">
        <v>0.86270000000000002</v>
      </c>
      <c r="E63" s="3133">
        <v>0.86270000000000002</v>
      </c>
      <c r="F63" s="3133">
        <v>0.86270000000000002</v>
      </c>
      <c r="G63" s="3133">
        <v>0.86270000000000002</v>
      </c>
      <c r="H63" s="3133">
        <v>0.86270000000000002</v>
      </c>
      <c r="I63" s="3133">
        <v>0.73919999999999997</v>
      </c>
      <c r="J63" s="3133">
        <v>0.73919999999999997</v>
      </c>
      <c r="K63" s="3133">
        <v>0.73919999999999997</v>
      </c>
      <c r="L63" s="3133">
        <v>0.73919999999999997</v>
      </c>
      <c r="M63" s="3134">
        <v>0.73919999999999997</v>
      </c>
    </row>
    <row r="64" spans="1:13">
      <c r="A64" s="3132">
        <v>7.1</v>
      </c>
      <c r="B64" s="3133">
        <v>0.92369999999999997</v>
      </c>
      <c r="C64" s="3133">
        <v>0.92369999999999997</v>
      </c>
      <c r="D64" s="3133">
        <v>0.86060000000000003</v>
      </c>
      <c r="E64" s="3133">
        <v>0.86060000000000003</v>
      </c>
      <c r="F64" s="3133">
        <v>0.86060000000000003</v>
      </c>
      <c r="G64" s="3133">
        <v>0.86060000000000003</v>
      </c>
      <c r="H64" s="3133">
        <v>0.86060000000000003</v>
      </c>
      <c r="I64" s="3133">
        <v>0.73629999999999995</v>
      </c>
      <c r="J64" s="3133">
        <v>0.73629999999999995</v>
      </c>
      <c r="K64" s="3133">
        <v>0.73629999999999995</v>
      </c>
      <c r="L64" s="3133">
        <v>0.73629999999999995</v>
      </c>
      <c r="M64" s="3134">
        <v>0.73629999999999995</v>
      </c>
    </row>
    <row r="65" spans="1:13">
      <c r="A65" s="3132">
        <v>7.2</v>
      </c>
      <c r="B65" s="3133">
        <v>0.92220000000000002</v>
      </c>
      <c r="C65" s="3133">
        <v>0.92220000000000002</v>
      </c>
      <c r="D65" s="3133">
        <v>0.85850000000000004</v>
      </c>
      <c r="E65" s="3133">
        <v>0.85850000000000004</v>
      </c>
      <c r="F65" s="3133">
        <v>0.85850000000000004</v>
      </c>
      <c r="G65" s="3133">
        <v>0.85850000000000004</v>
      </c>
      <c r="H65" s="3133">
        <v>0.85850000000000004</v>
      </c>
      <c r="I65" s="3133">
        <v>0.73350000000000004</v>
      </c>
      <c r="J65" s="3133">
        <v>0.73350000000000004</v>
      </c>
      <c r="K65" s="3133">
        <v>0.73350000000000004</v>
      </c>
      <c r="L65" s="3133">
        <v>0.73350000000000004</v>
      </c>
      <c r="M65" s="3134">
        <v>0.73350000000000004</v>
      </c>
    </row>
    <row r="66" spans="1:13">
      <c r="A66" s="3132">
        <v>7.3</v>
      </c>
      <c r="B66" s="3133">
        <v>0.92069999999999996</v>
      </c>
      <c r="C66" s="3133">
        <v>0.92069999999999996</v>
      </c>
      <c r="D66" s="3133">
        <v>0.85650000000000004</v>
      </c>
      <c r="E66" s="3133">
        <v>0.85650000000000004</v>
      </c>
      <c r="F66" s="3133">
        <v>0.85650000000000004</v>
      </c>
      <c r="G66" s="3133">
        <v>0.85650000000000004</v>
      </c>
      <c r="H66" s="3133">
        <v>0.85650000000000004</v>
      </c>
      <c r="I66" s="3133">
        <v>0.73070000000000002</v>
      </c>
      <c r="J66" s="3133">
        <v>0.73070000000000002</v>
      </c>
      <c r="K66" s="3133">
        <v>0.73070000000000002</v>
      </c>
      <c r="L66" s="3133">
        <v>0.73070000000000002</v>
      </c>
      <c r="M66" s="3134">
        <v>0.73070000000000002</v>
      </c>
    </row>
    <row r="67" spans="1:13">
      <c r="A67" s="3132">
        <v>7.4</v>
      </c>
      <c r="B67" s="3133">
        <v>0.91930000000000001</v>
      </c>
      <c r="C67" s="3133">
        <v>0.91930000000000001</v>
      </c>
      <c r="D67" s="3133">
        <v>0.85450000000000004</v>
      </c>
      <c r="E67" s="3133">
        <v>0.85450000000000004</v>
      </c>
      <c r="F67" s="3133">
        <v>0.85450000000000004</v>
      </c>
      <c r="G67" s="3133">
        <v>0.85450000000000004</v>
      </c>
      <c r="H67" s="3133">
        <v>0.85450000000000004</v>
      </c>
      <c r="I67" s="3133">
        <v>0.72799999999999998</v>
      </c>
      <c r="J67" s="3133">
        <v>0.72799999999999998</v>
      </c>
      <c r="K67" s="3133">
        <v>0.72799999999999998</v>
      </c>
      <c r="L67" s="3133">
        <v>0.72799999999999998</v>
      </c>
      <c r="M67" s="3134">
        <v>0.72799999999999998</v>
      </c>
    </row>
    <row r="68" spans="1:13">
      <c r="A68" s="3132">
        <v>7.5</v>
      </c>
      <c r="B68" s="3133">
        <v>0.91790000000000005</v>
      </c>
      <c r="C68" s="3133">
        <v>0.91790000000000005</v>
      </c>
      <c r="D68" s="3133">
        <v>0.85250000000000004</v>
      </c>
      <c r="E68" s="3133">
        <v>0.85250000000000004</v>
      </c>
      <c r="F68" s="3133">
        <v>0.85250000000000004</v>
      </c>
      <c r="G68" s="3133">
        <v>0.85250000000000004</v>
      </c>
      <c r="H68" s="3133">
        <v>0.85250000000000004</v>
      </c>
      <c r="I68" s="3133">
        <v>0.72529999999999994</v>
      </c>
      <c r="J68" s="3133">
        <v>0.72529999999999994</v>
      </c>
      <c r="K68" s="3133">
        <v>0.72529999999999994</v>
      </c>
      <c r="L68" s="3133">
        <v>0.72529999999999994</v>
      </c>
      <c r="M68" s="3134">
        <v>0.72529999999999994</v>
      </c>
    </row>
    <row r="69" spans="1:13">
      <c r="A69" s="3132">
        <v>7.6</v>
      </c>
      <c r="B69" s="3133">
        <v>0.91649999999999998</v>
      </c>
      <c r="C69" s="3133">
        <v>0.91649999999999998</v>
      </c>
      <c r="D69" s="3133">
        <v>0.85050000000000003</v>
      </c>
      <c r="E69" s="3133">
        <v>0.85050000000000003</v>
      </c>
      <c r="F69" s="3133">
        <v>0.85050000000000003</v>
      </c>
      <c r="G69" s="3133">
        <v>0.85050000000000003</v>
      </c>
      <c r="H69" s="3133">
        <v>0.85050000000000003</v>
      </c>
      <c r="I69" s="3133">
        <v>0.72260000000000002</v>
      </c>
      <c r="J69" s="3133">
        <v>0.72260000000000002</v>
      </c>
      <c r="K69" s="3133">
        <v>0.72260000000000002</v>
      </c>
      <c r="L69" s="3133">
        <v>0.72260000000000002</v>
      </c>
      <c r="M69" s="3134">
        <v>0.72260000000000002</v>
      </c>
    </row>
    <row r="70" spans="1:13">
      <c r="A70" s="3132">
        <v>7.7</v>
      </c>
      <c r="B70" s="3133">
        <v>0.91510000000000002</v>
      </c>
      <c r="C70" s="3133">
        <v>0.91510000000000002</v>
      </c>
      <c r="D70" s="3133">
        <v>0.84850000000000003</v>
      </c>
      <c r="E70" s="3133">
        <v>0.84850000000000003</v>
      </c>
      <c r="F70" s="3133">
        <v>0.84850000000000003</v>
      </c>
      <c r="G70" s="3133">
        <v>0.84850000000000003</v>
      </c>
      <c r="H70" s="3133">
        <v>0.84850000000000003</v>
      </c>
      <c r="I70" s="3133">
        <v>0.72</v>
      </c>
      <c r="J70" s="3133">
        <v>0.72</v>
      </c>
      <c r="K70" s="3133">
        <v>0.72</v>
      </c>
      <c r="L70" s="3133">
        <v>0.72</v>
      </c>
      <c r="M70" s="3134">
        <v>0.72</v>
      </c>
    </row>
    <row r="71" spans="1:13">
      <c r="A71" s="3132">
        <v>7.8</v>
      </c>
      <c r="B71" s="3133">
        <v>0.91369999999999996</v>
      </c>
      <c r="C71" s="3133">
        <v>0.91369999999999996</v>
      </c>
      <c r="D71" s="3133">
        <v>0.84660000000000002</v>
      </c>
      <c r="E71" s="3133">
        <v>0.84660000000000002</v>
      </c>
      <c r="F71" s="3133">
        <v>0.84660000000000002</v>
      </c>
      <c r="G71" s="3133">
        <v>0.84660000000000002</v>
      </c>
      <c r="H71" s="3133">
        <v>0.84660000000000002</v>
      </c>
      <c r="I71" s="3133">
        <v>0.71740000000000004</v>
      </c>
      <c r="J71" s="3133">
        <v>0.71740000000000004</v>
      </c>
      <c r="K71" s="3133">
        <v>0.71740000000000004</v>
      </c>
      <c r="L71" s="3133">
        <v>0.71740000000000004</v>
      </c>
      <c r="M71" s="3134">
        <v>0.71740000000000004</v>
      </c>
    </row>
    <row r="72" spans="1:13">
      <c r="A72" s="3132">
        <v>7.9</v>
      </c>
      <c r="B72" s="3133">
        <v>0.9123</v>
      </c>
      <c r="C72" s="3133">
        <v>0.9123</v>
      </c>
      <c r="D72" s="3133">
        <v>0.84470000000000001</v>
      </c>
      <c r="E72" s="3133">
        <v>0.84470000000000001</v>
      </c>
      <c r="F72" s="3133">
        <v>0.84470000000000001</v>
      </c>
      <c r="G72" s="3133">
        <v>0.84470000000000001</v>
      </c>
      <c r="H72" s="3133">
        <v>0.84470000000000001</v>
      </c>
      <c r="I72" s="3133">
        <v>0.71479999999999999</v>
      </c>
      <c r="J72" s="3133">
        <v>0.71479999999999999</v>
      </c>
      <c r="K72" s="3133">
        <v>0.71479999999999999</v>
      </c>
      <c r="L72" s="3133">
        <v>0.71479999999999999</v>
      </c>
      <c r="M72" s="3134">
        <v>0.71479999999999999</v>
      </c>
    </row>
    <row r="73" spans="1:13">
      <c r="A73" s="3132">
        <v>8</v>
      </c>
      <c r="B73" s="3133">
        <v>0.91090000000000004</v>
      </c>
      <c r="C73" s="3133">
        <v>0.91090000000000004</v>
      </c>
      <c r="D73" s="3133">
        <v>0.84279999999999999</v>
      </c>
      <c r="E73" s="3133">
        <v>0.84279999999999999</v>
      </c>
      <c r="F73" s="3133">
        <v>0.84279999999999999</v>
      </c>
      <c r="G73" s="3133">
        <v>0.84279999999999999</v>
      </c>
      <c r="H73" s="3133">
        <v>0.84279999999999999</v>
      </c>
      <c r="I73" s="3133">
        <v>0.71230000000000004</v>
      </c>
      <c r="J73" s="3133">
        <v>0.71230000000000004</v>
      </c>
      <c r="K73" s="3133">
        <v>0.71230000000000004</v>
      </c>
      <c r="L73" s="3133">
        <v>0.71230000000000004</v>
      </c>
      <c r="M73" s="3134">
        <v>0.71230000000000004</v>
      </c>
    </row>
    <row r="74" spans="1:13">
      <c r="A74" s="3132">
        <v>8.1</v>
      </c>
      <c r="B74" s="3133">
        <v>0.90959999999999996</v>
      </c>
      <c r="C74" s="3133">
        <v>0.90959999999999996</v>
      </c>
      <c r="D74" s="3133">
        <v>0.84089999999999998</v>
      </c>
      <c r="E74" s="3133">
        <v>0.84089999999999998</v>
      </c>
      <c r="F74" s="3133">
        <v>0.84089999999999998</v>
      </c>
      <c r="G74" s="3133">
        <v>0.84089999999999998</v>
      </c>
      <c r="H74" s="3133">
        <v>0.84089999999999998</v>
      </c>
      <c r="I74" s="3133">
        <v>0.70979999999999999</v>
      </c>
      <c r="J74" s="3133">
        <v>0.70979999999999999</v>
      </c>
      <c r="K74" s="3133">
        <v>0.70979999999999999</v>
      </c>
      <c r="L74" s="3133">
        <v>0.70979999999999999</v>
      </c>
      <c r="M74" s="3134">
        <v>0.70979999999999999</v>
      </c>
    </row>
    <row r="75" spans="1:13">
      <c r="A75" s="3132">
        <v>8.1999999999999993</v>
      </c>
      <c r="B75" s="3133">
        <v>0.9083</v>
      </c>
      <c r="C75" s="3133">
        <v>0.9083</v>
      </c>
      <c r="D75" s="3133">
        <v>0.83899999999999997</v>
      </c>
      <c r="E75" s="3133">
        <v>0.83899999999999997</v>
      </c>
      <c r="F75" s="3133">
        <v>0.83899999999999997</v>
      </c>
      <c r="G75" s="3133">
        <v>0.83899999999999997</v>
      </c>
      <c r="H75" s="3133">
        <v>0.83899999999999997</v>
      </c>
      <c r="I75" s="3133">
        <v>0.70730000000000004</v>
      </c>
      <c r="J75" s="3133">
        <v>0.70730000000000004</v>
      </c>
      <c r="K75" s="3133">
        <v>0.70730000000000004</v>
      </c>
      <c r="L75" s="3133">
        <v>0.70730000000000004</v>
      </c>
      <c r="M75" s="3134">
        <v>0.70730000000000004</v>
      </c>
    </row>
    <row r="76" spans="1:13">
      <c r="A76" s="3132">
        <v>8.3000000000000007</v>
      </c>
      <c r="B76" s="3133">
        <v>0.90700000000000003</v>
      </c>
      <c r="C76" s="3133">
        <v>0.90700000000000003</v>
      </c>
      <c r="D76" s="3133">
        <v>0.83720000000000006</v>
      </c>
      <c r="E76" s="3133">
        <v>0.83720000000000006</v>
      </c>
      <c r="F76" s="3133">
        <v>0.83720000000000006</v>
      </c>
      <c r="G76" s="3133">
        <v>0.83720000000000006</v>
      </c>
      <c r="H76" s="3133">
        <v>0.83720000000000006</v>
      </c>
      <c r="I76" s="3133">
        <v>0.70489999999999997</v>
      </c>
      <c r="J76" s="3133">
        <v>0.70489999999999997</v>
      </c>
      <c r="K76" s="3133">
        <v>0.70489999999999997</v>
      </c>
      <c r="L76" s="3133">
        <v>0.70489999999999997</v>
      </c>
      <c r="M76" s="3134">
        <v>0.70489999999999997</v>
      </c>
    </row>
    <row r="77" spans="1:13">
      <c r="A77" s="3132">
        <v>8.4</v>
      </c>
      <c r="B77" s="3133">
        <v>0.90569999999999995</v>
      </c>
      <c r="C77" s="3133">
        <v>0.90569999999999995</v>
      </c>
      <c r="D77" s="3133">
        <v>0.83540000000000003</v>
      </c>
      <c r="E77" s="3133">
        <v>0.83540000000000003</v>
      </c>
      <c r="F77" s="3133">
        <v>0.83540000000000003</v>
      </c>
      <c r="G77" s="3133">
        <v>0.83540000000000003</v>
      </c>
      <c r="H77" s="3133">
        <v>0.83540000000000003</v>
      </c>
      <c r="I77" s="3133">
        <v>0.70250000000000001</v>
      </c>
      <c r="J77" s="3133">
        <v>0.70250000000000001</v>
      </c>
      <c r="K77" s="3133">
        <v>0.70250000000000001</v>
      </c>
      <c r="L77" s="3133">
        <v>0.70250000000000001</v>
      </c>
      <c r="M77" s="3134">
        <v>0.70250000000000001</v>
      </c>
    </row>
    <row r="78" spans="1:13">
      <c r="A78" s="3132">
        <v>8.5</v>
      </c>
      <c r="B78" s="3133">
        <v>0.90439999999999998</v>
      </c>
      <c r="C78" s="3133">
        <v>0.90439999999999998</v>
      </c>
      <c r="D78" s="3133">
        <v>0.83360000000000001</v>
      </c>
      <c r="E78" s="3133">
        <v>0.83360000000000001</v>
      </c>
      <c r="F78" s="3133">
        <v>0.83360000000000001</v>
      </c>
      <c r="G78" s="3133">
        <v>0.83360000000000001</v>
      </c>
      <c r="H78" s="3133">
        <v>0.83360000000000001</v>
      </c>
      <c r="I78" s="3133">
        <v>0.70009999999999994</v>
      </c>
      <c r="J78" s="3133">
        <v>0.70009999999999994</v>
      </c>
      <c r="K78" s="3133">
        <v>0.70009999999999994</v>
      </c>
      <c r="L78" s="3133">
        <v>0.70009999999999994</v>
      </c>
      <c r="M78" s="3134">
        <v>0.70009999999999994</v>
      </c>
    </row>
    <row r="79" spans="1:13">
      <c r="A79" s="3132">
        <v>8.6</v>
      </c>
      <c r="B79" s="3133">
        <v>0.90310000000000001</v>
      </c>
      <c r="C79" s="3133">
        <v>0.90310000000000001</v>
      </c>
      <c r="D79" s="3133">
        <v>0.83179999999999998</v>
      </c>
      <c r="E79" s="3133">
        <v>0.83179999999999998</v>
      </c>
      <c r="F79" s="3133">
        <v>0.83179999999999998</v>
      </c>
      <c r="G79" s="3133">
        <v>0.83179999999999998</v>
      </c>
      <c r="H79" s="3133">
        <v>0.83179999999999998</v>
      </c>
      <c r="I79" s="3133">
        <v>0.69779999999999998</v>
      </c>
      <c r="J79" s="3133">
        <v>0.69779999999999998</v>
      </c>
      <c r="K79" s="3133">
        <v>0.69779999999999998</v>
      </c>
      <c r="L79" s="3133">
        <v>0.69779999999999998</v>
      </c>
      <c r="M79" s="3134">
        <v>0.69779999999999998</v>
      </c>
    </row>
    <row r="80" spans="1:13">
      <c r="A80" s="3132">
        <v>8.6999999999999993</v>
      </c>
      <c r="B80" s="3133">
        <v>0.90180000000000005</v>
      </c>
      <c r="C80" s="3133">
        <v>0.90180000000000005</v>
      </c>
      <c r="D80" s="3133">
        <v>0.83</v>
      </c>
      <c r="E80" s="3133">
        <v>0.83</v>
      </c>
      <c r="F80" s="3133">
        <v>0.83</v>
      </c>
      <c r="G80" s="3133">
        <v>0.83</v>
      </c>
      <c r="H80" s="3133">
        <v>0.83</v>
      </c>
      <c r="I80" s="3133">
        <v>0.69550000000000001</v>
      </c>
      <c r="J80" s="3133">
        <v>0.69550000000000001</v>
      </c>
      <c r="K80" s="3133">
        <v>0.69550000000000001</v>
      </c>
      <c r="L80" s="3133">
        <v>0.69550000000000001</v>
      </c>
      <c r="M80" s="3134">
        <v>0.69550000000000001</v>
      </c>
    </row>
    <row r="81" spans="1:20">
      <c r="A81" s="3132">
        <v>8.8000000000000007</v>
      </c>
      <c r="B81" s="3133">
        <v>0.90059999999999996</v>
      </c>
      <c r="C81" s="3133">
        <v>0.90059999999999996</v>
      </c>
      <c r="D81" s="3133">
        <v>0.82830000000000004</v>
      </c>
      <c r="E81" s="3133">
        <v>0.82830000000000004</v>
      </c>
      <c r="F81" s="3133">
        <v>0.82830000000000004</v>
      </c>
      <c r="G81" s="3133">
        <v>0.82830000000000004</v>
      </c>
      <c r="H81" s="3133">
        <v>0.82830000000000004</v>
      </c>
      <c r="I81" s="3133">
        <v>0.69320000000000004</v>
      </c>
      <c r="J81" s="3133">
        <v>0.69320000000000004</v>
      </c>
      <c r="K81" s="3133">
        <v>0.69320000000000004</v>
      </c>
      <c r="L81" s="3133">
        <v>0.69320000000000004</v>
      </c>
      <c r="M81" s="3134">
        <v>0.69320000000000004</v>
      </c>
    </row>
    <row r="82" spans="1:20">
      <c r="A82" s="3132">
        <v>8.9</v>
      </c>
      <c r="B82" s="3133">
        <v>0.89939999999999998</v>
      </c>
      <c r="C82" s="3133">
        <v>0.89939999999999998</v>
      </c>
      <c r="D82" s="3133">
        <v>0.8266</v>
      </c>
      <c r="E82" s="3133">
        <v>0.8266</v>
      </c>
      <c r="F82" s="3133">
        <v>0.8266</v>
      </c>
      <c r="G82" s="3133">
        <v>0.8266</v>
      </c>
      <c r="H82" s="3133">
        <v>0.8266</v>
      </c>
      <c r="I82" s="3133">
        <v>0.69099999999999995</v>
      </c>
      <c r="J82" s="3133">
        <v>0.69099999999999995</v>
      </c>
      <c r="K82" s="3133">
        <v>0.69099999999999995</v>
      </c>
      <c r="L82" s="3133">
        <v>0.69099999999999995</v>
      </c>
      <c r="M82" s="3134">
        <v>0.69099999999999995</v>
      </c>
    </row>
    <row r="83" spans="1:20">
      <c r="A83" s="3135">
        <v>9</v>
      </c>
      <c r="B83" s="3133">
        <v>0.8982</v>
      </c>
      <c r="C83" s="3133">
        <v>0.8982</v>
      </c>
      <c r="D83" s="3133">
        <v>0.82489999999999997</v>
      </c>
      <c r="E83" s="3133">
        <v>0.82489999999999997</v>
      </c>
      <c r="F83" s="3133">
        <v>0.82489999999999997</v>
      </c>
      <c r="G83" s="3133">
        <v>0.82489999999999997</v>
      </c>
      <c r="H83" s="3133">
        <v>0.82489999999999997</v>
      </c>
      <c r="I83" s="3133">
        <v>0.68879999999999997</v>
      </c>
      <c r="J83" s="3133">
        <v>0.68879999999999997</v>
      </c>
      <c r="K83" s="3133">
        <v>0.68879999999999997</v>
      </c>
      <c r="L83" s="3133">
        <v>0.68879999999999997</v>
      </c>
      <c r="M83" s="3134">
        <v>0.68879999999999997</v>
      </c>
    </row>
    <row r="84" spans="1:20">
      <c r="A84" s="3135">
        <v>9.1</v>
      </c>
      <c r="B84" s="3133">
        <v>0.89700000000000002</v>
      </c>
      <c r="C84" s="3133">
        <v>0.89700000000000002</v>
      </c>
      <c r="D84" s="3133">
        <v>0.82320000000000004</v>
      </c>
      <c r="E84" s="3133">
        <v>0.82320000000000004</v>
      </c>
      <c r="F84" s="3133">
        <v>0.82320000000000004</v>
      </c>
      <c r="G84" s="3133">
        <v>0.82320000000000004</v>
      </c>
      <c r="H84" s="3133">
        <v>0.82320000000000004</v>
      </c>
      <c r="I84" s="3133">
        <v>0.68659999999999999</v>
      </c>
      <c r="J84" s="3133">
        <v>0.68659999999999999</v>
      </c>
      <c r="K84" s="3133">
        <v>0.68659999999999999</v>
      </c>
      <c r="L84" s="3133">
        <v>0.68659999999999999</v>
      </c>
      <c r="M84" s="3134">
        <v>0.68659999999999999</v>
      </c>
    </row>
    <row r="85" spans="1:20">
      <c r="A85" s="3135">
        <v>9.1999999999999993</v>
      </c>
      <c r="B85" s="3133">
        <v>0.89580000000000004</v>
      </c>
      <c r="C85" s="3133">
        <v>0.89580000000000004</v>
      </c>
      <c r="D85" s="3133">
        <v>0.82150000000000001</v>
      </c>
      <c r="E85" s="3133">
        <v>0.82150000000000001</v>
      </c>
      <c r="F85" s="3133">
        <v>0.82150000000000001</v>
      </c>
      <c r="G85" s="3133">
        <v>0.82150000000000001</v>
      </c>
      <c r="H85" s="3133">
        <v>0.82150000000000001</v>
      </c>
      <c r="I85" s="3133">
        <v>0.6845</v>
      </c>
      <c r="J85" s="3133">
        <v>0.6845</v>
      </c>
      <c r="K85" s="3133">
        <v>0.6845</v>
      </c>
      <c r="L85" s="3133">
        <v>0.6845</v>
      </c>
      <c r="M85" s="3134">
        <v>0.6845</v>
      </c>
    </row>
    <row r="86" spans="1:20">
      <c r="A86" s="3135">
        <v>9.3000000000000007</v>
      </c>
      <c r="B86" s="3133">
        <v>0.89459999999999995</v>
      </c>
      <c r="C86" s="3133">
        <v>0.89459999999999995</v>
      </c>
      <c r="D86" s="3133">
        <v>0.81989999999999996</v>
      </c>
      <c r="E86" s="3133">
        <v>0.81989999999999996</v>
      </c>
      <c r="F86" s="3133">
        <v>0.81989999999999996</v>
      </c>
      <c r="G86" s="3133">
        <v>0.81989999999999996</v>
      </c>
      <c r="H86" s="3133">
        <v>0.81989999999999996</v>
      </c>
      <c r="I86" s="3133">
        <v>0.68240000000000001</v>
      </c>
      <c r="J86" s="3133">
        <v>0.68240000000000001</v>
      </c>
      <c r="K86" s="3133">
        <v>0.68240000000000001</v>
      </c>
      <c r="L86" s="3133">
        <v>0.68240000000000001</v>
      </c>
      <c r="M86" s="3134">
        <v>0.68240000000000001</v>
      </c>
    </row>
    <row r="87" spans="1:20">
      <c r="A87" s="3135">
        <v>9.4</v>
      </c>
      <c r="B87" s="3133">
        <v>0.89339999999999997</v>
      </c>
      <c r="C87" s="3133">
        <v>0.89339999999999997</v>
      </c>
      <c r="D87" s="3133">
        <v>0.81830000000000003</v>
      </c>
      <c r="E87" s="3133">
        <v>0.81830000000000003</v>
      </c>
      <c r="F87" s="3133">
        <v>0.81830000000000003</v>
      </c>
      <c r="G87" s="3133">
        <v>0.81830000000000003</v>
      </c>
      <c r="H87" s="3133">
        <v>0.81830000000000003</v>
      </c>
      <c r="I87" s="3133">
        <v>0.68030000000000002</v>
      </c>
      <c r="J87" s="3133">
        <v>0.68030000000000002</v>
      </c>
      <c r="K87" s="3133">
        <v>0.68030000000000002</v>
      </c>
      <c r="L87" s="3133">
        <v>0.68030000000000002</v>
      </c>
      <c r="M87" s="3134">
        <v>0.68030000000000002</v>
      </c>
    </row>
    <row r="88" spans="1:20">
      <c r="A88" s="3135">
        <v>9.5</v>
      </c>
      <c r="B88" s="3133">
        <v>0.89229999999999998</v>
      </c>
      <c r="C88" s="3133">
        <v>0.89229999999999998</v>
      </c>
      <c r="D88" s="3133">
        <v>0.81669999999999998</v>
      </c>
      <c r="E88" s="3133">
        <v>0.81669999999999998</v>
      </c>
      <c r="F88" s="3133">
        <v>0.81669999999999998</v>
      </c>
      <c r="G88" s="3133">
        <v>0.81669999999999998</v>
      </c>
      <c r="H88" s="3133">
        <v>0.81669999999999998</v>
      </c>
      <c r="I88" s="3133">
        <v>0.67830000000000001</v>
      </c>
      <c r="J88" s="3133">
        <v>0.67830000000000001</v>
      </c>
      <c r="K88" s="3133">
        <v>0.67830000000000001</v>
      </c>
      <c r="L88" s="3133">
        <v>0.67830000000000001</v>
      </c>
      <c r="M88" s="3134">
        <v>0.67830000000000001</v>
      </c>
    </row>
    <row r="89" spans="1:20">
      <c r="A89" s="3135">
        <v>9.6</v>
      </c>
      <c r="B89" s="3133">
        <v>0.89119999999999999</v>
      </c>
      <c r="C89" s="3133">
        <v>0.89119999999999999</v>
      </c>
      <c r="D89" s="3133">
        <v>0.81510000000000005</v>
      </c>
      <c r="E89" s="3133">
        <v>0.81510000000000005</v>
      </c>
      <c r="F89" s="3133">
        <v>0.81510000000000005</v>
      </c>
      <c r="G89" s="3133">
        <v>0.81510000000000005</v>
      </c>
      <c r="H89" s="3133">
        <v>0.81510000000000005</v>
      </c>
      <c r="I89" s="3133">
        <v>0.67630000000000001</v>
      </c>
      <c r="J89" s="3133">
        <v>0.67630000000000001</v>
      </c>
      <c r="K89" s="3133">
        <v>0.67630000000000001</v>
      </c>
      <c r="L89" s="3133">
        <v>0.67630000000000001</v>
      </c>
      <c r="M89" s="3134">
        <v>0.67630000000000001</v>
      </c>
    </row>
    <row r="90" spans="1:20">
      <c r="A90" s="3135">
        <v>9.6999999999999993</v>
      </c>
      <c r="B90" s="3133">
        <v>0.8901</v>
      </c>
      <c r="C90" s="3133">
        <v>0.8901</v>
      </c>
      <c r="D90" s="3133">
        <v>0.8135</v>
      </c>
      <c r="E90" s="3133">
        <v>0.8135</v>
      </c>
      <c r="F90" s="3133">
        <v>0.8135</v>
      </c>
      <c r="G90" s="3133">
        <v>0.8135</v>
      </c>
      <c r="H90" s="3133">
        <v>0.8135</v>
      </c>
      <c r="I90" s="3133">
        <v>0.67430000000000001</v>
      </c>
      <c r="J90" s="3133">
        <v>0.67430000000000001</v>
      </c>
      <c r="K90" s="3133">
        <v>0.67430000000000001</v>
      </c>
      <c r="L90" s="3133">
        <v>0.67430000000000001</v>
      </c>
      <c r="M90" s="3134">
        <v>0.67430000000000001</v>
      </c>
    </row>
    <row r="91" spans="1:20">
      <c r="A91" s="3135">
        <v>9.8000000000000007</v>
      </c>
      <c r="B91" s="3133">
        <v>0.88900000000000001</v>
      </c>
      <c r="C91" s="3133">
        <v>0.88900000000000001</v>
      </c>
      <c r="D91" s="3133">
        <v>0.81200000000000006</v>
      </c>
      <c r="E91" s="3133">
        <v>0.81200000000000006</v>
      </c>
      <c r="F91" s="3133">
        <v>0.81200000000000006</v>
      </c>
      <c r="G91" s="3133">
        <v>0.81200000000000006</v>
      </c>
      <c r="H91" s="3133">
        <v>0.81200000000000006</v>
      </c>
      <c r="I91" s="3133">
        <v>0.6724</v>
      </c>
      <c r="J91" s="3133">
        <v>0.6724</v>
      </c>
      <c r="K91" s="3133">
        <v>0.6724</v>
      </c>
      <c r="L91" s="3133">
        <v>0.6724</v>
      </c>
      <c r="M91" s="3134">
        <v>0.6724</v>
      </c>
    </row>
    <row r="92" spans="1:20" ht="14.25" thickBot="1">
      <c r="A92" s="3136">
        <v>9.9</v>
      </c>
      <c r="B92" s="3137">
        <v>0.88790000000000002</v>
      </c>
      <c r="C92" s="3137">
        <v>0.88790000000000002</v>
      </c>
      <c r="D92" s="3137">
        <v>0.8105</v>
      </c>
      <c r="E92" s="3137">
        <v>0.8105</v>
      </c>
      <c r="F92" s="3137">
        <v>0.8105</v>
      </c>
      <c r="G92" s="3137">
        <v>0.8105</v>
      </c>
      <c r="H92" s="3137">
        <v>0.8105</v>
      </c>
      <c r="I92" s="3137">
        <v>0.67049999999999998</v>
      </c>
      <c r="J92" s="3137">
        <v>0.67049999999999998</v>
      </c>
      <c r="K92" s="3137">
        <v>0.67049999999999998</v>
      </c>
      <c r="L92" s="3137">
        <v>0.67049999999999998</v>
      </c>
      <c r="M92" s="3138">
        <v>0.67049999999999998</v>
      </c>
    </row>
    <row r="93" spans="1:20" ht="15" thickBot="1">
      <c r="A93" s="3126" t="s">
        <v>2803</v>
      </c>
      <c r="B93" s="3126"/>
      <c r="C93" s="3126"/>
      <c r="D93" s="3126"/>
      <c r="E93" s="3126"/>
      <c r="F93" s="3126"/>
      <c r="G93" s="3126"/>
      <c r="H93" s="3126"/>
      <c r="I93" s="3126"/>
      <c r="J93" s="3126"/>
      <c r="K93" s="3126"/>
      <c r="L93" s="3126"/>
      <c r="M93" s="3126"/>
    </row>
    <row r="94" spans="1:20">
      <c r="A94" s="3127" t="s">
        <v>2802</v>
      </c>
      <c r="B94" s="3128" t="s">
        <v>2598</v>
      </c>
      <c r="C94" s="3128" t="s">
        <v>2599</v>
      </c>
      <c r="D94" s="3128" t="s">
        <v>2600</v>
      </c>
      <c r="E94" s="3128" t="s">
        <v>2601</v>
      </c>
      <c r="F94" s="3128" t="s">
        <v>2602</v>
      </c>
      <c r="G94" s="3128" t="s">
        <v>2603</v>
      </c>
      <c r="H94" s="3129" t="s">
        <v>2604</v>
      </c>
      <c r="I94" s="3129" t="s">
        <v>2605</v>
      </c>
      <c r="J94" s="3130" t="s">
        <v>2606</v>
      </c>
      <c r="K94" s="3130" t="s">
        <v>2607</v>
      </c>
      <c r="L94" s="3130" t="s">
        <v>2608</v>
      </c>
      <c r="M94" s="3131" t="s">
        <v>2609</v>
      </c>
      <c r="N94" s="750">
        <f>SUMPRODUCT((A95:A184=ROUNDDOWN(基准地价修正!G3,1))*(B94:M94=基准地价修正!G2)*(B95:M184))</f>
        <v>0.99160000000000004</v>
      </c>
      <c r="Q94" s="3141" t="s">
        <v>2807</v>
      </c>
      <c r="R94" s="3141" t="s">
        <v>2808</v>
      </c>
      <c r="S94" s="3141" t="s">
        <v>2809</v>
      </c>
      <c r="T94" s="3141" t="s">
        <v>2810</v>
      </c>
    </row>
    <row r="95" spans="1:20">
      <c r="A95" s="3132">
        <v>1</v>
      </c>
      <c r="B95" s="3133">
        <v>1.2501</v>
      </c>
      <c r="C95" s="3133">
        <v>1.2501</v>
      </c>
      <c r="D95" s="3133">
        <v>1.2158</v>
      </c>
      <c r="E95" s="3133">
        <v>1.2158</v>
      </c>
      <c r="F95" s="3133">
        <v>1.2158</v>
      </c>
      <c r="G95" s="3133">
        <v>1.2158</v>
      </c>
      <c r="H95" s="3133">
        <v>1.2158</v>
      </c>
      <c r="I95" s="3133">
        <v>1.2302</v>
      </c>
      <c r="J95" s="3133">
        <v>1.2302</v>
      </c>
      <c r="K95" s="3133">
        <v>1.2302</v>
      </c>
      <c r="L95" s="3133">
        <v>1.2302</v>
      </c>
      <c r="M95" s="3134">
        <v>1.2302</v>
      </c>
      <c r="Q95" s="3141">
        <v>10</v>
      </c>
      <c r="R95" s="3141">
        <f>ROUND(0.993-0.0112*Q95,4)</f>
        <v>0.88100000000000001</v>
      </c>
      <c r="S95" s="3141">
        <f>ROUND(0.9415-0.0142*Q95,4)</f>
        <v>0.79949999999999999</v>
      </c>
      <c r="T95" s="3141">
        <f>ROUND(0.8438-0.0182*Q95,4)</f>
        <v>0.66180000000000005</v>
      </c>
    </row>
    <row r="96" spans="1:20">
      <c r="A96" s="3132">
        <v>1.1000000000000001</v>
      </c>
      <c r="B96" s="3133">
        <v>1.2310000000000001</v>
      </c>
      <c r="C96" s="3133">
        <v>1.2310000000000001</v>
      </c>
      <c r="D96" s="3133">
        <v>1.1947000000000001</v>
      </c>
      <c r="E96" s="3133">
        <v>1.1947000000000001</v>
      </c>
      <c r="F96" s="3133">
        <v>1.1947000000000001</v>
      </c>
      <c r="G96" s="3133">
        <v>1.1947000000000001</v>
      </c>
      <c r="H96" s="3133">
        <v>1.1947000000000001</v>
      </c>
      <c r="I96" s="3133">
        <v>1.2008000000000001</v>
      </c>
      <c r="J96" s="3133">
        <v>1.2008000000000001</v>
      </c>
      <c r="K96" s="3133">
        <v>1.2008000000000001</v>
      </c>
      <c r="L96" s="3133">
        <v>1.2008000000000001</v>
      </c>
      <c r="M96" s="3134">
        <v>1.2008000000000001</v>
      </c>
    </row>
    <row r="97" spans="1:14">
      <c r="A97" s="3132">
        <v>1.2</v>
      </c>
      <c r="B97" s="3133">
        <v>1.2130000000000001</v>
      </c>
      <c r="C97" s="3133">
        <v>1.2130000000000001</v>
      </c>
      <c r="D97" s="3133">
        <v>1.1748000000000001</v>
      </c>
      <c r="E97" s="3133">
        <v>1.1748000000000001</v>
      </c>
      <c r="F97" s="3133">
        <v>1.1748000000000001</v>
      </c>
      <c r="G97" s="3133">
        <v>1.1748000000000001</v>
      </c>
      <c r="H97" s="3133">
        <v>1.1748000000000001</v>
      </c>
      <c r="I97" s="3133">
        <v>1.173</v>
      </c>
      <c r="J97" s="3133">
        <v>1.173</v>
      </c>
      <c r="K97" s="3133">
        <v>1.173</v>
      </c>
      <c r="L97" s="3133">
        <v>1.173</v>
      </c>
      <c r="M97" s="3134">
        <v>1.173</v>
      </c>
    </row>
    <row r="98" spans="1:14">
      <c r="A98" s="3132">
        <v>1.3</v>
      </c>
      <c r="B98" s="3133">
        <v>1.196</v>
      </c>
      <c r="C98" s="3133">
        <v>1.196</v>
      </c>
      <c r="D98" s="3133">
        <v>1.1559999999999999</v>
      </c>
      <c r="E98" s="3133">
        <v>1.1559999999999999</v>
      </c>
      <c r="F98" s="3133">
        <v>1.1559999999999999</v>
      </c>
      <c r="G98" s="3133">
        <v>1.1559999999999999</v>
      </c>
      <c r="H98" s="3133">
        <v>1.1559999999999999</v>
      </c>
      <c r="I98" s="3133">
        <v>1.1468</v>
      </c>
      <c r="J98" s="3133">
        <v>1.1468</v>
      </c>
      <c r="K98" s="3133">
        <v>1.1468</v>
      </c>
      <c r="L98" s="3133">
        <v>1.1468</v>
      </c>
      <c r="M98" s="3134">
        <v>1.1468</v>
      </c>
    </row>
    <row r="99" spans="1:14">
      <c r="A99" s="3132">
        <v>1.4</v>
      </c>
      <c r="B99" s="3133">
        <v>1.18</v>
      </c>
      <c r="C99" s="3133">
        <v>1.18</v>
      </c>
      <c r="D99" s="3133">
        <v>1.1382000000000001</v>
      </c>
      <c r="E99" s="3133">
        <v>1.1382000000000001</v>
      </c>
      <c r="F99" s="3133">
        <v>1.1382000000000001</v>
      </c>
      <c r="G99" s="3133">
        <v>1.1382000000000001</v>
      </c>
      <c r="H99" s="3133">
        <v>1.1382000000000001</v>
      </c>
      <c r="I99" s="3133">
        <v>1.1220000000000001</v>
      </c>
      <c r="J99" s="3133">
        <v>1.1220000000000001</v>
      </c>
      <c r="K99" s="3133">
        <v>1.1220000000000001</v>
      </c>
      <c r="L99" s="3133">
        <v>1.1220000000000001</v>
      </c>
      <c r="M99" s="3134">
        <v>1.1220000000000001</v>
      </c>
    </row>
    <row r="100" spans="1:14">
      <c r="A100" s="3132">
        <v>1.5</v>
      </c>
      <c r="B100" s="3133">
        <v>1.1649</v>
      </c>
      <c r="C100" s="3133">
        <v>1.1649</v>
      </c>
      <c r="D100" s="3133">
        <v>1.1214999999999999</v>
      </c>
      <c r="E100" s="3133">
        <v>1.1214999999999999</v>
      </c>
      <c r="F100" s="3133">
        <v>1.1214999999999999</v>
      </c>
      <c r="G100" s="3133">
        <v>1.1214999999999999</v>
      </c>
      <c r="H100" s="3133">
        <v>1.1214999999999999</v>
      </c>
      <c r="I100" s="3133">
        <v>1.0985</v>
      </c>
      <c r="J100" s="3133">
        <v>1.0985</v>
      </c>
      <c r="K100" s="3133">
        <v>1.0985</v>
      </c>
      <c r="L100" s="3133">
        <v>1.0985</v>
      </c>
      <c r="M100" s="3134">
        <v>1.0985</v>
      </c>
    </row>
    <row r="101" spans="1:14">
      <c r="A101" s="3132">
        <v>1.6</v>
      </c>
      <c r="B101" s="3133">
        <v>1.1507000000000001</v>
      </c>
      <c r="C101" s="3133">
        <v>1.1507000000000001</v>
      </c>
      <c r="D101" s="3133">
        <v>1.1056999999999999</v>
      </c>
      <c r="E101" s="3133">
        <v>1.1056999999999999</v>
      </c>
      <c r="F101" s="3133">
        <v>1.1056999999999999</v>
      </c>
      <c r="G101" s="3133">
        <v>1.1056999999999999</v>
      </c>
      <c r="H101" s="3133">
        <v>1.1056999999999999</v>
      </c>
      <c r="I101" s="3133">
        <v>1.0764</v>
      </c>
      <c r="J101" s="3133">
        <v>1.0764</v>
      </c>
      <c r="K101" s="3133">
        <v>1.0764</v>
      </c>
      <c r="L101" s="3133">
        <v>1.0764</v>
      </c>
      <c r="M101" s="3134">
        <v>1.0764</v>
      </c>
    </row>
    <row r="102" spans="1:14">
      <c r="A102" s="3132">
        <v>1.7</v>
      </c>
      <c r="B102" s="3133">
        <v>1.1373</v>
      </c>
      <c r="C102" s="3133">
        <v>1.1373</v>
      </c>
      <c r="D102" s="3133">
        <v>1.0908</v>
      </c>
      <c r="E102" s="3133">
        <v>1.0908</v>
      </c>
      <c r="F102" s="3133">
        <v>1.0908</v>
      </c>
      <c r="G102" s="3133">
        <v>1.0908</v>
      </c>
      <c r="H102" s="3133">
        <v>1.0908</v>
      </c>
      <c r="I102" s="3133">
        <v>1.0556000000000001</v>
      </c>
      <c r="J102" s="3133">
        <v>1.0556000000000001</v>
      </c>
      <c r="K102" s="3133">
        <v>1.0556000000000001</v>
      </c>
      <c r="L102" s="3133">
        <v>1.0556000000000001</v>
      </c>
      <c r="M102" s="3134">
        <v>1.0556000000000001</v>
      </c>
    </row>
    <row r="103" spans="1:14" ht="14.25">
      <c r="A103" s="3132">
        <v>1.8</v>
      </c>
      <c r="B103" s="3133">
        <v>1.1247</v>
      </c>
      <c r="C103" s="3133">
        <v>1.1247</v>
      </c>
      <c r="D103" s="3133">
        <v>1.0768</v>
      </c>
      <c r="E103" s="3133">
        <v>1.0768</v>
      </c>
      <c r="F103" s="3133">
        <v>1.0768</v>
      </c>
      <c r="G103" s="3133">
        <v>1.0768</v>
      </c>
      <c r="H103" s="3133">
        <v>1.0768</v>
      </c>
      <c r="I103" s="3133">
        <v>1.0359</v>
      </c>
      <c r="J103" s="3133">
        <v>1.0359</v>
      </c>
      <c r="K103" s="3133">
        <v>1.0359</v>
      </c>
      <c r="L103" s="3133">
        <v>1.0359</v>
      </c>
      <c r="M103" s="3134">
        <v>1.0359</v>
      </c>
      <c r="N103" s="749"/>
    </row>
    <row r="104" spans="1:14" ht="14.25">
      <c r="A104" s="3132">
        <v>1.9</v>
      </c>
      <c r="B104" s="3133">
        <v>1.1128</v>
      </c>
      <c r="C104" s="3133">
        <v>1.1128</v>
      </c>
      <c r="D104" s="3133">
        <v>1.0637000000000001</v>
      </c>
      <c r="E104" s="3133">
        <v>1.0637000000000001</v>
      </c>
      <c r="F104" s="3133">
        <v>1.0637000000000001</v>
      </c>
      <c r="G104" s="3133">
        <v>1.0637000000000001</v>
      </c>
      <c r="H104" s="3133">
        <v>1.0637000000000001</v>
      </c>
      <c r="I104" s="3133">
        <v>1.0174000000000001</v>
      </c>
      <c r="J104" s="3133">
        <v>1.0174000000000001</v>
      </c>
      <c r="K104" s="3133">
        <v>1.0174000000000001</v>
      </c>
      <c r="L104" s="3133">
        <v>1.0174000000000001</v>
      </c>
      <c r="M104" s="3134">
        <v>1.0174000000000001</v>
      </c>
      <c r="N104" s="749"/>
    </row>
    <row r="105" spans="1:14">
      <c r="A105" s="3132">
        <v>2</v>
      </c>
      <c r="B105" s="3133">
        <v>1.1016999999999999</v>
      </c>
      <c r="C105" s="3133">
        <v>1.1016999999999999</v>
      </c>
      <c r="D105" s="3133">
        <v>1.0512999999999999</v>
      </c>
      <c r="E105" s="3133">
        <v>1.0512999999999999</v>
      </c>
      <c r="F105" s="3133">
        <v>1.0512999999999999</v>
      </c>
      <c r="G105" s="3133">
        <v>1.0512999999999999</v>
      </c>
      <c r="H105" s="3133">
        <v>1.0512999999999999</v>
      </c>
      <c r="I105" s="3133">
        <v>1</v>
      </c>
      <c r="J105" s="3133">
        <v>1</v>
      </c>
      <c r="K105" s="3133">
        <v>1</v>
      </c>
      <c r="L105" s="3133">
        <v>1</v>
      </c>
      <c r="M105" s="3134">
        <v>1</v>
      </c>
    </row>
    <row r="106" spans="1:14">
      <c r="A106" s="3135">
        <v>2.1</v>
      </c>
      <c r="B106" s="3133">
        <v>1.0912999999999999</v>
      </c>
      <c r="C106" s="3133">
        <v>1.0912999999999999</v>
      </c>
      <c r="D106" s="3133">
        <v>1.0397000000000001</v>
      </c>
      <c r="E106" s="3133">
        <v>1.0397000000000001</v>
      </c>
      <c r="F106" s="3133">
        <v>1.0397000000000001</v>
      </c>
      <c r="G106" s="3133">
        <v>1.0397000000000001</v>
      </c>
      <c r="H106" s="3133">
        <v>1.0397000000000001</v>
      </c>
      <c r="I106" s="3133">
        <v>0.98360000000000003</v>
      </c>
      <c r="J106" s="3133">
        <v>0.98360000000000003</v>
      </c>
      <c r="K106" s="3133">
        <v>0.98360000000000003</v>
      </c>
      <c r="L106" s="3133">
        <v>0.98360000000000003</v>
      </c>
      <c r="M106" s="3134">
        <v>0.98360000000000003</v>
      </c>
    </row>
    <row r="107" spans="1:14">
      <c r="A107" s="3135">
        <v>2.2000000000000002</v>
      </c>
      <c r="B107" s="3133">
        <v>1.0814999999999999</v>
      </c>
      <c r="C107" s="3133">
        <v>1.0814999999999999</v>
      </c>
      <c r="D107" s="3133">
        <v>1.0287999999999999</v>
      </c>
      <c r="E107" s="3133">
        <v>1.0287999999999999</v>
      </c>
      <c r="F107" s="3133">
        <v>1.0287999999999999</v>
      </c>
      <c r="G107" s="3133">
        <v>1.0287999999999999</v>
      </c>
      <c r="H107" s="3133">
        <v>1.0287999999999999</v>
      </c>
      <c r="I107" s="3133">
        <v>0.96819999999999995</v>
      </c>
      <c r="J107" s="3133">
        <v>0.96819999999999995</v>
      </c>
      <c r="K107" s="3133">
        <v>0.96819999999999995</v>
      </c>
      <c r="L107" s="3133">
        <v>0.96819999999999995</v>
      </c>
      <c r="M107" s="3134">
        <v>0.96819999999999995</v>
      </c>
    </row>
    <row r="108" spans="1:14">
      <c r="A108" s="3135">
        <v>2.2999999999999998</v>
      </c>
      <c r="B108" s="3133">
        <v>1.0724</v>
      </c>
      <c r="C108" s="3133">
        <v>1.0724</v>
      </c>
      <c r="D108" s="3133">
        <v>1.0185999999999999</v>
      </c>
      <c r="E108" s="3133">
        <v>1.0185999999999999</v>
      </c>
      <c r="F108" s="3133">
        <v>1.0185999999999999</v>
      </c>
      <c r="G108" s="3133">
        <v>1.0185999999999999</v>
      </c>
      <c r="H108" s="3133">
        <v>1.0185999999999999</v>
      </c>
      <c r="I108" s="3133">
        <v>0.95369999999999999</v>
      </c>
      <c r="J108" s="3133">
        <v>0.95369999999999999</v>
      </c>
      <c r="K108" s="3133">
        <v>0.95369999999999999</v>
      </c>
      <c r="L108" s="3133">
        <v>0.95369999999999999</v>
      </c>
      <c r="M108" s="3134">
        <v>0.95369999999999999</v>
      </c>
    </row>
    <row r="109" spans="1:14">
      <c r="A109" s="3135">
        <v>2.4</v>
      </c>
      <c r="B109" s="3133">
        <v>1.0638000000000001</v>
      </c>
      <c r="C109" s="3133">
        <v>1.0638000000000001</v>
      </c>
      <c r="D109" s="3133">
        <v>1.0089999999999999</v>
      </c>
      <c r="E109" s="3133">
        <v>1.0089999999999999</v>
      </c>
      <c r="F109" s="3133">
        <v>1.0089999999999999</v>
      </c>
      <c r="G109" s="3133">
        <v>1.0089999999999999</v>
      </c>
      <c r="H109" s="3133">
        <v>1.0089999999999999</v>
      </c>
      <c r="I109" s="3133">
        <v>0.94010000000000005</v>
      </c>
      <c r="J109" s="3133">
        <v>0.94010000000000005</v>
      </c>
      <c r="K109" s="3133">
        <v>0.94010000000000005</v>
      </c>
      <c r="L109" s="3133">
        <v>0.94010000000000005</v>
      </c>
      <c r="M109" s="3134">
        <v>0.94010000000000005</v>
      </c>
    </row>
    <row r="110" spans="1:14">
      <c r="A110" s="3135">
        <v>2.5</v>
      </c>
      <c r="B110" s="3133">
        <v>1.0558000000000001</v>
      </c>
      <c r="C110" s="3133">
        <v>1.0558000000000001</v>
      </c>
      <c r="D110" s="3133">
        <v>1</v>
      </c>
      <c r="E110" s="3133">
        <v>1</v>
      </c>
      <c r="F110" s="3133">
        <v>1</v>
      </c>
      <c r="G110" s="3133">
        <v>1</v>
      </c>
      <c r="H110" s="3133">
        <v>1</v>
      </c>
      <c r="I110" s="3133">
        <v>0.9274</v>
      </c>
      <c r="J110" s="3133">
        <v>0.9274</v>
      </c>
      <c r="K110" s="3133">
        <v>0.9274</v>
      </c>
      <c r="L110" s="3133">
        <v>0.9274</v>
      </c>
      <c r="M110" s="3134">
        <v>0.9274</v>
      </c>
    </row>
    <row r="111" spans="1:14">
      <c r="A111" s="3135">
        <v>2.6</v>
      </c>
      <c r="B111" s="3133">
        <v>1.0483</v>
      </c>
      <c r="C111" s="3133">
        <v>1.0483</v>
      </c>
      <c r="D111" s="3133">
        <v>0.99160000000000004</v>
      </c>
      <c r="E111" s="3133">
        <v>0.99160000000000004</v>
      </c>
      <c r="F111" s="3133">
        <v>0.99160000000000004</v>
      </c>
      <c r="G111" s="3133">
        <v>0.99160000000000004</v>
      </c>
      <c r="H111" s="3133">
        <v>0.99160000000000004</v>
      </c>
      <c r="I111" s="3133">
        <v>0.91539999999999999</v>
      </c>
      <c r="J111" s="3133">
        <v>0.91539999999999999</v>
      </c>
      <c r="K111" s="3133">
        <v>0.91539999999999999</v>
      </c>
      <c r="L111" s="3133">
        <v>0.91539999999999999</v>
      </c>
      <c r="M111" s="3134">
        <v>0.91539999999999999</v>
      </c>
    </row>
    <row r="112" spans="1:14">
      <c r="A112" s="3135">
        <v>2.7</v>
      </c>
      <c r="B112" s="3133">
        <v>1.0412999999999999</v>
      </c>
      <c r="C112" s="3133">
        <v>1.0412999999999999</v>
      </c>
      <c r="D112" s="3133">
        <v>0.98370000000000002</v>
      </c>
      <c r="E112" s="3133">
        <v>0.98370000000000002</v>
      </c>
      <c r="F112" s="3133">
        <v>0.98370000000000002</v>
      </c>
      <c r="G112" s="3133">
        <v>0.98370000000000002</v>
      </c>
      <c r="H112" s="3133">
        <v>0.98370000000000002</v>
      </c>
      <c r="I112" s="3133">
        <v>0.90429999999999999</v>
      </c>
      <c r="J112" s="3133">
        <v>0.90429999999999999</v>
      </c>
      <c r="K112" s="3133">
        <v>0.90429999999999999</v>
      </c>
      <c r="L112" s="3133">
        <v>0.90429999999999999</v>
      </c>
      <c r="M112" s="3134">
        <v>0.90429999999999999</v>
      </c>
    </row>
    <row r="113" spans="1:13">
      <c r="A113" s="3135">
        <v>2.8</v>
      </c>
      <c r="B113" s="3133">
        <v>1.0347999999999999</v>
      </c>
      <c r="C113" s="3133">
        <v>1.0347999999999999</v>
      </c>
      <c r="D113" s="3133">
        <v>0.97640000000000005</v>
      </c>
      <c r="E113" s="3133">
        <v>0.97640000000000005</v>
      </c>
      <c r="F113" s="3133">
        <v>0.97640000000000005</v>
      </c>
      <c r="G113" s="3133">
        <v>0.97640000000000005</v>
      </c>
      <c r="H113" s="3133">
        <v>0.97640000000000005</v>
      </c>
      <c r="I113" s="3133">
        <v>0.89370000000000005</v>
      </c>
      <c r="J113" s="3133">
        <v>0.89370000000000005</v>
      </c>
      <c r="K113" s="3133">
        <v>0.89370000000000005</v>
      </c>
      <c r="L113" s="3133">
        <v>0.89370000000000005</v>
      </c>
      <c r="M113" s="3134">
        <v>0.89370000000000005</v>
      </c>
    </row>
    <row r="114" spans="1:13">
      <c r="A114" s="3135">
        <v>2.9</v>
      </c>
      <c r="B114" s="3133">
        <v>1.0286999999999999</v>
      </c>
      <c r="C114" s="3133">
        <v>1.0286999999999999</v>
      </c>
      <c r="D114" s="3133">
        <v>0.96950000000000003</v>
      </c>
      <c r="E114" s="3133">
        <v>0.96950000000000003</v>
      </c>
      <c r="F114" s="3133">
        <v>0.96950000000000003</v>
      </c>
      <c r="G114" s="3133">
        <v>0.96950000000000003</v>
      </c>
      <c r="H114" s="3133">
        <v>0.96950000000000003</v>
      </c>
      <c r="I114" s="3133">
        <v>0.88390000000000002</v>
      </c>
      <c r="J114" s="3133">
        <v>0.88390000000000002</v>
      </c>
      <c r="K114" s="3133">
        <v>0.88390000000000002</v>
      </c>
      <c r="L114" s="3133">
        <v>0.88390000000000002</v>
      </c>
      <c r="M114" s="3134">
        <v>0.88390000000000002</v>
      </c>
    </row>
    <row r="115" spans="1:13">
      <c r="A115" s="3135">
        <v>3</v>
      </c>
      <c r="B115" s="3133">
        <v>1.0229999999999999</v>
      </c>
      <c r="C115" s="3133">
        <v>1.0229999999999999</v>
      </c>
      <c r="D115" s="3133">
        <v>0.96309999999999996</v>
      </c>
      <c r="E115" s="3133">
        <v>0.96309999999999996</v>
      </c>
      <c r="F115" s="3133">
        <v>0.96309999999999996</v>
      </c>
      <c r="G115" s="3133">
        <v>0.96309999999999996</v>
      </c>
      <c r="H115" s="3133">
        <v>0.96309999999999996</v>
      </c>
      <c r="I115" s="3133">
        <v>0.87460000000000004</v>
      </c>
      <c r="J115" s="3133">
        <v>0.87460000000000004</v>
      </c>
      <c r="K115" s="3133">
        <v>0.87460000000000004</v>
      </c>
      <c r="L115" s="3133">
        <v>0.87460000000000004</v>
      </c>
      <c r="M115" s="3134">
        <v>0.87460000000000004</v>
      </c>
    </row>
    <row r="116" spans="1:13">
      <c r="A116" s="3135">
        <v>3.1</v>
      </c>
      <c r="B116" s="3133">
        <v>1.0177</v>
      </c>
      <c r="C116" s="3133">
        <v>1.0177</v>
      </c>
      <c r="D116" s="3133">
        <v>0.95709999999999995</v>
      </c>
      <c r="E116" s="3133">
        <v>0.95709999999999995</v>
      </c>
      <c r="F116" s="3133">
        <v>0.95709999999999995</v>
      </c>
      <c r="G116" s="3133">
        <v>0.95709999999999995</v>
      </c>
      <c r="H116" s="3133">
        <v>0.95709999999999995</v>
      </c>
      <c r="I116" s="3133">
        <v>0.8659</v>
      </c>
      <c r="J116" s="3133">
        <v>0.8659</v>
      </c>
      <c r="K116" s="3133">
        <v>0.8659</v>
      </c>
      <c r="L116" s="3133">
        <v>0.8659</v>
      </c>
      <c r="M116" s="3134">
        <v>0.8659</v>
      </c>
    </row>
    <row r="117" spans="1:13">
      <c r="A117" s="3135">
        <v>3.2</v>
      </c>
      <c r="B117" s="3133">
        <v>1.0127999999999999</v>
      </c>
      <c r="C117" s="3133">
        <v>1.0127999999999999</v>
      </c>
      <c r="D117" s="3133">
        <v>0.9516</v>
      </c>
      <c r="E117" s="3133">
        <v>0.9516</v>
      </c>
      <c r="F117" s="3133">
        <v>0.9516</v>
      </c>
      <c r="G117" s="3133">
        <v>0.9516</v>
      </c>
      <c r="H117" s="3133">
        <v>0.9516</v>
      </c>
      <c r="I117" s="3133">
        <v>0.85780000000000001</v>
      </c>
      <c r="J117" s="3133">
        <v>0.85780000000000001</v>
      </c>
      <c r="K117" s="3133">
        <v>0.85780000000000001</v>
      </c>
      <c r="L117" s="3133">
        <v>0.85780000000000001</v>
      </c>
      <c r="M117" s="3134">
        <v>0.85780000000000001</v>
      </c>
    </row>
    <row r="118" spans="1:13">
      <c r="A118" s="3135">
        <v>3.3</v>
      </c>
      <c r="B118" s="3133">
        <v>1.0082</v>
      </c>
      <c r="C118" s="3133">
        <v>1.0082</v>
      </c>
      <c r="D118" s="3133">
        <v>0.94640000000000002</v>
      </c>
      <c r="E118" s="3133">
        <v>0.94640000000000002</v>
      </c>
      <c r="F118" s="3133">
        <v>0.94640000000000002</v>
      </c>
      <c r="G118" s="3133">
        <v>0.94640000000000002</v>
      </c>
      <c r="H118" s="3133">
        <v>0.94640000000000002</v>
      </c>
      <c r="I118" s="3133">
        <v>0.85029999999999994</v>
      </c>
      <c r="J118" s="3133">
        <v>0.85029999999999994</v>
      </c>
      <c r="K118" s="3133">
        <v>0.85029999999999994</v>
      </c>
      <c r="L118" s="3133">
        <v>0.85029999999999994</v>
      </c>
      <c r="M118" s="3134">
        <v>0.85029999999999994</v>
      </c>
    </row>
    <row r="119" spans="1:13">
      <c r="A119" s="3135">
        <v>3.4</v>
      </c>
      <c r="B119" s="3133">
        <v>1.004</v>
      </c>
      <c r="C119" s="3133">
        <v>1.004</v>
      </c>
      <c r="D119" s="3133">
        <v>0.9415</v>
      </c>
      <c r="E119" s="3133">
        <v>0.9415</v>
      </c>
      <c r="F119" s="3133">
        <v>0.9415</v>
      </c>
      <c r="G119" s="3133">
        <v>0.9415</v>
      </c>
      <c r="H119" s="3133">
        <v>0.9415</v>
      </c>
      <c r="I119" s="3133">
        <v>0.84319999999999995</v>
      </c>
      <c r="J119" s="3133">
        <v>0.84319999999999995</v>
      </c>
      <c r="K119" s="3133">
        <v>0.84319999999999995</v>
      </c>
      <c r="L119" s="3133">
        <v>0.84319999999999995</v>
      </c>
      <c r="M119" s="3134">
        <v>0.84319999999999995</v>
      </c>
    </row>
    <row r="120" spans="1:13">
      <c r="A120" s="3135">
        <v>3.5</v>
      </c>
      <c r="B120" s="3133">
        <v>1</v>
      </c>
      <c r="C120" s="3133">
        <v>1</v>
      </c>
      <c r="D120" s="3133">
        <v>0.93700000000000006</v>
      </c>
      <c r="E120" s="3133">
        <v>0.93700000000000006</v>
      </c>
      <c r="F120" s="3133">
        <v>0.93700000000000006</v>
      </c>
      <c r="G120" s="3133">
        <v>0.93700000000000006</v>
      </c>
      <c r="H120" s="3133">
        <v>0.93700000000000006</v>
      </c>
      <c r="I120" s="3133">
        <v>0.83660000000000001</v>
      </c>
      <c r="J120" s="3133">
        <v>0.83660000000000001</v>
      </c>
      <c r="K120" s="3133">
        <v>0.83660000000000001</v>
      </c>
      <c r="L120" s="3133">
        <v>0.83660000000000001</v>
      </c>
      <c r="M120" s="3134">
        <v>0.83660000000000001</v>
      </c>
    </row>
    <row r="121" spans="1:13">
      <c r="A121" s="3135">
        <v>3.6</v>
      </c>
      <c r="B121" s="3133">
        <v>0.99629999999999996</v>
      </c>
      <c r="C121" s="3133">
        <v>0.99629999999999996</v>
      </c>
      <c r="D121" s="3133">
        <v>0.93279999999999996</v>
      </c>
      <c r="E121" s="3133">
        <v>0.93279999999999996</v>
      </c>
      <c r="F121" s="3133">
        <v>0.93279999999999996</v>
      </c>
      <c r="G121" s="3133">
        <v>0.93279999999999996</v>
      </c>
      <c r="H121" s="3133">
        <v>0.93279999999999996</v>
      </c>
      <c r="I121" s="3133">
        <v>0.83040000000000003</v>
      </c>
      <c r="J121" s="3133">
        <v>0.83040000000000003</v>
      </c>
      <c r="K121" s="3133">
        <v>0.83040000000000003</v>
      </c>
      <c r="L121" s="3133">
        <v>0.83040000000000003</v>
      </c>
      <c r="M121" s="3134">
        <v>0.83040000000000003</v>
      </c>
    </row>
    <row r="122" spans="1:13">
      <c r="A122" s="3135">
        <v>3.7</v>
      </c>
      <c r="B122" s="3133">
        <v>0.9929</v>
      </c>
      <c r="C122" s="3133">
        <v>0.9929</v>
      </c>
      <c r="D122" s="3133">
        <v>0.92879999999999996</v>
      </c>
      <c r="E122" s="3133">
        <v>0.92879999999999996</v>
      </c>
      <c r="F122" s="3133">
        <v>0.92879999999999996</v>
      </c>
      <c r="G122" s="3133">
        <v>0.92879999999999996</v>
      </c>
      <c r="H122" s="3133">
        <v>0.92879999999999996</v>
      </c>
      <c r="I122" s="3133">
        <v>0.8246</v>
      </c>
      <c r="J122" s="3133">
        <v>0.8246</v>
      </c>
      <c r="K122" s="3133">
        <v>0.8246</v>
      </c>
      <c r="L122" s="3133">
        <v>0.8246</v>
      </c>
      <c r="M122" s="3134">
        <v>0.8246</v>
      </c>
    </row>
    <row r="123" spans="1:13">
      <c r="A123" s="3135">
        <v>3.8</v>
      </c>
      <c r="B123" s="3133">
        <v>0.98970000000000002</v>
      </c>
      <c r="C123" s="3133">
        <v>0.98970000000000002</v>
      </c>
      <c r="D123" s="3133">
        <v>0.92520000000000002</v>
      </c>
      <c r="E123" s="3133">
        <v>0.92520000000000002</v>
      </c>
      <c r="F123" s="3133">
        <v>0.92520000000000002</v>
      </c>
      <c r="G123" s="3133">
        <v>0.92520000000000002</v>
      </c>
      <c r="H123" s="3133">
        <v>0.92520000000000002</v>
      </c>
      <c r="I123" s="3133">
        <v>0.81920000000000004</v>
      </c>
      <c r="J123" s="3133">
        <v>0.81920000000000004</v>
      </c>
      <c r="K123" s="3133">
        <v>0.81920000000000004</v>
      </c>
      <c r="L123" s="3133">
        <v>0.81920000000000004</v>
      </c>
      <c r="M123" s="3134">
        <v>0.81920000000000004</v>
      </c>
    </row>
    <row r="124" spans="1:13">
      <c r="A124" s="3135">
        <v>3.9</v>
      </c>
      <c r="B124" s="3133">
        <v>0.98670000000000002</v>
      </c>
      <c r="C124" s="3133">
        <v>0.98670000000000002</v>
      </c>
      <c r="D124" s="3133">
        <v>0.92179999999999995</v>
      </c>
      <c r="E124" s="3133">
        <v>0.92179999999999995</v>
      </c>
      <c r="F124" s="3133">
        <v>0.92179999999999995</v>
      </c>
      <c r="G124" s="3133">
        <v>0.92179999999999995</v>
      </c>
      <c r="H124" s="3133">
        <v>0.92179999999999995</v>
      </c>
      <c r="I124" s="3133">
        <v>0.81410000000000005</v>
      </c>
      <c r="J124" s="3133">
        <v>0.81410000000000005</v>
      </c>
      <c r="K124" s="3133">
        <v>0.81410000000000005</v>
      </c>
      <c r="L124" s="3133">
        <v>0.81410000000000005</v>
      </c>
      <c r="M124" s="3134">
        <v>0.81410000000000005</v>
      </c>
    </row>
    <row r="125" spans="1:13">
      <c r="A125" s="3135">
        <v>4</v>
      </c>
      <c r="B125" s="3133">
        <v>0.98380000000000001</v>
      </c>
      <c r="C125" s="3133">
        <v>0.98380000000000001</v>
      </c>
      <c r="D125" s="3133">
        <v>0.91859999999999997</v>
      </c>
      <c r="E125" s="3133">
        <v>0.91859999999999997</v>
      </c>
      <c r="F125" s="3133">
        <v>0.91859999999999997</v>
      </c>
      <c r="G125" s="3133">
        <v>0.91859999999999997</v>
      </c>
      <c r="H125" s="3133">
        <v>0.91859999999999997</v>
      </c>
      <c r="I125" s="3133">
        <v>0.80940000000000001</v>
      </c>
      <c r="J125" s="3133">
        <v>0.80940000000000001</v>
      </c>
      <c r="K125" s="3133">
        <v>0.80940000000000001</v>
      </c>
      <c r="L125" s="3133">
        <v>0.80940000000000001</v>
      </c>
      <c r="M125" s="3134">
        <v>0.80940000000000001</v>
      </c>
    </row>
    <row r="126" spans="1:13">
      <c r="A126" s="3135">
        <v>4.0999999999999996</v>
      </c>
      <c r="B126" s="3133">
        <v>0.98099999999999998</v>
      </c>
      <c r="C126" s="3133">
        <v>0.98099999999999998</v>
      </c>
      <c r="D126" s="3133">
        <v>0.91559999999999997</v>
      </c>
      <c r="E126" s="3133">
        <v>0.91559999999999997</v>
      </c>
      <c r="F126" s="3133">
        <v>0.91559999999999997</v>
      </c>
      <c r="G126" s="3133">
        <v>0.91559999999999997</v>
      </c>
      <c r="H126" s="3133">
        <v>0.91559999999999997</v>
      </c>
      <c r="I126" s="3133">
        <v>0.80489999999999995</v>
      </c>
      <c r="J126" s="3133">
        <v>0.80489999999999995</v>
      </c>
      <c r="K126" s="3133">
        <v>0.80489999999999995</v>
      </c>
      <c r="L126" s="3133">
        <v>0.80489999999999995</v>
      </c>
      <c r="M126" s="3134">
        <v>0.80489999999999995</v>
      </c>
    </row>
    <row r="127" spans="1:13">
      <c r="A127" s="3135">
        <v>4.2</v>
      </c>
      <c r="B127" s="3133">
        <v>0.97829999999999995</v>
      </c>
      <c r="C127" s="3133">
        <v>0.97829999999999995</v>
      </c>
      <c r="D127" s="3133">
        <v>0.91269999999999996</v>
      </c>
      <c r="E127" s="3133">
        <v>0.91269999999999996</v>
      </c>
      <c r="F127" s="3133">
        <v>0.91269999999999996</v>
      </c>
      <c r="G127" s="3133">
        <v>0.91269999999999996</v>
      </c>
      <c r="H127" s="3133">
        <v>0.91269999999999996</v>
      </c>
      <c r="I127" s="3133">
        <v>0.80059999999999998</v>
      </c>
      <c r="J127" s="3133">
        <v>0.80059999999999998</v>
      </c>
      <c r="K127" s="3133">
        <v>0.80059999999999998</v>
      </c>
      <c r="L127" s="3133">
        <v>0.80059999999999998</v>
      </c>
      <c r="M127" s="3134">
        <v>0.80059999999999998</v>
      </c>
    </row>
    <row r="128" spans="1:13">
      <c r="A128" s="3135">
        <v>4.3</v>
      </c>
      <c r="B128" s="3133">
        <v>0.97570000000000001</v>
      </c>
      <c r="C128" s="3133">
        <v>0.97570000000000001</v>
      </c>
      <c r="D128" s="3133">
        <v>0.90990000000000004</v>
      </c>
      <c r="E128" s="3133">
        <v>0.90990000000000004</v>
      </c>
      <c r="F128" s="3133">
        <v>0.90990000000000004</v>
      </c>
      <c r="G128" s="3133">
        <v>0.90990000000000004</v>
      </c>
      <c r="H128" s="3133">
        <v>0.90990000000000004</v>
      </c>
      <c r="I128" s="3133">
        <v>0.79649999999999999</v>
      </c>
      <c r="J128" s="3133">
        <v>0.79649999999999999</v>
      </c>
      <c r="K128" s="3133">
        <v>0.79649999999999999</v>
      </c>
      <c r="L128" s="3133">
        <v>0.79649999999999999</v>
      </c>
      <c r="M128" s="3134">
        <v>0.79649999999999999</v>
      </c>
    </row>
    <row r="129" spans="1:13">
      <c r="A129" s="3135">
        <v>4.4000000000000004</v>
      </c>
      <c r="B129" s="3133">
        <v>0.97319999999999995</v>
      </c>
      <c r="C129" s="3133">
        <v>0.97319999999999995</v>
      </c>
      <c r="D129" s="3133">
        <v>0.90720000000000001</v>
      </c>
      <c r="E129" s="3133">
        <v>0.90720000000000001</v>
      </c>
      <c r="F129" s="3133">
        <v>0.90720000000000001</v>
      </c>
      <c r="G129" s="3133">
        <v>0.90720000000000001</v>
      </c>
      <c r="H129" s="3133">
        <v>0.90720000000000001</v>
      </c>
      <c r="I129" s="3133">
        <v>0.79259999999999997</v>
      </c>
      <c r="J129" s="3133">
        <v>0.79259999999999997</v>
      </c>
      <c r="K129" s="3133">
        <v>0.79259999999999997</v>
      </c>
      <c r="L129" s="3133">
        <v>0.79259999999999997</v>
      </c>
      <c r="M129" s="3134">
        <v>0.79259999999999997</v>
      </c>
    </row>
    <row r="130" spans="1:13">
      <c r="A130" s="3135">
        <v>4.5</v>
      </c>
      <c r="B130" s="3133">
        <v>0.9708</v>
      </c>
      <c r="C130" s="3133">
        <v>0.9708</v>
      </c>
      <c r="D130" s="3133">
        <v>0.90459999999999996</v>
      </c>
      <c r="E130" s="3133">
        <v>0.90459999999999996</v>
      </c>
      <c r="F130" s="3133">
        <v>0.90459999999999996</v>
      </c>
      <c r="G130" s="3133">
        <v>0.90459999999999996</v>
      </c>
      <c r="H130" s="3133">
        <v>0.90459999999999996</v>
      </c>
      <c r="I130" s="3133">
        <v>0.78890000000000005</v>
      </c>
      <c r="J130" s="3133">
        <v>0.78890000000000005</v>
      </c>
      <c r="K130" s="3133">
        <v>0.78890000000000005</v>
      </c>
      <c r="L130" s="3133">
        <v>0.78890000000000005</v>
      </c>
      <c r="M130" s="3134">
        <v>0.78890000000000005</v>
      </c>
    </row>
    <row r="131" spans="1:13">
      <c r="A131" s="3135">
        <v>4.5999999999999996</v>
      </c>
      <c r="B131" s="3133">
        <v>0.96850000000000003</v>
      </c>
      <c r="C131" s="3133">
        <v>0.96850000000000003</v>
      </c>
      <c r="D131" s="3133">
        <v>0.90210000000000001</v>
      </c>
      <c r="E131" s="3133">
        <v>0.90210000000000001</v>
      </c>
      <c r="F131" s="3133">
        <v>0.90210000000000001</v>
      </c>
      <c r="G131" s="3133">
        <v>0.90210000000000001</v>
      </c>
      <c r="H131" s="3133">
        <v>0.90210000000000001</v>
      </c>
      <c r="I131" s="3133">
        <v>0.78539999999999999</v>
      </c>
      <c r="J131" s="3133">
        <v>0.78539999999999999</v>
      </c>
      <c r="K131" s="3133">
        <v>0.78539999999999999</v>
      </c>
      <c r="L131" s="3133">
        <v>0.78539999999999999</v>
      </c>
      <c r="M131" s="3134">
        <v>0.78539999999999999</v>
      </c>
    </row>
    <row r="132" spans="1:13">
      <c r="A132" s="3135">
        <v>4.7</v>
      </c>
      <c r="B132" s="3133">
        <v>0.96630000000000005</v>
      </c>
      <c r="C132" s="3133">
        <v>0.96630000000000005</v>
      </c>
      <c r="D132" s="3133">
        <v>0.89959999999999996</v>
      </c>
      <c r="E132" s="3133">
        <v>0.89959999999999996</v>
      </c>
      <c r="F132" s="3133">
        <v>0.89959999999999996</v>
      </c>
      <c r="G132" s="3133">
        <v>0.89959999999999996</v>
      </c>
      <c r="H132" s="3133">
        <v>0.89959999999999996</v>
      </c>
      <c r="I132" s="3133">
        <v>0.78210000000000002</v>
      </c>
      <c r="J132" s="3133">
        <v>0.78210000000000002</v>
      </c>
      <c r="K132" s="3133">
        <v>0.78210000000000002</v>
      </c>
      <c r="L132" s="3133">
        <v>0.78210000000000002</v>
      </c>
      <c r="M132" s="3134">
        <v>0.78210000000000002</v>
      </c>
    </row>
    <row r="133" spans="1:13">
      <c r="A133" s="3135">
        <v>4.8</v>
      </c>
      <c r="B133" s="3133">
        <v>0.96409999999999996</v>
      </c>
      <c r="C133" s="3133">
        <v>0.96409999999999996</v>
      </c>
      <c r="D133" s="3133">
        <v>0.8972</v>
      </c>
      <c r="E133" s="3133">
        <v>0.8972</v>
      </c>
      <c r="F133" s="3133">
        <v>0.8972</v>
      </c>
      <c r="G133" s="3133">
        <v>0.8972</v>
      </c>
      <c r="H133" s="3133">
        <v>0.8972</v>
      </c>
      <c r="I133" s="3133">
        <v>0.77890000000000004</v>
      </c>
      <c r="J133" s="3133">
        <v>0.77890000000000004</v>
      </c>
      <c r="K133" s="3133">
        <v>0.77890000000000004</v>
      </c>
      <c r="L133" s="3133">
        <v>0.77890000000000004</v>
      </c>
      <c r="M133" s="3134">
        <v>0.77890000000000004</v>
      </c>
    </row>
    <row r="134" spans="1:13">
      <c r="A134" s="3135">
        <v>4.9000000000000004</v>
      </c>
      <c r="B134" s="3133">
        <v>0.96199999999999997</v>
      </c>
      <c r="C134" s="3133">
        <v>0.96199999999999997</v>
      </c>
      <c r="D134" s="3133">
        <v>0.89480000000000004</v>
      </c>
      <c r="E134" s="3133">
        <v>0.89480000000000004</v>
      </c>
      <c r="F134" s="3133">
        <v>0.89480000000000004</v>
      </c>
      <c r="G134" s="3133">
        <v>0.89480000000000004</v>
      </c>
      <c r="H134" s="3133">
        <v>0.89480000000000004</v>
      </c>
      <c r="I134" s="3133">
        <v>0.77580000000000005</v>
      </c>
      <c r="J134" s="3133">
        <v>0.77580000000000005</v>
      </c>
      <c r="K134" s="3133">
        <v>0.77580000000000005</v>
      </c>
      <c r="L134" s="3133">
        <v>0.77580000000000005</v>
      </c>
      <c r="M134" s="3134">
        <v>0.77580000000000005</v>
      </c>
    </row>
    <row r="135" spans="1:13">
      <c r="A135" s="3135">
        <v>5</v>
      </c>
      <c r="B135" s="3133">
        <v>0.95989999999999998</v>
      </c>
      <c r="C135" s="3133">
        <v>0.95989999999999998</v>
      </c>
      <c r="D135" s="3133">
        <v>0.89239999999999997</v>
      </c>
      <c r="E135" s="3133">
        <v>0.89239999999999997</v>
      </c>
      <c r="F135" s="3133">
        <v>0.89239999999999997</v>
      </c>
      <c r="G135" s="3133">
        <v>0.89239999999999997</v>
      </c>
      <c r="H135" s="3133">
        <v>0.89239999999999997</v>
      </c>
      <c r="I135" s="3133">
        <v>0.77280000000000004</v>
      </c>
      <c r="J135" s="3133">
        <v>0.77280000000000004</v>
      </c>
      <c r="K135" s="3133">
        <v>0.77280000000000004</v>
      </c>
      <c r="L135" s="3133">
        <v>0.77280000000000004</v>
      </c>
      <c r="M135" s="3134">
        <v>0.77280000000000004</v>
      </c>
    </row>
    <row r="136" spans="1:13">
      <c r="A136" s="3132">
        <v>5.0999999999999996</v>
      </c>
      <c r="B136" s="3133">
        <v>0.95779999999999998</v>
      </c>
      <c r="C136" s="3133">
        <v>0.95779999999999998</v>
      </c>
      <c r="D136" s="3133">
        <v>0.8901</v>
      </c>
      <c r="E136" s="3133">
        <v>0.8901</v>
      </c>
      <c r="F136" s="3133">
        <v>0.8901</v>
      </c>
      <c r="G136" s="3133">
        <v>0.8901</v>
      </c>
      <c r="H136" s="3133">
        <v>0.8901</v>
      </c>
      <c r="I136" s="3133">
        <v>0.76990000000000003</v>
      </c>
      <c r="J136" s="3133">
        <v>0.76990000000000003</v>
      </c>
      <c r="K136" s="3133">
        <v>0.76990000000000003</v>
      </c>
      <c r="L136" s="3133">
        <v>0.76990000000000003</v>
      </c>
      <c r="M136" s="3134">
        <v>0.76990000000000003</v>
      </c>
    </row>
    <row r="137" spans="1:13">
      <c r="A137" s="3132">
        <v>5.2</v>
      </c>
      <c r="B137" s="3133">
        <v>0.95579999999999998</v>
      </c>
      <c r="C137" s="3133">
        <v>0.95579999999999998</v>
      </c>
      <c r="D137" s="3133">
        <v>0.88780000000000003</v>
      </c>
      <c r="E137" s="3133">
        <v>0.88780000000000003</v>
      </c>
      <c r="F137" s="3133">
        <v>0.88780000000000003</v>
      </c>
      <c r="G137" s="3133">
        <v>0.88780000000000003</v>
      </c>
      <c r="H137" s="3133">
        <v>0.88780000000000003</v>
      </c>
      <c r="I137" s="3133">
        <v>0.76700000000000002</v>
      </c>
      <c r="J137" s="3133">
        <v>0.76700000000000002</v>
      </c>
      <c r="K137" s="3133">
        <v>0.76700000000000002</v>
      </c>
      <c r="L137" s="3133">
        <v>0.76700000000000002</v>
      </c>
      <c r="M137" s="3134">
        <v>0.76700000000000002</v>
      </c>
    </row>
    <row r="138" spans="1:13">
      <c r="A138" s="3132">
        <v>5.3</v>
      </c>
      <c r="B138" s="3133">
        <v>0.95379999999999998</v>
      </c>
      <c r="C138" s="3133">
        <v>0.95379999999999998</v>
      </c>
      <c r="D138" s="3133">
        <v>0.88549999999999995</v>
      </c>
      <c r="E138" s="3133">
        <v>0.88549999999999995</v>
      </c>
      <c r="F138" s="3133">
        <v>0.88549999999999995</v>
      </c>
      <c r="G138" s="3133">
        <v>0.88549999999999995</v>
      </c>
      <c r="H138" s="3133">
        <v>0.88549999999999995</v>
      </c>
      <c r="I138" s="3133">
        <v>0.76419999999999999</v>
      </c>
      <c r="J138" s="3133">
        <v>0.76419999999999999</v>
      </c>
      <c r="K138" s="3133">
        <v>0.76419999999999999</v>
      </c>
      <c r="L138" s="3133">
        <v>0.76419999999999999</v>
      </c>
      <c r="M138" s="3134">
        <v>0.76419999999999999</v>
      </c>
    </row>
    <row r="139" spans="1:13">
      <c r="A139" s="3132">
        <v>5.4</v>
      </c>
      <c r="B139" s="3133">
        <v>0.95179999999999998</v>
      </c>
      <c r="C139" s="3133">
        <v>0.95179999999999998</v>
      </c>
      <c r="D139" s="3133">
        <v>0.88329999999999997</v>
      </c>
      <c r="E139" s="3133">
        <v>0.88329999999999997</v>
      </c>
      <c r="F139" s="3133">
        <v>0.88329999999999997</v>
      </c>
      <c r="G139" s="3133">
        <v>0.88329999999999997</v>
      </c>
      <c r="H139" s="3133">
        <v>0.88329999999999997</v>
      </c>
      <c r="I139" s="3133">
        <v>0.76139999999999997</v>
      </c>
      <c r="J139" s="3133">
        <v>0.76139999999999997</v>
      </c>
      <c r="K139" s="3133">
        <v>0.76139999999999997</v>
      </c>
      <c r="L139" s="3133">
        <v>0.76139999999999997</v>
      </c>
      <c r="M139" s="3134">
        <v>0.76139999999999997</v>
      </c>
    </row>
    <row r="140" spans="1:13">
      <c r="A140" s="3132">
        <v>5.5</v>
      </c>
      <c r="B140" s="3133">
        <v>0.94979999999999998</v>
      </c>
      <c r="C140" s="3133">
        <v>0.94979999999999998</v>
      </c>
      <c r="D140" s="3133">
        <v>0.88109999999999999</v>
      </c>
      <c r="E140" s="3133">
        <v>0.88109999999999999</v>
      </c>
      <c r="F140" s="3133">
        <v>0.88109999999999999</v>
      </c>
      <c r="G140" s="3133">
        <v>0.88109999999999999</v>
      </c>
      <c r="H140" s="3133">
        <v>0.88109999999999999</v>
      </c>
      <c r="I140" s="3133">
        <v>0.75860000000000005</v>
      </c>
      <c r="J140" s="3133">
        <v>0.75860000000000005</v>
      </c>
      <c r="K140" s="3133">
        <v>0.75860000000000005</v>
      </c>
      <c r="L140" s="3133">
        <v>0.75860000000000005</v>
      </c>
      <c r="M140" s="3134">
        <v>0.75860000000000005</v>
      </c>
    </row>
    <row r="141" spans="1:13">
      <c r="A141" s="3132">
        <v>5.6</v>
      </c>
      <c r="B141" s="3133">
        <v>0.94789999999999996</v>
      </c>
      <c r="C141" s="3133">
        <v>0.94789999999999996</v>
      </c>
      <c r="D141" s="3133">
        <v>0.87890000000000001</v>
      </c>
      <c r="E141" s="3133">
        <v>0.87890000000000001</v>
      </c>
      <c r="F141" s="3133">
        <v>0.87890000000000001</v>
      </c>
      <c r="G141" s="3133">
        <v>0.87890000000000001</v>
      </c>
      <c r="H141" s="3133">
        <v>0.87890000000000001</v>
      </c>
      <c r="I141" s="3133">
        <v>0.75590000000000002</v>
      </c>
      <c r="J141" s="3133">
        <v>0.75590000000000002</v>
      </c>
      <c r="K141" s="3133">
        <v>0.75590000000000002</v>
      </c>
      <c r="L141" s="3133">
        <v>0.75590000000000002</v>
      </c>
      <c r="M141" s="3134">
        <v>0.75590000000000002</v>
      </c>
    </row>
    <row r="142" spans="1:13">
      <c r="A142" s="3135">
        <v>5.7</v>
      </c>
      <c r="B142" s="3133">
        <v>0.94599999999999995</v>
      </c>
      <c r="C142" s="3133">
        <v>0.94599999999999995</v>
      </c>
      <c r="D142" s="3133">
        <v>0.87670000000000003</v>
      </c>
      <c r="E142" s="3133">
        <v>0.87670000000000003</v>
      </c>
      <c r="F142" s="3133">
        <v>0.87670000000000003</v>
      </c>
      <c r="G142" s="3133">
        <v>0.87670000000000003</v>
      </c>
      <c r="H142" s="3133">
        <v>0.87670000000000003</v>
      </c>
      <c r="I142" s="3133">
        <v>0.75319999999999998</v>
      </c>
      <c r="J142" s="3133">
        <v>0.75319999999999998</v>
      </c>
      <c r="K142" s="3133">
        <v>0.75319999999999998</v>
      </c>
      <c r="L142" s="3133">
        <v>0.75319999999999998</v>
      </c>
      <c r="M142" s="3134">
        <v>0.75319999999999998</v>
      </c>
    </row>
    <row r="143" spans="1:13">
      <c r="A143" s="3132">
        <v>5.8</v>
      </c>
      <c r="B143" s="3133">
        <v>0.94410000000000005</v>
      </c>
      <c r="C143" s="3133">
        <v>0.94410000000000005</v>
      </c>
      <c r="D143" s="3133">
        <v>0.87460000000000004</v>
      </c>
      <c r="E143" s="3133">
        <v>0.87460000000000004</v>
      </c>
      <c r="F143" s="3133">
        <v>0.87460000000000004</v>
      </c>
      <c r="G143" s="3133">
        <v>0.87460000000000004</v>
      </c>
      <c r="H143" s="3133">
        <v>0.87460000000000004</v>
      </c>
      <c r="I143" s="3133">
        <v>0.75049999999999994</v>
      </c>
      <c r="J143" s="3133">
        <v>0.75049999999999994</v>
      </c>
      <c r="K143" s="3133">
        <v>0.75049999999999994</v>
      </c>
      <c r="L143" s="3133">
        <v>0.75049999999999994</v>
      </c>
      <c r="M143" s="3134">
        <v>0.75049999999999994</v>
      </c>
    </row>
    <row r="144" spans="1:13">
      <c r="A144" s="3132">
        <v>5.9</v>
      </c>
      <c r="B144" s="3133">
        <v>0.94220000000000004</v>
      </c>
      <c r="C144" s="3133">
        <v>0.94220000000000004</v>
      </c>
      <c r="D144" s="3133">
        <v>0.87250000000000005</v>
      </c>
      <c r="E144" s="3133">
        <v>0.87250000000000005</v>
      </c>
      <c r="F144" s="3133">
        <v>0.87250000000000005</v>
      </c>
      <c r="G144" s="3133">
        <v>0.87250000000000005</v>
      </c>
      <c r="H144" s="3133">
        <v>0.87250000000000005</v>
      </c>
      <c r="I144" s="3133">
        <v>0.74780000000000002</v>
      </c>
      <c r="J144" s="3133">
        <v>0.74780000000000002</v>
      </c>
      <c r="K144" s="3133">
        <v>0.74780000000000002</v>
      </c>
      <c r="L144" s="3133">
        <v>0.74780000000000002</v>
      </c>
      <c r="M144" s="3134">
        <v>0.74780000000000002</v>
      </c>
    </row>
    <row r="145" spans="1:13">
      <c r="A145" s="3132">
        <v>6</v>
      </c>
      <c r="B145" s="3133">
        <v>0.94040000000000001</v>
      </c>
      <c r="C145" s="3133">
        <v>0.94040000000000001</v>
      </c>
      <c r="D145" s="3133">
        <v>0.87039999999999995</v>
      </c>
      <c r="E145" s="3133">
        <v>0.87039999999999995</v>
      </c>
      <c r="F145" s="3133">
        <v>0.87039999999999995</v>
      </c>
      <c r="G145" s="3133">
        <v>0.87039999999999995</v>
      </c>
      <c r="H145" s="3133">
        <v>0.87039999999999995</v>
      </c>
      <c r="I145" s="3133">
        <v>0.74519999999999997</v>
      </c>
      <c r="J145" s="3133">
        <v>0.74519999999999997</v>
      </c>
      <c r="K145" s="3133">
        <v>0.74519999999999997</v>
      </c>
      <c r="L145" s="3133">
        <v>0.74519999999999997</v>
      </c>
      <c r="M145" s="3134">
        <v>0.74519999999999997</v>
      </c>
    </row>
    <row r="146" spans="1:13">
      <c r="A146" s="3132">
        <v>6.1</v>
      </c>
      <c r="B146" s="3133">
        <v>0.93859999999999999</v>
      </c>
      <c r="C146" s="3133">
        <v>0.93859999999999999</v>
      </c>
      <c r="D146" s="3133">
        <v>0.86829999999999996</v>
      </c>
      <c r="E146" s="3133">
        <v>0.86829999999999996</v>
      </c>
      <c r="F146" s="3133">
        <v>0.86829999999999996</v>
      </c>
      <c r="G146" s="3133">
        <v>0.86829999999999996</v>
      </c>
      <c r="H146" s="3133">
        <v>0.86829999999999996</v>
      </c>
      <c r="I146" s="3133">
        <v>0.74260000000000004</v>
      </c>
      <c r="J146" s="3133">
        <v>0.74260000000000004</v>
      </c>
      <c r="K146" s="3133">
        <v>0.74260000000000004</v>
      </c>
      <c r="L146" s="3133">
        <v>0.74260000000000004</v>
      </c>
      <c r="M146" s="3134">
        <v>0.74260000000000004</v>
      </c>
    </row>
    <row r="147" spans="1:13">
      <c r="A147" s="3132">
        <v>6.2</v>
      </c>
      <c r="B147" s="3133">
        <v>0.93679999999999997</v>
      </c>
      <c r="C147" s="3133">
        <v>0.93679999999999997</v>
      </c>
      <c r="D147" s="3133">
        <v>0.86619999999999997</v>
      </c>
      <c r="E147" s="3133">
        <v>0.86619999999999997</v>
      </c>
      <c r="F147" s="3133">
        <v>0.86619999999999997</v>
      </c>
      <c r="G147" s="3133">
        <v>0.86619999999999997</v>
      </c>
      <c r="H147" s="3133">
        <v>0.86619999999999997</v>
      </c>
      <c r="I147" s="3133">
        <v>0.74</v>
      </c>
      <c r="J147" s="3133">
        <v>0.74</v>
      </c>
      <c r="K147" s="3133">
        <v>0.74</v>
      </c>
      <c r="L147" s="3133">
        <v>0.74</v>
      </c>
      <c r="M147" s="3134">
        <v>0.74</v>
      </c>
    </row>
    <row r="148" spans="1:13">
      <c r="A148" s="3132">
        <v>6.3</v>
      </c>
      <c r="B148" s="3133">
        <v>0.93500000000000005</v>
      </c>
      <c r="C148" s="3133">
        <v>0.93500000000000005</v>
      </c>
      <c r="D148" s="3133">
        <v>0.86409999999999998</v>
      </c>
      <c r="E148" s="3133">
        <v>0.86409999999999998</v>
      </c>
      <c r="F148" s="3133">
        <v>0.86409999999999998</v>
      </c>
      <c r="G148" s="3133">
        <v>0.86409999999999998</v>
      </c>
      <c r="H148" s="3133">
        <v>0.86409999999999998</v>
      </c>
      <c r="I148" s="3133">
        <v>0.73740000000000006</v>
      </c>
      <c r="J148" s="3133">
        <v>0.73740000000000006</v>
      </c>
      <c r="K148" s="3133">
        <v>0.73740000000000006</v>
      </c>
      <c r="L148" s="3133">
        <v>0.73740000000000006</v>
      </c>
      <c r="M148" s="3134">
        <v>0.73740000000000006</v>
      </c>
    </row>
    <row r="149" spans="1:13">
      <c r="A149" s="3132">
        <v>6.4</v>
      </c>
      <c r="B149" s="3133">
        <v>0.93320000000000003</v>
      </c>
      <c r="C149" s="3133">
        <v>0.93320000000000003</v>
      </c>
      <c r="D149" s="3133">
        <v>0.86209999999999998</v>
      </c>
      <c r="E149" s="3133">
        <v>0.86209999999999998</v>
      </c>
      <c r="F149" s="3133">
        <v>0.86209999999999998</v>
      </c>
      <c r="G149" s="3133">
        <v>0.86209999999999998</v>
      </c>
      <c r="H149" s="3133">
        <v>0.86209999999999998</v>
      </c>
      <c r="I149" s="3133">
        <v>0.73480000000000001</v>
      </c>
      <c r="J149" s="3133">
        <v>0.73480000000000001</v>
      </c>
      <c r="K149" s="3133">
        <v>0.73480000000000001</v>
      </c>
      <c r="L149" s="3133">
        <v>0.73480000000000001</v>
      </c>
      <c r="M149" s="3134">
        <v>0.73480000000000001</v>
      </c>
    </row>
    <row r="150" spans="1:13">
      <c r="A150" s="3132">
        <v>6.5</v>
      </c>
      <c r="B150" s="3133">
        <v>0.93149999999999999</v>
      </c>
      <c r="C150" s="3133">
        <v>0.93149999999999999</v>
      </c>
      <c r="D150" s="3133">
        <v>0.86009999999999998</v>
      </c>
      <c r="E150" s="3133">
        <v>0.86009999999999998</v>
      </c>
      <c r="F150" s="3133">
        <v>0.86009999999999998</v>
      </c>
      <c r="G150" s="3133">
        <v>0.86009999999999998</v>
      </c>
      <c r="H150" s="3133">
        <v>0.86009999999999998</v>
      </c>
      <c r="I150" s="3133">
        <v>0.73229999999999995</v>
      </c>
      <c r="J150" s="3133">
        <v>0.73229999999999995</v>
      </c>
      <c r="K150" s="3133">
        <v>0.73229999999999995</v>
      </c>
      <c r="L150" s="3133">
        <v>0.73229999999999995</v>
      </c>
      <c r="M150" s="3134">
        <v>0.73229999999999995</v>
      </c>
    </row>
    <row r="151" spans="1:13">
      <c r="A151" s="3132">
        <v>6.6</v>
      </c>
      <c r="B151" s="3133">
        <v>0.92979999999999996</v>
      </c>
      <c r="C151" s="3133">
        <v>0.92979999999999996</v>
      </c>
      <c r="D151" s="3133">
        <v>0.85809999999999997</v>
      </c>
      <c r="E151" s="3133">
        <v>0.85809999999999997</v>
      </c>
      <c r="F151" s="3133">
        <v>0.85809999999999997</v>
      </c>
      <c r="G151" s="3133">
        <v>0.85809999999999997</v>
      </c>
      <c r="H151" s="3133">
        <v>0.85809999999999997</v>
      </c>
      <c r="I151" s="3133">
        <v>0.7298</v>
      </c>
      <c r="J151" s="3133">
        <v>0.7298</v>
      </c>
      <c r="K151" s="3133">
        <v>0.7298</v>
      </c>
      <c r="L151" s="3133">
        <v>0.7298</v>
      </c>
      <c r="M151" s="3134">
        <v>0.7298</v>
      </c>
    </row>
    <row r="152" spans="1:13">
      <c r="A152" s="3132">
        <v>6.7</v>
      </c>
      <c r="B152" s="3133">
        <v>0.92810000000000004</v>
      </c>
      <c r="C152" s="3133">
        <v>0.92810000000000004</v>
      </c>
      <c r="D152" s="3133">
        <v>0.85609999999999997</v>
      </c>
      <c r="E152" s="3133">
        <v>0.85609999999999997</v>
      </c>
      <c r="F152" s="3133">
        <v>0.85609999999999997</v>
      </c>
      <c r="G152" s="3133">
        <v>0.85609999999999997</v>
      </c>
      <c r="H152" s="3133">
        <v>0.85609999999999997</v>
      </c>
      <c r="I152" s="3133">
        <v>0.72729999999999995</v>
      </c>
      <c r="J152" s="3133">
        <v>0.72729999999999995</v>
      </c>
      <c r="K152" s="3133">
        <v>0.72729999999999995</v>
      </c>
      <c r="L152" s="3133">
        <v>0.72729999999999995</v>
      </c>
      <c r="M152" s="3134">
        <v>0.72729999999999995</v>
      </c>
    </row>
    <row r="153" spans="1:13">
      <c r="A153" s="3132">
        <v>6.8</v>
      </c>
      <c r="B153" s="3133">
        <v>0.9264</v>
      </c>
      <c r="C153" s="3133">
        <v>0.9264</v>
      </c>
      <c r="D153" s="3133">
        <v>0.85409999999999997</v>
      </c>
      <c r="E153" s="3133">
        <v>0.85409999999999997</v>
      </c>
      <c r="F153" s="3133">
        <v>0.85409999999999997</v>
      </c>
      <c r="G153" s="3133">
        <v>0.85409999999999997</v>
      </c>
      <c r="H153" s="3133">
        <v>0.85409999999999997</v>
      </c>
      <c r="I153" s="3133">
        <v>0.7248</v>
      </c>
      <c r="J153" s="3133">
        <v>0.7248</v>
      </c>
      <c r="K153" s="3133">
        <v>0.7248</v>
      </c>
      <c r="L153" s="3133">
        <v>0.7248</v>
      </c>
      <c r="M153" s="3134">
        <v>0.7248</v>
      </c>
    </row>
    <row r="154" spans="1:13">
      <c r="A154" s="3132">
        <v>6.9</v>
      </c>
      <c r="B154" s="3133">
        <v>0.92469999999999997</v>
      </c>
      <c r="C154" s="3133">
        <v>0.92469999999999997</v>
      </c>
      <c r="D154" s="3133">
        <v>0.85209999999999997</v>
      </c>
      <c r="E154" s="3133">
        <v>0.85209999999999997</v>
      </c>
      <c r="F154" s="3133">
        <v>0.85209999999999997</v>
      </c>
      <c r="G154" s="3133">
        <v>0.85209999999999997</v>
      </c>
      <c r="H154" s="3133">
        <v>0.85209999999999997</v>
      </c>
      <c r="I154" s="3133">
        <v>0.72230000000000005</v>
      </c>
      <c r="J154" s="3133">
        <v>0.72230000000000005</v>
      </c>
      <c r="K154" s="3133">
        <v>0.72230000000000005</v>
      </c>
      <c r="L154" s="3133">
        <v>0.72230000000000005</v>
      </c>
      <c r="M154" s="3134">
        <v>0.72230000000000005</v>
      </c>
    </row>
    <row r="155" spans="1:13">
      <c r="A155" s="3132">
        <v>7</v>
      </c>
      <c r="B155" s="3133">
        <v>0.92300000000000004</v>
      </c>
      <c r="C155" s="3133">
        <v>0.92300000000000004</v>
      </c>
      <c r="D155" s="3133">
        <v>0.85019999999999996</v>
      </c>
      <c r="E155" s="3133">
        <v>0.85019999999999996</v>
      </c>
      <c r="F155" s="3133">
        <v>0.85019999999999996</v>
      </c>
      <c r="G155" s="3133">
        <v>0.85019999999999996</v>
      </c>
      <c r="H155" s="3133">
        <v>0.85019999999999996</v>
      </c>
      <c r="I155" s="3133">
        <v>0.71989999999999998</v>
      </c>
      <c r="J155" s="3133">
        <v>0.71989999999999998</v>
      </c>
      <c r="K155" s="3133">
        <v>0.71989999999999998</v>
      </c>
      <c r="L155" s="3133">
        <v>0.71989999999999998</v>
      </c>
      <c r="M155" s="3134">
        <v>0.71989999999999998</v>
      </c>
    </row>
    <row r="156" spans="1:13">
      <c r="A156" s="3132">
        <v>7.1</v>
      </c>
      <c r="B156" s="3133">
        <v>0.9214</v>
      </c>
      <c r="C156" s="3133">
        <v>0.9214</v>
      </c>
      <c r="D156" s="3133">
        <v>0.84830000000000005</v>
      </c>
      <c r="E156" s="3133">
        <v>0.84830000000000005</v>
      </c>
      <c r="F156" s="3133">
        <v>0.84830000000000005</v>
      </c>
      <c r="G156" s="3133">
        <v>0.84830000000000005</v>
      </c>
      <c r="H156" s="3133">
        <v>0.84830000000000005</v>
      </c>
      <c r="I156" s="3133">
        <v>0.71750000000000003</v>
      </c>
      <c r="J156" s="3133">
        <v>0.71750000000000003</v>
      </c>
      <c r="K156" s="3133">
        <v>0.71750000000000003</v>
      </c>
      <c r="L156" s="3133">
        <v>0.71750000000000003</v>
      </c>
      <c r="M156" s="3134">
        <v>0.71750000000000003</v>
      </c>
    </row>
    <row r="157" spans="1:13">
      <c r="A157" s="3132">
        <v>7.2</v>
      </c>
      <c r="B157" s="3133">
        <v>0.91979999999999995</v>
      </c>
      <c r="C157" s="3133">
        <v>0.91979999999999995</v>
      </c>
      <c r="D157" s="3133">
        <v>0.84640000000000004</v>
      </c>
      <c r="E157" s="3133">
        <v>0.84640000000000004</v>
      </c>
      <c r="F157" s="3133">
        <v>0.84640000000000004</v>
      </c>
      <c r="G157" s="3133">
        <v>0.84640000000000004</v>
      </c>
      <c r="H157" s="3133">
        <v>0.84640000000000004</v>
      </c>
      <c r="I157" s="3133">
        <v>0.71509999999999996</v>
      </c>
      <c r="J157" s="3133">
        <v>0.71509999999999996</v>
      </c>
      <c r="K157" s="3133">
        <v>0.71509999999999996</v>
      </c>
      <c r="L157" s="3133">
        <v>0.71509999999999996</v>
      </c>
      <c r="M157" s="3134">
        <v>0.71509999999999996</v>
      </c>
    </row>
    <row r="158" spans="1:13">
      <c r="A158" s="3132">
        <v>7.3</v>
      </c>
      <c r="B158" s="3133">
        <v>0.91820000000000002</v>
      </c>
      <c r="C158" s="3133">
        <v>0.91820000000000002</v>
      </c>
      <c r="D158" s="3133">
        <v>0.84450000000000003</v>
      </c>
      <c r="E158" s="3133">
        <v>0.84450000000000003</v>
      </c>
      <c r="F158" s="3133">
        <v>0.84450000000000003</v>
      </c>
      <c r="G158" s="3133">
        <v>0.84450000000000003</v>
      </c>
      <c r="H158" s="3133">
        <v>0.84450000000000003</v>
      </c>
      <c r="I158" s="3133">
        <v>0.7127</v>
      </c>
      <c r="J158" s="3133">
        <v>0.7127</v>
      </c>
      <c r="K158" s="3133">
        <v>0.7127</v>
      </c>
      <c r="L158" s="3133">
        <v>0.7127</v>
      </c>
      <c r="M158" s="3134">
        <v>0.7127</v>
      </c>
    </row>
    <row r="159" spans="1:13">
      <c r="A159" s="3132">
        <v>7.4</v>
      </c>
      <c r="B159" s="3133">
        <v>0.91659999999999997</v>
      </c>
      <c r="C159" s="3133">
        <v>0.91659999999999997</v>
      </c>
      <c r="D159" s="3133">
        <v>0.84260000000000002</v>
      </c>
      <c r="E159" s="3133">
        <v>0.84260000000000002</v>
      </c>
      <c r="F159" s="3133">
        <v>0.84260000000000002</v>
      </c>
      <c r="G159" s="3133">
        <v>0.84260000000000002</v>
      </c>
      <c r="H159" s="3133">
        <v>0.84260000000000002</v>
      </c>
      <c r="I159" s="3133">
        <v>0.71030000000000004</v>
      </c>
      <c r="J159" s="3133">
        <v>0.71030000000000004</v>
      </c>
      <c r="K159" s="3133">
        <v>0.71030000000000004</v>
      </c>
      <c r="L159" s="3133">
        <v>0.71030000000000004</v>
      </c>
      <c r="M159" s="3134">
        <v>0.71030000000000004</v>
      </c>
    </row>
    <row r="160" spans="1:13">
      <c r="A160" s="3132">
        <v>7.5</v>
      </c>
      <c r="B160" s="3133">
        <v>0.91500000000000004</v>
      </c>
      <c r="C160" s="3133">
        <v>0.91500000000000004</v>
      </c>
      <c r="D160" s="3133">
        <v>0.8407</v>
      </c>
      <c r="E160" s="3133">
        <v>0.8407</v>
      </c>
      <c r="F160" s="3133">
        <v>0.8407</v>
      </c>
      <c r="G160" s="3133">
        <v>0.8407</v>
      </c>
      <c r="H160" s="3133">
        <v>0.8407</v>
      </c>
      <c r="I160" s="3133">
        <v>0.70799999999999996</v>
      </c>
      <c r="J160" s="3133">
        <v>0.70799999999999996</v>
      </c>
      <c r="K160" s="3133">
        <v>0.70799999999999996</v>
      </c>
      <c r="L160" s="3133">
        <v>0.70799999999999996</v>
      </c>
      <c r="M160" s="3134">
        <v>0.70799999999999996</v>
      </c>
    </row>
    <row r="161" spans="1:13">
      <c r="A161" s="3132">
        <v>7.6</v>
      </c>
      <c r="B161" s="3133">
        <v>0.91339999999999999</v>
      </c>
      <c r="C161" s="3133">
        <v>0.91339999999999999</v>
      </c>
      <c r="D161" s="3133">
        <v>0.83889999999999998</v>
      </c>
      <c r="E161" s="3133">
        <v>0.83889999999999998</v>
      </c>
      <c r="F161" s="3133">
        <v>0.83889999999999998</v>
      </c>
      <c r="G161" s="3133">
        <v>0.83889999999999998</v>
      </c>
      <c r="H161" s="3133">
        <v>0.83889999999999998</v>
      </c>
      <c r="I161" s="3133">
        <v>0.70569999999999999</v>
      </c>
      <c r="J161" s="3133">
        <v>0.70569999999999999</v>
      </c>
      <c r="K161" s="3133">
        <v>0.70569999999999999</v>
      </c>
      <c r="L161" s="3133">
        <v>0.70569999999999999</v>
      </c>
      <c r="M161" s="3134">
        <v>0.70569999999999999</v>
      </c>
    </row>
    <row r="162" spans="1:13">
      <c r="A162" s="3132">
        <v>7.7</v>
      </c>
      <c r="B162" s="3133">
        <v>0.91190000000000004</v>
      </c>
      <c r="C162" s="3133">
        <v>0.91190000000000004</v>
      </c>
      <c r="D162" s="3133">
        <v>0.83709999999999996</v>
      </c>
      <c r="E162" s="3133">
        <v>0.83709999999999996</v>
      </c>
      <c r="F162" s="3133">
        <v>0.83709999999999996</v>
      </c>
      <c r="G162" s="3133">
        <v>0.83709999999999996</v>
      </c>
      <c r="H162" s="3133">
        <v>0.83709999999999996</v>
      </c>
      <c r="I162" s="3133">
        <v>0.70340000000000003</v>
      </c>
      <c r="J162" s="3133">
        <v>0.70340000000000003</v>
      </c>
      <c r="K162" s="3133">
        <v>0.70340000000000003</v>
      </c>
      <c r="L162" s="3133">
        <v>0.70340000000000003</v>
      </c>
      <c r="M162" s="3134">
        <v>0.70340000000000003</v>
      </c>
    </row>
    <row r="163" spans="1:13">
      <c r="A163" s="3132">
        <v>7.8</v>
      </c>
      <c r="B163" s="3133">
        <v>0.91039999999999999</v>
      </c>
      <c r="C163" s="3133">
        <v>0.91039999999999999</v>
      </c>
      <c r="D163" s="3133">
        <v>0.83530000000000004</v>
      </c>
      <c r="E163" s="3133">
        <v>0.83530000000000004</v>
      </c>
      <c r="F163" s="3133">
        <v>0.83530000000000004</v>
      </c>
      <c r="G163" s="3133">
        <v>0.83530000000000004</v>
      </c>
      <c r="H163" s="3133">
        <v>0.83530000000000004</v>
      </c>
      <c r="I163" s="3133">
        <v>0.70109999999999995</v>
      </c>
      <c r="J163" s="3133">
        <v>0.70109999999999995</v>
      </c>
      <c r="K163" s="3133">
        <v>0.70109999999999995</v>
      </c>
      <c r="L163" s="3133">
        <v>0.70109999999999995</v>
      </c>
      <c r="M163" s="3134">
        <v>0.70109999999999995</v>
      </c>
    </row>
    <row r="164" spans="1:13">
      <c r="A164" s="3132">
        <v>7.9</v>
      </c>
      <c r="B164" s="3133">
        <v>0.90890000000000004</v>
      </c>
      <c r="C164" s="3133">
        <v>0.90890000000000004</v>
      </c>
      <c r="D164" s="3133">
        <v>0.83350000000000002</v>
      </c>
      <c r="E164" s="3133">
        <v>0.83350000000000002</v>
      </c>
      <c r="F164" s="3133">
        <v>0.83350000000000002</v>
      </c>
      <c r="G164" s="3133">
        <v>0.83350000000000002</v>
      </c>
      <c r="H164" s="3133">
        <v>0.83350000000000002</v>
      </c>
      <c r="I164" s="3133">
        <v>0.69879999999999998</v>
      </c>
      <c r="J164" s="3133">
        <v>0.69879999999999998</v>
      </c>
      <c r="K164" s="3133">
        <v>0.69879999999999998</v>
      </c>
      <c r="L164" s="3133">
        <v>0.69879999999999998</v>
      </c>
      <c r="M164" s="3134">
        <v>0.69879999999999998</v>
      </c>
    </row>
    <row r="165" spans="1:13">
      <c r="A165" s="3132">
        <v>8</v>
      </c>
      <c r="B165" s="3133">
        <v>0.90739999999999998</v>
      </c>
      <c r="C165" s="3133">
        <v>0.90739999999999998</v>
      </c>
      <c r="D165" s="3133">
        <v>0.83169999999999999</v>
      </c>
      <c r="E165" s="3133">
        <v>0.83169999999999999</v>
      </c>
      <c r="F165" s="3133">
        <v>0.83169999999999999</v>
      </c>
      <c r="G165" s="3133">
        <v>0.83169999999999999</v>
      </c>
      <c r="H165" s="3133">
        <v>0.83169999999999999</v>
      </c>
      <c r="I165" s="3133">
        <v>0.6966</v>
      </c>
      <c r="J165" s="3133">
        <v>0.6966</v>
      </c>
      <c r="K165" s="3133">
        <v>0.6966</v>
      </c>
      <c r="L165" s="3133">
        <v>0.6966</v>
      </c>
      <c r="M165" s="3134">
        <v>0.6966</v>
      </c>
    </row>
    <row r="166" spans="1:13">
      <c r="A166" s="3132">
        <v>8.1</v>
      </c>
      <c r="B166" s="3133">
        <v>0.90590000000000004</v>
      </c>
      <c r="C166" s="3133">
        <v>0.90590000000000004</v>
      </c>
      <c r="D166" s="3133">
        <v>0.82989999999999997</v>
      </c>
      <c r="E166" s="3133">
        <v>0.82989999999999997</v>
      </c>
      <c r="F166" s="3133">
        <v>0.82989999999999997</v>
      </c>
      <c r="G166" s="3133">
        <v>0.82989999999999997</v>
      </c>
      <c r="H166" s="3133">
        <v>0.82989999999999997</v>
      </c>
      <c r="I166" s="3133">
        <v>0.69440000000000002</v>
      </c>
      <c r="J166" s="3133">
        <v>0.69440000000000002</v>
      </c>
      <c r="K166" s="3133">
        <v>0.69440000000000002</v>
      </c>
      <c r="L166" s="3133">
        <v>0.69440000000000002</v>
      </c>
      <c r="M166" s="3134">
        <v>0.69440000000000002</v>
      </c>
    </row>
    <row r="167" spans="1:13">
      <c r="A167" s="3132">
        <v>8.1999999999999993</v>
      </c>
      <c r="B167" s="3133">
        <v>0.90439999999999998</v>
      </c>
      <c r="C167" s="3133">
        <v>0.90439999999999998</v>
      </c>
      <c r="D167" s="3133">
        <v>0.82820000000000005</v>
      </c>
      <c r="E167" s="3133">
        <v>0.82820000000000005</v>
      </c>
      <c r="F167" s="3133">
        <v>0.82820000000000005</v>
      </c>
      <c r="G167" s="3133">
        <v>0.82820000000000005</v>
      </c>
      <c r="H167" s="3133">
        <v>0.82820000000000005</v>
      </c>
      <c r="I167" s="3133">
        <v>0.69220000000000004</v>
      </c>
      <c r="J167" s="3133">
        <v>0.69220000000000004</v>
      </c>
      <c r="K167" s="3133">
        <v>0.69220000000000004</v>
      </c>
      <c r="L167" s="3133">
        <v>0.69220000000000004</v>
      </c>
      <c r="M167" s="3134">
        <v>0.69220000000000004</v>
      </c>
    </row>
    <row r="168" spans="1:13">
      <c r="A168" s="3132">
        <v>8.3000000000000007</v>
      </c>
      <c r="B168" s="3133">
        <v>0.90300000000000002</v>
      </c>
      <c r="C168" s="3133">
        <v>0.90300000000000002</v>
      </c>
      <c r="D168" s="3133">
        <v>0.82650000000000001</v>
      </c>
      <c r="E168" s="3133">
        <v>0.82650000000000001</v>
      </c>
      <c r="F168" s="3133">
        <v>0.82650000000000001</v>
      </c>
      <c r="G168" s="3133">
        <v>0.82650000000000001</v>
      </c>
      <c r="H168" s="3133">
        <v>0.82650000000000001</v>
      </c>
      <c r="I168" s="3133">
        <v>0.69</v>
      </c>
      <c r="J168" s="3133">
        <v>0.69</v>
      </c>
      <c r="K168" s="3133">
        <v>0.69</v>
      </c>
      <c r="L168" s="3133">
        <v>0.69</v>
      </c>
      <c r="M168" s="3134">
        <v>0.69</v>
      </c>
    </row>
    <row r="169" spans="1:13">
      <c r="A169" s="3132">
        <v>8.4</v>
      </c>
      <c r="B169" s="3133">
        <v>0.90159999999999996</v>
      </c>
      <c r="C169" s="3133">
        <v>0.90159999999999996</v>
      </c>
      <c r="D169" s="3133">
        <v>0.82479999999999998</v>
      </c>
      <c r="E169" s="3133">
        <v>0.82479999999999998</v>
      </c>
      <c r="F169" s="3133">
        <v>0.82479999999999998</v>
      </c>
      <c r="G169" s="3133">
        <v>0.82479999999999998</v>
      </c>
      <c r="H169" s="3133">
        <v>0.82479999999999998</v>
      </c>
      <c r="I169" s="3133">
        <v>0.68779999999999997</v>
      </c>
      <c r="J169" s="3133">
        <v>0.68779999999999997</v>
      </c>
      <c r="K169" s="3133">
        <v>0.68779999999999997</v>
      </c>
      <c r="L169" s="3133">
        <v>0.68779999999999997</v>
      </c>
      <c r="M169" s="3134">
        <v>0.68779999999999997</v>
      </c>
    </row>
    <row r="170" spans="1:13">
      <c r="A170" s="3132">
        <v>8.5</v>
      </c>
      <c r="B170" s="3133">
        <v>0.9002</v>
      </c>
      <c r="C170" s="3133">
        <v>0.9002</v>
      </c>
      <c r="D170" s="3133">
        <v>0.82310000000000005</v>
      </c>
      <c r="E170" s="3133">
        <v>0.82310000000000005</v>
      </c>
      <c r="F170" s="3133">
        <v>0.82310000000000005</v>
      </c>
      <c r="G170" s="3133">
        <v>0.82310000000000005</v>
      </c>
      <c r="H170" s="3133">
        <v>0.82310000000000005</v>
      </c>
      <c r="I170" s="3133">
        <v>0.68569999999999998</v>
      </c>
      <c r="J170" s="3133">
        <v>0.68569999999999998</v>
      </c>
      <c r="K170" s="3133">
        <v>0.68569999999999998</v>
      </c>
      <c r="L170" s="3133">
        <v>0.68569999999999998</v>
      </c>
      <c r="M170" s="3134">
        <v>0.68569999999999998</v>
      </c>
    </row>
    <row r="171" spans="1:13">
      <c r="A171" s="3132">
        <v>8.6</v>
      </c>
      <c r="B171" s="3133">
        <v>0.89880000000000004</v>
      </c>
      <c r="C171" s="3133">
        <v>0.89880000000000004</v>
      </c>
      <c r="D171" s="3133">
        <v>0.82140000000000002</v>
      </c>
      <c r="E171" s="3133">
        <v>0.82140000000000002</v>
      </c>
      <c r="F171" s="3133">
        <v>0.82140000000000002</v>
      </c>
      <c r="G171" s="3133">
        <v>0.82140000000000002</v>
      </c>
      <c r="H171" s="3133">
        <v>0.82140000000000002</v>
      </c>
      <c r="I171" s="3133">
        <v>0.68359999999999999</v>
      </c>
      <c r="J171" s="3133">
        <v>0.68359999999999999</v>
      </c>
      <c r="K171" s="3133">
        <v>0.68359999999999999</v>
      </c>
      <c r="L171" s="3133">
        <v>0.68359999999999999</v>
      </c>
      <c r="M171" s="3134">
        <v>0.68359999999999999</v>
      </c>
    </row>
    <row r="172" spans="1:13">
      <c r="A172" s="3132">
        <v>8.6999999999999993</v>
      </c>
      <c r="B172" s="3133">
        <v>0.89739999999999998</v>
      </c>
      <c r="C172" s="3133">
        <v>0.89739999999999998</v>
      </c>
      <c r="D172" s="3133">
        <v>0.81969999999999998</v>
      </c>
      <c r="E172" s="3133">
        <v>0.81969999999999998</v>
      </c>
      <c r="F172" s="3133">
        <v>0.81969999999999998</v>
      </c>
      <c r="G172" s="3133">
        <v>0.81969999999999998</v>
      </c>
      <c r="H172" s="3133">
        <v>0.81969999999999998</v>
      </c>
      <c r="I172" s="3133">
        <v>0.68149999999999999</v>
      </c>
      <c r="J172" s="3133">
        <v>0.68149999999999999</v>
      </c>
      <c r="K172" s="3133">
        <v>0.68149999999999999</v>
      </c>
      <c r="L172" s="3133">
        <v>0.68149999999999999</v>
      </c>
      <c r="M172" s="3134">
        <v>0.68149999999999999</v>
      </c>
    </row>
    <row r="173" spans="1:13">
      <c r="A173" s="3132">
        <v>8.8000000000000007</v>
      </c>
      <c r="B173" s="3133">
        <v>0.89600000000000002</v>
      </c>
      <c r="C173" s="3133">
        <v>0.89600000000000002</v>
      </c>
      <c r="D173" s="3133">
        <v>0.81810000000000005</v>
      </c>
      <c r="E173" s="3133">
        <v>0.81810000000000005</v>
      </c>
      <c r="F173" s="3133">
        <v>0.81810000000000005</v>
      </c>
      <c r="G173" s="3133">
        <v>0.81810000000000005</v>
      </c>
      <c r="H173" s="3133">
        <v>0.81810000000000005</v>
      </c>
      <c r="I173" s="3133">
        <v>0.6794</v>
      </c>
      <c r="J173" s="3133">
        <v>0.6794</v>
      </c>
      <c r="K173" s="3133">
        <v>0.6794</v>
      </c>
      <c r="L173" s="3133">
        <v>0.6794</v>
      </c>
      <c r="M173" s="3134">
        <v>0.6794</v>
      </c>
    </row>
    <row r="174" spans="1:13">
      <c r="A174" s="3132">
        <v>8.9</v>
      </c>
      <c r="B174" s="3133">
        <v>0.89470000000000005</v>
      </c>
      <c r="C174" s="3133">
        <v>0.89470000000000005</v>
      </c>
      <c r="D174" s="3133">
        <v>0.8165</v>
      </c>
      <c r="E174" s="3133">
        <v>0.8165</v>
      </c>
      <c r="F174" s="3133">
        <v>0.8165</v>
      </c>
      <c r="G174" s="3133">
        <v>0.8165</v>
      </c>
      <c r="H174" s="3133">
        <v>0.8165</v>
      </c>
      <c r="I174" s="3133">
        <v>0.6774</v>
      </c>
      <c r="J174" s="3133">
        <v>0.6774</v>
      </c>
      <c r="K174" s="3133">
        <v>0.6774</v>
      </c>
      <c r="L174" s="3133">
        <v>0.6774</v>
      </c>
      <c r="M174" s="3134">
        <v>0.6774</v>
      </c>
    </row>
    <row r="175" spans="1:13">
      <c r="A175" s="3135">
        <v>9</v>
      </c>
      <c r="B175" s="3133">
        <v>0.89339999999999997</v>
      </c>
      <c r="C175" s="3133">
        <v>0.89339999999999997</v>
      </c>
      <c r="D175" s="3133">
        <v>0.81489999999999996</v>
      </c>
      <c r="E175" s="3133">
        <v>0.81489999999999996</v>
      </c>
      <c r="F175" s="3133">
        <v>0.81489999999999996</v>
      </c>
      <c r="G175" s="3133">
        <v>0.81489999999999996</v>
      </c>
      <c r="H175" s="3133">
        <v>0.81489999999999996</v>
      </c>
      <c r="I175" s="3133">
        <v>0.6754</v>
      </c>
      <c r="J175" s="3133">
        <v>0.6754</v>
      </c>
      <c r="K175" s="3133">
        <v>0.6754</v>
      </c>
      <c r="L175" s="3133">
        <v>0.6754</v>
      </c>
      <c r="M175" s="3134">
        <v>0.6754</v>
      </c>
    </row>
    <row r="176" spans="1:13">
      <c r="A176" s="3135">
        <v>9.1</v>
      </c>
      <c r="B176" s="3133">
        <v>0.8921</v>
      </c>
      <c r="C176" s="3133">
        <v>0.8921</v>
      </c>
      <c r="D176" s="3133">
        <v>0.81330000000000002</v>
      </c>
      <c r="E176" s="3133">
        <v>0.81330000000000002</v>
      </c>
      <c r="F176" s="3133">
        <v>0.81330000000000002</v>
      </c>
      <c r="G176" s="3133">
        <v>0.81330000000000002</v>
      </c>
      <c r="H176" s="3133">
        <v>0.81330000000000002</v>
      </c>
      <c r="I176" s="3133">
        <v>0.6734</v>
      </c>
      <c r="J176" s="3133">
        <v>0.6734</v>
      </c>
      <c r="K176" s="3133">
        <v>0.6734</v>
      </c>
      <c r="L176" s="3133">
        <v>0.6734</v>
      </c>
      <c r="M176" s="3134">
        <v>0.6734</v>
      </c>
    </row>
    <row r="177" spans="1:20">
      <c r="A177" s="3135">
        <v>9.1999999999999993</v>
      </c>
      <c r="B177" s="3133">
        <v>0.89080000000000004</v>
      </c>
      <c r="C177" s="3133">
        <v>0.89080000000000004</v>
      </c>
      <c r="D177" s="3133">
        <v>0.81169999999999998</v>
      </c>
      <c r="E177" s="3133">
        <v>0.81169999999999998</v>
      </c>
      <c r="F177" s="3133">
        <v>0.81169999999999998</v>
      </c>
      <c r="G177" s="3133">
        <v>0.81169999999999998</v>
      </c>
      <c r="H177" s="3133">
        <v>0.81169999999999998</v>
      </c>
      <c r="I177" s="3133">
        <v>0.6714</v>
      </c>
      <c r="J177" s="3133">
        <v>0.6714</v>
      </c>
      <c r="K177" s="3133">
        <v>0.6714</v>
      </c>
      <c r="L177" s="3133">
        <v>0.6714</v>
      </c>
      <c r="M177" s="3134">
        <v>0.6714</v>
      </c>
    </row>
    <row r="178" spans="1:20">
      <c r="A178" s="3135">
        <v>9.3000000000000007</v>
      </c>
      <c r="B178" s="3133">
        <v>0.88949999999999996</v>
      </c>
      <c r="C178" s="3133">
        <v>0.88949999999999996</v>
      </c>
      <c r="D178" s="3133">
        <v>0.81010000000000004</v>
      </c>
      <c r="E178" s="3133">
        <v>0.81010000000000004</v>
      </c>
      <c r="F178" s="3133">
        <v>0.81010000000000004</v>
      </c>
      <c r="G178" s="3133">
        <v>0.81010000000000004</v>
      </c>
      <c r="H178" s="3133">
        <v>0.81010000000000004</v>
      </c>
      <c r="I178" s="3133">
        <v>0.6694</v>
      </c>
      <c r="J178" s="3133">
        <v>0.6694</v>
      </c>
      <c r="K178" s="3133">
        <v>0.6694</v>
      </c>
      <c r="L178" s="3133">
        <v>0.6694</v>
      </c>
      <c r="M178" s="3134">
        <v>0.6694</v>
      </c>
    </row>
    <row r="179" spans="1:20">
      <c r="A179" s="3135">
        <v>9.4</v>
      </c>
      <c r="B179" s="3133">
        <v>0.88819999999999999</v>
      </c>
      <c r="C179" s="3133">
        <v>0.88819999999999999</v>
      </c>
      <c r="D179" s="3133">
        <v>0.8085</v>
      </c>
      <c r="E179" s="3133">
        <v>0.8085</v>
      </c>
      <c r="F179" s="3133">
        <v>0.8085</v>
      </c>
      <c r="G179" s="3133">
        <v>0.8085</v>
      </c>
      <c r="H179" s="3133">
        <v>0.8085</v>
      </c>
      <c r="I179" s="3133">
        <v>0.66739999999999999</v>
      </c>
      <c r="J179" s="3133">
        <v>0.66739999999999999</v>
      </c>
      <c r="K179" s="3133">
        <v>0.66739999999999999</v>
      </c>
      <c r="L179" s="3133">
        <v>0.66739999999999999</v>
      </c>
      <c r="M179" s="3134">
        <v>0.66739999999999999</v>
      </c>
    </row>
    <row r="180" spans="1:20">
      <c r="A180" s="3135">
        <v>9.5</v>
      </c>
      <c r="B180" s="3133">
        <v>0.88700000000000001</v>
      </c>
      <c r="C180" s="3133">
        <v>0.88700000000000001</v>
      </c>
      <c r="D180" s="3133">
        <v>0.80700000000000005</v>
      </c>
      <c r="E180" s="3133">
        <v>0.80700000000000005</v>
      </c>
      <c r="F180" s="3133">
        <v>0.80700000000000005</v>
      </c>
      <c r="G180" s="3133">
        <v>0.80700000000000005</v>
      </c>
      <c r="H180" s="3133">
        <v>0.80700000000000005</v>
      </c>
      <c r="I180" s="3133">
        <v>0.66549999999999998</v>
      </c>
      <c r="J180" s="3133">
        <v>0.66549999999999998</v>
      </c>
      <c r="K180" s="3133">
        <v>0.66549999999999998</v>
      </c>
      <c r="L180" s="3133">
        <v>0.66549999999999998</v>
      </c>
      <c r="M180" s="3134">
        <v>0.66549999999999998</v>
      </c>
    </row>
    <row r="181" spans="1:20">
      <c r="A181" s="3135">
        <v>9.6</v>
      </c>
      <c r="B181" s="3133">
        <v>0.88580000000000003</v>
      </c>
      <c r="C181" s="3133">
        <v>0.88580000000000003</v>
      </c>
      <c r="D181" s="3133">
        <v>0.80549999999999999</v>
      </c>
      <c r="E181" s="3133">
        <v>0.80549999999999999</v>
      </c>
      <c r="F181" s="3133">
        <v>0.80549999999999999</v>
      </c>
      <c r="G181" s="3133">
        <v>0.80549999999999999</v>
      </c>
      <c r="H181" s="3133">
        <v>0.80549999999999999</v>
      </c>
      <c r="I181" s="3133">
        <v>0.66359999999999997</v>
      </c>
      <c r="J181" s="3133">
        <v>0.66359999999999997</v>
      </c>
      <c r="K181" s="3133">
        <v>0.66359999999999997</v>
      </c>
      <c r="L181" s="3133">
        <v>0.66359999999999997</v>
      </c>
      <c r="M181" s="3134">
        <v>0.66359999999999997</v>
      </c>
    </row>
    <row r="182" spans="1:20">
      <c r="A182" s="3135">
        <v>9.6999999999999993</v>
      </c>
      <c r="B182" s="3133">
        <v>0.88460000000000005</v>
      </c>
      <c r="C182" s="3133">
        <v>0.88460000000000005</v>
      </c>
      <c r="D182" s="3133">
        <v>0.80400000000000005</v>
      </c>
      <c r="E182" s="3133">
        <v>0.80400000000000005</v>
      </c>
      <c r="F182" s="3133">
        <v>0.80400000000000005</v>
      </c>
      <c r="G182" s="3133">
        <v>0.80400000000000005</v>
      </c>
      <c r="H182" s="3133">
        <v>0.80400000000000005</v>
      </c>
      <c r="I182" s="3133">
        <v>0.66169999999999995</v>
      </c>
      <c r="J182" s="3133">
        <v>0.66169999999999995</v>
      </c>
      <c r="K182" s="3133">
        <v>0.66169999999999995</v>
      </c>
      <c r="L182" s="3133">
        <v>0.66169999999999995</v>
      </c>
      <c r="M182" s="3134">
        <v>0.66169999999999995</v>
      </c>
    </row>
    <row r="183" spans="1:20">
      <c r="A183" s="3135">
        <v>9.8000000000000007</v>
      </c>
      <c r="B183" s="3133">
        <v>0.88339999999999996</v>
      </c>
      <c r="C183" s="3133">
        <v>0.88339999999999996</v>
      </c>
      <c r="D183" s="3133">
        <v>0.80249999999999999</v>
      </c>
      <c r="E183" s="3133">
        <v>0.80249999999999999</v>
      </c>
      <c r="F183" s="3133">
        <v>0.80249999999999999</v>
      </c>
      <c r="G183" s="3133">
        <v>0.80249999999999999</v>
      </c>
      <c r="H183" s="3133">
        <v>0.80249999999999999</v>
      </c>
      <c r="I183" s="3133">
        <v>0.65980000000000005</v>
      </c>
      <c r="J183" s="3133">
        <v>0.65980000000000005</v>
      </c>
      <c r="K183" s="3133">
        <v>0.65980000000000005</v>
      </c>
      <c r="L183" s="3133">
        <v>0.65980000000000005</v>
      </c>
      <c r="M183" s="3134">
        <v>0.65980000000000005</v>
      </c>
    </row>
    <row r="184" spans="1:20" ht="14.25" thickBot="1">
      <c r="A184" s="3136">
        <v>9.9</v>
      </c>
      <c r="B184" s="3137">
        <v>0.88219999999999998</v>
      </c>
      <c r="C184" s="3137">
        <v>0.88219999999999998</v>
      </c>
      <c r="D184" s="3137">
        <v>0.80100000000000005</v>
      </c>
      <c r="E184" s="3137">
        <v>0.80100000000000005</v>
      </c>
      <c r="F184" s="3137">
        <v>0.80100000000000005</v>
      </c>
      <c r="G184" s="3137">
        <v>0.80100000000000005</v>
      </c>
      <c r="H184" s="3137">
        <v>0.80100000000000005</v>
      </c>
      <c r="I184" s="3137">
        <v>0.65790000000000004</v>
      </c>
      <c r="J184" s="3137">
        <v>0.65790000000000004</v>
      </c>
      <c r="K184" s="3137">
        <v>0.65790000000000004</v>
      </c>
      <c r="L184" s="3137">
        <v>0.65790000000000004</v>
      </c>
      <c r="M184" s="3138">
        <v>0.65790000000000004</v>
      </c>
    </row>
    <row r="185" spans="1:20" ht="15" thickBot="1">
      <c r="A185" s="3126" t="s">
        <v>2804</v>
      </c>
      <c r="B185" s="3126"/>
      <c r="C185" s="3126"/>
      <c r="D185" s="3126"/>
      <c r="E185" s="3126"/>
      <c r="F185" s="3126"/>
      <c r="G185" s="3126"/>
      <c r="H185" s="3126"/>
      <c r="I185" s="3126"/>
      <c r="J185" s="3126"/>
      <c r="K185" s="3126"/>
      <c r="L185" s="3126"/>
      <c r="M185" s="3126"/>
    </row>
    <row r="186" spans="1:20">
      <c r="A186" s="3127" t="s">
        <v>2802</v>
      </c>
      <c r="B186" s="3128" t="s">
        <v>2598</v>
      </c>
      <c r="C186" s="3128" t="s">
        <v>2599</v>
      </c>
      <c r="D186" s="3128" t="s">
        <v>2600</v>
      </c>
      <c r="E186" s="3128" t="s">
        <v>2601</v>
      </c>
      <c r="F186" s="3128" t="s">
        <v>2602</v>
      </c>
      <c r="G186" s="3128" t="s">
        <v>2603</v>
      </c>
      <c r="H186" s="3129" t="s">
        <v>2604</v>
      </c>
      <c r="I186" s="3129" t="s">
        <v>2605</v>
      </c>
      <c r="J186" s="3130" t="s">
        <v>2606</v>
      </c>
      <c r="K186" s="3130" t="s">
        <v>2607</v>
      </c>
      <c r="L186" s="3130" t="s">
        <v>2608</v>
      </c>
      <c r="M186" s="3131" t="s">
        <v>2609</v>
      </c>
      <c r="Q186" s="3141" t="s">
        <v>2807</v>
      </c>
      <c r="R186" s="3141" t="s">
        <v>2808</v>
      </c>
      <c r="S186" s="3141" t="s">
        <v>2809</v>
      </c>
      <c r="T186" s="3141" t="s">
        <v>2810</v>
      </c>
    </row>
    <row r="187" spans="1:20">
      <c r="A187" s="3132">
        <v>1</v>
      </c>
      <c r="B187" s="3133">
        <v>1.1901999999999999</v>
      </c>
      <c r="C187" s="3133">
        <v>1.1901999999999999</v>
      </c>
      <c r="D187" s="3133">
        <v>1.222</v>
      </c>
      <c r="E187" s="3133">
        <v>1.222</v>
      </c>
      <c r="F187" s="3133">
        <v>1.222</v>
      </c>
      <c r="G187" s="3133">
        <v>1.222</v>
      </c>
      <c r="H187" s="3133">
        <v>1.222</v>
      </c>
      <c r="I187" s="3133">
        <v>1.1054999999999999</v>
      </c>
      <c r="J187" s="3133">
        <v>1.1054999999999999</v>
      </c>
      <c r="K187" s="3133">
        <v>1.1054999999999999</v>
      </c>
      <c r="L187" s="3133">
        <v>1.1054999999999999</v>
      </c>
      <c r="M187" s="3134">
        <v>1.1054999999999999</v>
      </c>
      <c r="Q187" s="3141">
        <v>10</v>
      </c>
      <c r="R187" s="3141">
        <f>ROUND(0.9448-0.0115*Q187,4)</f>
        <v>0.82979999999999998</v>
      </c>
      <c r="S187" s="3141">
        <f>ROUND(0.937-0.0145*Q187,4)</f>
        <v>0.79200000000000004</v>
      </c>
      <c r="T187" s="3141">
        <f>ROUND(0.7965-0.0185*Q187,4)</f>
        <v>0.61150000000000004</v>
      </c>
    </row>
    <row r="188" spans="1:20">
      <c r="A188" s="3132">
        <v>1.1000000000000001</v>
      </c>
      <c r="B188" s="3133">
        <v>1.1715</v>
      </c>
      <c r="C188" s="3133">
        <v>1.1715</v>
      </c>
      <c r="D188" s="3133">
        <v>1.2002999999999999</v>
      </c>
      <c r="E188" s="3133">
        <v>1.2002999999999999</v>
      </c>
      <c r="F188" s="3133">
        <v>1.2002999999999999</v>
      </c>
      <c r="G188" s="3133">
        <v>1.2002999999999999</v>
      </c>
      <c r="H188" s="3133">
        <v>1.2002999999999999</v>
      </c>
      <c r="I188" s="3133">
        <v>1.0819000000000001</v>
      </c>
      <c r="J188" s="3133">
        <v>1.0819000000000001</v>
      </c>
      <c r="K188" s="3133">
        <v>1.0819000000000001</v>
      </c>
      <c r="L188" s="3133">
        <v>1.0819000000000001</v>
      </c>
      <c r="M188" s="3134">
        <v>1.0819000000000001</v>
      </c>
    </row>
    <row r="189" spans="1:20">
      <c r="A189" s="3132">
        <v>1.2</v>
      </c>
      <c r="B189" s="3133">
        <v>1.1538999999999999</v>
      </c>
      <c r="C189" s="3133">
        <v>1.1538999999999999</v>
      </c>
      <c r="D189" s="3133">
        <v>1.1798</v>
      </c>
      <c r="E189" s="3133">
        <v>1.1798</v>
      </c>
      <c r="F189" s="3133">
        <v>1.1798</v>
      </c>
      <c r="G189" s="3133">
        <v>1.1798</v>
      </c>
      <c r="H189" s="3133">
        <v>1.1798</v>
      </c>
      <c r="I189" s="3133">
        <v>1.0597000000000001</v>
      </c>
      <c r="J189" s="3133">
        <v>1.0597000000000001</v>
      </c>
      <c r="K189" s="3133">
        <v>1.0597000000000001</v>
      </c>
      <c r="L189" s="3133">
        <v>1.0597000000000001</v>
      </c>
      <c r="M189" s="3134">
        <v>1.0597000000000001</v>
      </c>
    </row>
    <row r="190" spans="1:20">
      <c r="A190" s="3132">
        <v>1.3</v>
      </c>
      <c r="B190" s="3133">
        <v>1.1372</v>
      </c>
      <c r="C190" s="3133">
        <v>1.1372</v>
      </c>
      <c r="D190" s="3133">
        <v>1.1605000000000001</v>
      </c>
      <c r="E190" s="3133">
        <v>1.1605000000000001</v>
      </c>
      <c r="F190" s="3133">
        <v>1.1605000000000001</v>
      </c>
      <c r="G190" s="3133">
        <v>1.1605000000000001</v>
      </c>
      <c r="H190" s="3133">
        <v>1.1605000000000001</v>
      </c>
      <c r="I190" s="3133">
        <v>1.0386</v>
      </c>
      <c r="J190" s="3133">
        <v>1.0386</v>
      </c>
      <c r="K190" s="3133">
        <v>1.0386</v>
      </c>
      <c r="L190" s="3133">
        <v>1.0386</v>
      </c>
      <c r="M190" s="3134">
        <v>1.0386</v>
      </c>
    </row>
    <row r="191" spans="1:20">
      <c r="A191" s="3132">
        <v>1.4</v>
      </c>
      <c r="B191" s="3133">
        <v>1.1215999999999999</v>
      </c>
      <c r="C191" s="3133">
        <v>1.1215999999999999</v>
      </c>
      <c r="D191" s="3133">
        <v>1.1422000000000001</v>
      </c>
      <c r="E191" s="3133">
        <v>1.1422000000000001</v>
      </c>
      <c r="F191" s="3133">
        <v>1.1422000000000001</v>
      </c>
      <c r="G191" s="3133">
        <v>1.1422000000000001</v>
      </c>
      <c r="H191" s="3133">
        <v>1.1422000000000001</v>
      </c>
      <c r="I191" s="3133">
        <v>1.0187999999999999</v>
      </c>
      <c r="J191" s="3133">
        <v>1.0187999999999999</v>
      </c>
      <c r="K191" s="3133">
        <v>1.0187999999999999</v>
      </c>
      <c r="L191" s="3133">
        <v>1.0187999999999999</v>
      </c>
      <c r="M191" s="3134">
        <v>1.0187999999999999</v>
      </c>
    </row>
    <row r="192" spans="1:20">
      <c r="A192" s="3132">
        <v>1.5</v>
      </c>
      <c r="B192" s="3133">
        <v>1.1069</v>
      </c>
      <c r="C192" s="3133">
        <v>1.1069</v>
      </c>
      <c r="D192" s="3133">
        <v>1.125</v>
      </c>
      <c r="E192" s="3133">
        <v>1.125</v>
      </c>
      <c r="F192" s="3133">
        <v>1.125</v>
      </c>
      <c r="G192" s="3133">
        <v>1.125</v>
      </c>
      <c r="H192" s="3133">
        <v>1.125</v>
      </c>
      <c r="I192" s="3133">
        <v>1</v>
      </c>
      <c r="J192" s="3133">
        <v>1</v>
      </c>
      <c r="K192" s="3133">
        <v>1</v>
      </c>
      <c r="L192" s="3133">
        <v>1</v>
      </c>
      <c r="M192" s="3134">
        <v>1</v>
      </c>
    </row>
    <row r="193" spans="1:13">
      <c r="A193" s="3132">
        <v>1.6</v>
      </c>
      <c r="B193" s="3133">
        <v>1.0929</v>
      </c>
      <c r="C193" s="3133">
        <v>1.0929</v>
      </c>
      <c r="D193" s="3133">
        <v>1.1087</v>
      </c>
      <c r="E193" s="3133">
        <v>1.1087</v>
      </c>
      <c r="F193" s="3133">
        <v>1.1087</v>
      </c>
      <c r="G193" s="3133">
        <v>1.1087</v>
      </c>
      <c r="H193" s="3133">
        <v>1.1087</v>
      </c>
      <c r="I193" s="3133">
        <v>0.98229999999999995</v>
      </c>
      <c r="J193" s="3133">
        <v>0.98229999999999995</v>
      </c>
      <c r="K193" s="3133">
        <v>0.98229999999999995</v>
      </c>
      <c r="L193" s="3133">
        <v>0.98229999999999995</v>
      </c>
      <c r="M193" s="3134">
        <v>0.98229999999999995</v>
      </c>
    </row>
    <row r="194" spans="1:13">
      <c r="A194" s="3132">
        <v>1.7</v>
      </c>
      <c r="B194" s="3133">
        <v>1.0798000000000001</v>
      </c>
      <c r="C194" s="3133">
        <v>1.0798000000000001</v>
      </c>
      <c r="D194" s="3133">
        <v>1.0933999999999999</v>
      </c>
      <c r="E194" s="3133">
        <v>1.0933999999999999</v>
      </c>
      <c r="F194" s="3133">
        <v>1.0933999999999999</v>
      </c>
      <c r="G194" s="3133">
        <v>1.0933999999999999</v>
      </c>
      <c r="H194" s="3133">
        <v>1.0933999999999999</v>
      </c>
      <c r="I194" s="3133">
        <v>0.96560000000000001</v>
      </c>
      <c r="J194" s="3133">
        <v>0.96560000000000001</v>
      </c>
      <c r="K194" s="3133">
        <v>0.96560000000000001</v>
      </c>
      <c r="L194" s="3133">
        <v>0.96560000000000001</v>
      </c>
      <c r="M194" s="3134">
        <v>0.96560000000000001</v>
      </c>
    </row>
    <row r="195" spans="1:13">
      <c r="A195" s="3132">
        <v>1.8</v>
      </c>
      <c r="B195" s="3133">
        <v>1.0674999999999999</v>
      </c>
      <c r="C195" s="3133">
        <v>1.0674999999999999</v>
      </c>
      <c r="D195" s="3133">
        <v>1.0790999999999999</v>
      </c>
      <c r="E195" s="3133">
        <v>1.0790999999999999</v>
      </c>
      <c r="F195" s="3133">
        <v>1.0790999999999999</v>
      </c>
      <c r="G195" s="3133">
        <v>1.0790999999999999</v>
      </c>
      <c r="H195" s="3133">
        <v>1.0790999999999999</v>
      </c>
      <c r="I195" s="3133">
        <v>0.94989999999999997</v>
      </c>
      <c r="J195" s="3133">
        <v>0.94989999999999997</v>
      </c>
      <c r="K195" s="3133">
        <v>0.94989999999999997</v>
      </c>
      <c r="L195" s="3133">
        <v>0.94989999999999997</v>
      </c>
      <c r="M195" s="3134">
        <v>0.94989999999999997</v>
      </c>
    </row>
    <row r="196" spans="1:13">
      <c r="A196" s="3132">
        <v>1.9</v>
      </c>
      <c r="B196" s="3133">
        <v>1.0558000000000001</v>
      </c>
      <c r="C196" s="3133">
        <v>1.0558000000000001</v>
      </c>
      <c r="D196" s="3133">
        <v>1.0654999999999999</v>
      </c>
      <c r="E196" s="3133">
        <v>1.0654999999999999</v>
      </c>
      <c r="F196" s="3133">
        <v>1.0654999999999999</v>
      </c>
      <c r="G196" s="3133">
        <v>1.0654999999999999</v>
      </c>
      <c r="H196" s="3133">
        <v>1.0654999999999999</v>
      </c>
      <c r="I196" s="3133">
        <v>0.93520000000000003</v>
      </c>
      <c r="J196" s="3133">
        <v>0.93520000000000003</v>
      </c>
      <c r="K196" s="3133">
        <v>0.93520000000000003</v>
      </c>
      <c r="L196" s="3133">
        <v>0.93520000000000003</v>
      </c>
      <c r="M196" s="3134">
        <v>0.93520000000000003</v>
      </c>
    </row>
    <row r="197" spans="1:13">
      <c r="A197" s="3132">
        <v>2</v>
      </c>
      <c r="B197" s="3133">
        <v>1.0449999999999999</v>
      </c>
      <c r="C197" s="3133">
        <v>1.0449999999999999</v>
      </c>
      <c r="D197" s="3133">
        <v>1.0528</v>
      </c>
      <c r="E197" s="3133">
        <v>1.0528</v>
      </c>
      <c r="F197" s="3133">
        <v>1.0528</v>
      </c>
      <c r="G197" s="3133">
        <v>1.0528</v>
      </c>
      <c r="H197" s="3133">
        <v>1.0528</v>
      </c>
      <c r="I197" s="3133">
        <v>0.92130000000000001</v>
      </c>
      <c r="J197" s="3133">
        <v>0.92130000000000001</v>
      </c>
      <c r="K197" s="3133">
        <v>0.92130000000000001</v>
      </c>
      <c r="L197" s="3133">
        <v>0.92130000000000001</v>
      </c>
      <c r="M197" s="3134">
        <v>0.92130000000000001</v>
      </c>
    </row>
    <row r="198" spans="1:13">
      <c r="A198" s="3135">
        <v>2.1</v>
      </c>
      <c r="B198" s="3133">
        <v>1.0347999999999999</v>
      </c>
      <c r="C198" s="3133">
        <v>1.0347999999999999</v>
      </c>
      <c r="D198" s="3133">
        <v>1.0407999999999999</v>
      </c>
      <c r="E198" s="3133">
        <v>1.0407999999999999</v>
      </c>
      <c r="F198" s="3133">
        <v>1.0407999999999999</v>
      </c>
      <c r="G198" s="3133">
        <v>1.0407999999999999</v>
      </c>
      <c r="H198" s="3133">
        <v>1.0407999999999999</v>
      </c>
      <c r="I198" s="3133">
        <v>0.90820000000000001</v>
      </c>
      <c r="J198" s="3133">
        <v>0.90820000000000001</v>
      </c>
      <c r="K198" s="3133">
        <v>0.90820000000000001</v>
      </c>
      <c r="L198" s="3133">
        <v>0.90820000000000001</v>
      </c>
      <c r="M198" s="3134">
        <v>0.90820000000000001</v>
      </c>
    </row>
    <row r="199" spans="1:13">
      <c r="A199" s="3135">
        <v>2.2000000000000002</v>
      </c>
      <c r="B199" s="3133">
        <v>1.0251999999999999</v>
      </c>
      <c r="C199" s="3133">
        <v>1.0251999999999999</v>
      </c>
      <c r="D199" s="3133">
        <v>1.0296000000000001</v>
      </c>
      <c r="E199" s="3133">
        <v>1.0296000000000001</v>
      </c>
      <c r="F199" s="3133">
        <v>1.0296000000000001</v>
      </c>
      <c r="G199" s="3133">
        <v>1.0296000000000001</v>
      </c>
      <c r="H199" s="3133">
        <v>1.0296000000000001</v>
      </c>
      <c r="I199" s="3133">
        <v>0.89570000000000005</v>
      </c>
      <c r="J199" s="3133">
        <v>0.89570000000000005</v>
      </c>
      <c r="K199" s="3133">
        <v>0.89570000000000005</v>
      </c>
      <c r="L199" s="3133">
        <v>0.89570000000000005</v>
      </c>
      <c r="M199" s="3134">
        <v>0.89570000000000005</v>
      </c>
    </row>
    <row r="200" spans="1:13">
      <c r="A200" s="3135">
        <v>2.2999999999999998</v>
      </c>
      <c r="B200" s="3133">
        <v>1.0162</v>
      </c>
      <c r="C200" s="3133">
        <v>1.0162</v>
      </c>
      <c r="D200" s="3133">
        <v>1.0190999999999999</v>
      </c>
      <c r="E200" s="3133">
        <v>1.0190999999999999</v>
      </c>
      <c r="F200" s="3133">
        <v>1.0190999999999999</v>
      </c>
      <c r="G200" s="3133">
        <v>1.0190999999999999</v>
      </c>
      <c r="H200" s="3133">
        <v>1.0190999999999999</v>
      </c>
      <c r="I200" s="3133">
        <v>0.88419999999999999</v>
      </c>
      <c r="J200" s="3133">
        <v>0.88419999999999999</v>
      </c>
      <c r="K200" s="3133">
        <v>0.88419999999999999</v>
      </c>
      <c r="L200" s="3133">
        <v>0.88419999999999999</v>
      </c>
      <c r="M200" s="3134">
        <v>0.88419999999999999</v>
      </c>
    </row>
    <row r="201" spans="1:13">
      <c r="A201" s="3135">
        <v>2.4</v>
      </c>
      <c r="B201" s="3133">
        <v>1.0078</v>
      </c>
      <c r="C201" s="3133">
        <v>1.0078</v>
      </c>
      <c r="D201" s="3133">
        <v>1.0092000000000001</v>
      </c>
      <c r="E201" s="3133">
        <v>1.0092000000000001</v>
      </c>
      <c r="F201" s="3133">
        <v>1.0092000000000001</v>
      </c>
      <c r="G201" s="3133">
        <v>1.0092000000000001</v>
      </c>
      <c r="H201" s="3133">
        <v>1.0092000000000001</v>
      </c>
      <c r="I201" s="3133">
        <v>0.87329999999999997</v>
      </c>
      <c r="J201" s="3133">
        <v>0.87329999999999997</v>
      </c>
      <c r="K201" s="3133">
        <v>0.87329999999999997</v>
      </c>
      <c r="L201" s="3133">
        <v>0.87329999999999997</v>
      </c>
      <c r="M201" s="3134">
        <v>0.87329999999999997</v>
      </c>
    </row>
    <row r="202" spans="1:13">
      <c r="A202" s="3135">
        <v>2.5</v>
      </c>
      <c r="B202" s="3133">
        <v>1</v>
      </c>
      <c r="C202" s="3133">
        <v>1</v>
      </c>
      <c r="D202" s="3133">
        <v>1</v>
      </c>
      <c r="E202" s="3133">
        <v>1</v>
      </c>
      <c r="F202" s="3133">
        <v>1</v>
      </c>
      <c r="G202" s="3133">
        <v>1</v>
      </c>
      <c r="H202" s="3133">
        <v>1</v>
      </c>
      <c r="I202" s="3133">
        <v>0.86299999999999999</v>
      </c>
      <c r="J202" s="3133">
        <v>0.86299999999999999</v>
      </c>
      <c r="K202" s="3133">
        <v>0.86299999999999999</v>
      </c>
      <c r="L202" s="3133">
        <v>0.86299999999999999</v>
      </c>
      <c r="M202" s="3134">
        <v>0.86299999999999999</v>
      </c>
    </row>
    <row r="203" spans="1:13">
      <c r="A203" s="3135">
        <v>2.6</v>
      </c>
      <c r="B203" s="3133">
        <v>0.99270000000000003</v>
      </c>
      <c r="C203" s="3133">
        <v>0.99270000000000003</v>
      </c>
      <c r="D203" s="3133">
        <v>0.99139999999999995</v>
      </c>
      <c r="E203" s="3133">
        <v>0.99139999999999995</v>
      </c>
      <c r="F203" s="3133">
        <v>0.99139999999999995</v>
      </c>
      <c r="G203" s="3133">
        <v>0.99139999999999995</v>
      </c>
      <c r="H203" s="3133">
        <v>0.99139999999999995</v>
      </c>
      <c r="I203" s="3133">
        <v>0.85340000000000005</v>
      </c>
      <c r="J203" s="3133">
        <v>0.85340000000000005</v>
      </c>
      <c r="K203" s="3133">
        <v>0.85340000000000005</v>
      </c>
      <c r="L203" s="3133">
        <v>0.85340000000000005</v>
      </c>
      <c r="M203" s="3134">
        <v>0.85340000000000005</v>
      </c>
    </row>
    <row r="204" spans="1:13">
      <c r="A204" s="3135">
        <v>2.7</v>
      </c>
      <c r="B204" s="3133">
        <v>0.98580000000000001</v>
      </c>
      <c r="C204" s="3133">
        <v>0.98580000000000001</v>
      </c>
      <c r="D204" s="3133">
        <v>0.98329999999999995</v>
      </c>
      <c r="E204" s="3133">
        <v>0.98329999999999995</v>
      </c>
      <c r="F204" s="3133">
        <v>0.98329999999999995</v>
      </c>
      <c r="G204" s="3133">
        <v>0.98329999999999995</v>
      </c>
      <c r="H204" s="3133">
        <v>0.98329999999999995</v>
      </c>
      <c r="I204" s="3133">
        <v>0.84440000000000004</v>
      </c>
      <c r="J204" s="3133">
        <v>0.84440000000000004</v>
      </c>
      <c r="K204" s="3133">
        <v>0.84440000000000004</v>
      </c>
      <c r="L204" s="3133">
        <v>0.84440000000000004</v>
      </c>
      <c r="M204" s="3134">
        <v>0.84440000000000004</v>
      </c>
    </row>
    <row r="205" spans="1:13">
      <c r="A205" s="3135">
        <v>2.8</v>
      </c>
      <c r="B205" s="3133">
        <v>0.97940000000000005</v>
      </c>
      <c r="C205" s="3133">
        <v>0.97940000000000005</v>
      </c>
      <c r="D205" s="3133">
        <v>0.97570000000000001</v>
      </c>
      <c r="E205" s="3133">
        <v>0.97570000000000001</v>
      </c>
      <c r="F205" s="3133">
        <v>0.97570000000000001</v>
      </c>
      <c r="G205" s="3133">
        <v>0.97570000000000001</v>
      </c>
      <c r="H205" s="3133">
        <v>0.97570000000000001</v>
      </c>
      <c r="I205" s="3133">
        <v>0.83599999999999997</v>
      </c>
      <c r="J205" s="3133">
        <v>0.83599999999999997</v>
      </c>
      <c r="K205" s="3133">
        <v>0.83599999999999997</v>
      </c>
      <c r="L205" s="3133">
        <v>0.83599999999999997</v>
      </c>
      <c r="M205" s="3134">
        <v>0.83599999999999997</v>
      </c>
    </row>
    <row r="206" spans="1:13">
      <c r="A206" s="3135">
        <v>2.9</v>
      </c>
      <c r="B206" s="3133">
        <v>0.97350000000000003</v>
      </c>
      <c r="C206" s="3133">
        <v>0.97350000000000003</v>
      </c>
      <c r="D206" s="3133">
        <v>0.96870000000000001</v>
      </c>
      <c r="E206" s="3133">
        <v>0.96870000000000001</v>
      </c>
      <c r="F206" s="3133">
        <v>0.96870000000000001</v>
      </c>
      <c r="G206" s="3133">
        <v>0.96870000000000001</v>
      </c>
      <c r="H206" s="3133">
        <v>0.96870000000000001</v>
      </c>
      <c r="I206" s="3133">
        <v>0.82820000000000005</v>
      </c>
      <c r="J206" s="3133">
        <v>0.82820000000000005</v>
      </c>
      <c r="K206" s="3133">
        <v>0.82820000000000005</v>
      </c>
      <c r="L206" s="3133">
        <v>0.82820000000000005</v>
      </c>
      <c r="M206" s="3134">
        <v>0.82820000000000005</v>
      </c>
    </row>
    <row r="207" spans="1:13">
      <c r="A207" s="3135">
        <v>3</v>
      </c>
      <c r="B207" s="3133">
        <v>0.96789999999999998</v>
      </c>
      <c r="C207" s="3133">
        <v>0.96789999999999998</v>
      </c>
      <c r="D207" s="3133">
        <v>0.96209999999999996</v>
      </c>
      <c r="E207" s="3133">
        <v>0.96209999999999996</v>
      </c>
      <c r="F207" s="3133">
        <v>0.96209999999999996</v>
      </c>
      <c r="G207" s="3133">
        <v>0.96209999999999996</v>
      </c>
      <c r="H207" s="3133">
        <v>0.96209999999999996</v>
      </c>
      <c r="I207" s="3133">
        <v>0.82079999999999997</v>
      </c>
      <c r="J207" s="3133">
        <v>0.82079999999999997</v>
      </c>
      <c r="K207" s="3133">
        <v>0.82079999999999997</v>
      </c>
      <c r="L207" s="3133">
        <v>0.82079999999999997</v>
      </c>
      <c r="M207" s="3134">
        <v>0.82079999999999997</v>
      </c>
    </row>
    <row r="208" spans="1:13">
      <c r="A208" s="3135">
        <v>3.1</v>
      </c>
      <c r="B208" s="3133">
        <v>0.9627</v>
      </c>
      <c r="C208" s="3133">
        <v>0.9627</v>
      </c>
      <c r="D208" s="3133">
        <v>0.95589999999999997</v>
      </c>
      <c r="E208" s="3133">
        <v>0.95589999999999997</v>
      </c>
      <c r="F208" s="3133">
        <v>0.95589999999999997</v>
      </c>
      <c r="G208" s="3133">
        <v>0.95589999999999997</v>
      </c>
      <c r="H208" s="3133">
        <v>0.95589999999999997</v>
      </c>
      <c r="I208" s="3133">
        <v>0.81389999999999996</v>
      </c>
      <c r="J208" s="3133">
        <v>0.81389999999999996</v>
      </c>
      <c r="K208" s="3133">
        <v>0.81389999999999996</v>
      </c>
      <c r="L208" s="3133">
        <v>0.81389999999999996</v>
      </c>
      <c r="M208" s="3134">
        <v>0.81389999999999996</v>
      </c>
    </row>
    <row r="209" spans="1:13">
      <c r="A209" s="3135">
        <v>3.2</v>
      </c>
      <c r="B209" s="3133">
        <v>0.95789999999999997</v>
      </c>
      <c r="C209" s="3133">
        <v>0.95789999999999997</v>
      </c>
      <c r="D209" s="3133">
        <v>0.95020000000000004</v>
      </c>
      <c r="E209" s="3133">
        <v>0.95020000000000004</v>
      </c>
      <c r="F209" s="3133">
        <v>0.95020000000000004</v>
      </c>
      <c r="G209" s="3133">
        <v>0.95020000000000004</v>
      </c>
      <c r="H209" s="3133">
        <v>0.95020000000000004</v>
      </c>
      <c r="I209" s="3133">
        <v>0.8075</v>
      </c>
      <c r="J209" s="3133">
        <v>0.8075</v>
      </c>
      <c r="K209" s="3133">
        <v>0.8075</v>
      </c>
      <c r="L209" s="3133">
        <v>0.8075</v>
      </c>
      <c r="M209" s="3134">
        <v>0.8075</v>
      </c>
    </row>
    <row r="210" spans="1:13">
      <c r="A210" s="3135">
        <v>3.3</v>
      </c>
      <c r="B210" s="3133">
        <v>0.95340000000000003</v>
      </c>
      <c r="C210" s="3133">
        <v>0.95340000000000003</v>
      </c>
      <c r="D210" s="3133">
        <v>0.94479999999999997</v>
      </c>
      <c r="E210" s="3133">
        <v>0.94479999999999997</v>
      </c>
      <c r="F210" s="3133">
        <v>0.94479999999999997</v>
      </c>
      <c r="G210" s="3133">
        <v>0.94479999999999997</v>
      </c>
      <c r="H210" s="3133">
        <v>0.94479999999999997</v>
      </c>
      <c r="I210" s="3133">
        <v>0.80149999999999999</v>
      </c>
      <c r="J210" s="3133">
        <v>0.80149999999999999</v>
      </c>
      <c r="K210" s="3133">
        <v>0.80149999999999999</v>
      </c>
      <c r="L210" s="3133">
        <v>0.80149999999999999</v>
      </c>
      <c r="M210" s="3134">
        <v>0.80149999999999999</v>
      </c>
    </row>
    <row r="211" spans="1:13">
      <c r="A211" s="3135">
        <v>3.4</v>
      </c>
      <c r="B211" s="3133">
        <v>0.94920000000000004</v>
      </c>
      <c r="C211" s="3133">
        <v>0.94920000000000004</v>
      </c>
      <c r="D211" s="3133">
        <v>0.93989999999999996</v>
      </c>
      <c r="E211" s="3133">
        <v>0.93989999999999996</v>
      </c>
      <c r="F211" s="3133">
        <v>0.93989999999999996</v>
      </c>
      <c r="G211" s="3133">
        <v>0.93989999999999996</v>
      </c>
      <c r="H211" s="3133">
        <v>0.93989999999999996</v>
      </c>
      <c r="I211" s="3133">
        <v>0.79590000000000005</v>
      </c>
      <c r="J211" s="3133">
        <v>0.79590000000000005</v>
      </c>
      <c r="K211" s="3133">
        <v>0.79590000000000005</v>
      </c>
      <c r="L211" s="3133">
        <v>0.79590000000000005</v>
      </c>
      <c r="M211" s="3134">
        <v>0.79590000000000005</v>
      </c>
    </row>
    <row r="212" spans="1:13">
      <c r="A212" s="3135">
        <v>3.5</v>
      </c>
      <c r="B212" s="3133">
        <v>0.94540000000000002</v>
      </c>
      <c r="C212" s="3133">
        <v>0.94540000000000002</v>
      </c>
      <c r="D212" s="3133">
        <v>0.93520000000000003</v>
      </c>
      <c r="E212" s="3133">
        <v>0.93520000000000003</v>
      </c>
      <c r="F212" s="3133">
        <v>0.93520000000000003</v>
      </c>
      <c r="G212" s="3133">
        <v>0.93520000000000003</v>
      </c>
      <c r="H212" s="3133">
        <v>0.93520000000000003</v>
      </c>
      <c r="I212" s="3133">
        <v>0.79059999999999997</v>
      </c>
      <c r="J212" s="3133">
        <v>0.79059999999999997</v>
      </c>
      <c r="K212" s="3133">
        <v>0.79059999999999997</v>
      </c>
      <c r="L212" s="3133">
        <v>0.79059999999999997</v>
      </c>
      <c r="M212" s="3134">
        <v>0.79059999999999997</v>
      </c>
    </row>
    <row r="213" spans="1:13">
      <c r="A213" s="3135">
        <v>3.6</v>
      </c>
      <c r="B213" s="3133">
        <v>0.94179999999999997</v>
      </c>
      <c r="C213" s="3133">
        <v>0.94179999999999997</v>
      </c>
      <c r="D213" s="3133">
        <v>0.93089999999999995</v>
      </c>
      <c r="E213" s="3133">
        <v>0.93089999999999995</v>
      </c>
      <c r="F213" s="3133">
        <v>0.93089999999999995</v>
      </c>
      <c r="G213" s="3133">
        <v>0.93089999999999995</v>
      </c>
      <c r="H213" s="3133">
        <v>0.93089999999999995</v>
      </c>
      <c r="I213" s="3133">
        <v>0.78569999999999995</v>
      </c>
      <c r="J213" s="3133">
        <v>0.78569999999999995</v>
      </c>
      <c r="K213" s="3133">
        <v>0.78569999999999995</v>
      </c>
      <c r="L213" s="3133">
        <v>0.78569999999999995</v>
      </c>
      <c r="M213" s="3134">
        <v>0.78569999999999995</v>
      </c>
    </row>
    <row r="214" spans="1:13">
      <c r="A214" s="3135">
        <v>3.7</v>
      </c>
      <c r="B214" s="3133">
        <v>0.93840000000000001</v>
      </c>
      <c r="C214" s="3133">
        <v>0.93840000000000001</v>
      </c>
      <c r="D214" s="3133">
        <v>0.92689999999999995</v>
      </c>
      <c r="E214" s="3133">
        <v>0.92689999999999995</v>
      </c>
      <c r="F214" s="3133">
        <v>0.92689999999999995</v>
      </c>
      <c r="G214" s="3133">
        <v>0.92689999999999995</v>
      </c>
      <c r="H214" s="3133">
        <v>0.92689999999999995</v>
      </c>
      <c r="I214" s="3133">
        <v>0.78110000000000002</v>
      </c>
      <c r="J214" s="3133">
        <v>0.78110000000000002</v>
      </c>
      <c r="K214" s="3133">
        <v>0.78110000000000002</v>
      </c>
      <c r="L214" s="3133">
        <v>0.78110000000000002</v>
      </c>
      <c r="M214" s="3134">
        <v>0.78110000000000002</v>
      </c>
    </row>
    <row r="215" spans="1:13">
      <c r="A215" s="3135">
        <v>3.8</v>
      </c>
      <c r="B215" s="3133">
        <v>0.93530000000000002</v>
      </c>
      <c r="C215" s="3133">
        <v>0.93530000000000002</v>
      </c>
      <c r="D215" s="3133">
        <v>0.92310000000000003</v>
      </c>
      <c r="E215" s="3133">
        <v>0.92310000000000003</v>
      </c>
      <c r="F215" s="3133">
        <v>0.92310000000000003</v>
      </c>
      <c r="G215" s="3133">
        <v>0.92310000000000003</v>
      </c>
      <c r="H215" s="3133">
        <v>0.92310000000000003</v>
      </c>
      <c r="I215" s="3133">
        <v>0.77680000000000005</v>
      </c>
      <c r="J215" s="3133">
        <v>0.77680000000000005</v>
      </c>
      <c r="K215" s="3133">
        <v>0.77680000000000005</v>
      </c>
      <c r="L215" s="3133">
        <v>0.77680000000000005</v>
      </c>
      <c r="M215" s="3134">
        <v>0.77680000000000005</v>
      </c>
    </row>
    <row r="216" spans="1:13">
      <c r="A216" s="3135">
        <v>3.9</v>
      </c>
      <c r="B216" s="3133">
        <v>0.93240000000000001</v>
      </c>
      <c r="C216" s="3133">
        <v>0.93240000000000001</v>
      </c>
      <c r="D216" s="3133">
        <v>0.91959999999999997</v>
      </c>
      <c r="E216" s="3133">
        <v>0.91959999999999997</v>
      </c>
      <c r="F216" s="3133">
        <v>0.91959999999999997</v>
      </c>
      <c r="G216" s="3133">
        <v>0.91959999999999997</v>
      </c>
      <c r="H216" s="3133">
        <v>0.91959999999999997</v>
      </c>
      <c r="I216" s="3133">
        <v>0.77270000000000005</v>
      </c>
      <c r="J216" s="3133">
        <v>0.77270000000000005</v>
      </c>
      <c r="K216" s="3133">
        <v>0.77270000000000005</v>
      </c>
      <c r="L216" s="3133">
        <v>0.77270000000000005</v>
      </c>
      <c r="M216" s="3134">
        <v>0.77270000000000005</v>
      </c>
    </row>
    <row r="217" spans="1:13">
      <c r="A217" s="3135">
        <v>4</v>
      </c>
      <c r="B217" s="3133">
        <v>0.92969999999999997</v>
      </c>
      <c r="C217" s="3133">
        <v>0.92969999999999997</v>
      </c>
      <c r="D217" s="3133">
        <v>0.9163</v>
      </c>
      <c r="E217" s="3133">
        <v>0.9163</v>
      </c>
      <c r="F217" s="3133">
        <v>0.9163</v>
      </c>
      <c r="G217" s="3133">
        <v>0.9163</v>
      </c>
      <c r="H217" s="3133">
        <v>0.9163</v>
      </c>
      <c r="I217" s="3133">
        <v>0.76880000000000004</v>
      </c>
      <c r="J217" s="3133">
        <v>0.76880000000000004</v>
      </c>
      <c r="K217" s="3133">
        <v>0.76880000000000004</v>
      </c>
      <c r="L217" s="3133">
        <v>0.76880000000000004</v>
      </c>
      <c r="M217" s="3134">
        <v>0.76880000000000004</v>
      </c>
    </row>
    <row r="218" spans="1:13">
      <c r="A218" s="3135">
        <v>4.0999999999999996</v>
      </c>
      <c r="B218" s="3133">
        <v>0.92720000000000002</v>
      </c>
      <c r="C218" s="3133">
        <v>0.92720000000000002</v>
      </c>
      <c r="D218" s="3133">
        <v>0.91320000000000001</v>
      </c>
      <c r="E218" s="3133">
        <v>0.91320000000000001</v>
      </c>
      <c r="F218" s="3133">
        <v>0.91320000000000001</v>
      </c>
      <c r="G218" s="3133">
        <v>0.91320000000000001</v>
      </c>
      <c r="H218" s="3133">
        <v>0.91320000000000001</v>
      </c>
      <c r="I218" s="3133">
        <v>0.7651</v>
      </c>
      <c r="J218" s="3133">
        <v>0.7651</v>
      </c>
      <c r="K218" s="3133">
        <v>0.7651</v>
      </c>
      <c r="L218" s="3133">
        <v>0.7651</v>
      </c>
      <c r="M218" s="3134">
        <v>0.7651</v>
      </c>
    </row>
    <row r="219" spans="1:13">
      <c r="A219" s="3135">
        <v>4.2</v>
      </c>
      <c r="B219" s="3133">
        <v>0.92479999999999996</v>
      </c>
      <c r="C219" s="3133">
        <v>0.92479999999999996</v>
      </c>
      <c r="D219" s="3133">
        <v>0.91020000000000001</v>
      </c>
      <c r="E219" s="3133">
        <v>0.91020000000000001</v>
      </c>
      <c r="F219" s="3133">
        <v>0.91020000000000001</v>
      </c>
      <c r="G219" s="3133">
        <v>0.91020000000000001</v>
      </c>
      <c r="H219" s="3133">
        <v>0.91020000000000001</v>
      </c>
      <c r="I219" s="3133">
        <v>0.76149999999999995</v>
      </c>
      <c r="J219" s="3133">
        <v>0.76149999999999995</v>
      </c>
      <c r="K219" s="3133">
        <v>0.76149999999999995</v>
      </c>
      <c r="L219" s="3133">
        <v>0.76149999999999995</v>
      </c>
      <c r="M219" s="3134">
        <v>0.76149999999999995</v>
      </c>
    </row>
    <row r="220" spans="1:13">
      <c r="A220" s="3135">
        <v>4.3</v>
      </c>
      <c r="B220" s="3133">
        <v>0.92249999999999999</v>
      </c>
      <c r="C220" s="3133">
        <v>0.92249999999999999</v>
      </c>
      <c r="D220" s="3133">
        <v>0.9073</v>
      </c>
      <c r="E220" s="3133">
        <v>0.9073</v>
      </c>
      <c r="F220" s="3133">
        <v>0.9073</v>
      </c>
      <c r="G220" s="3133">
        <v>0.9073</v>
      </c>
      <c r="H220" s="3133">
        <v>0.9073</v>
      </c>
      <c r="I220" s="3133">
        <v>0.75800000000000001</v>
      </c>
      <c r="J220" s="3133">
        <v>0.75800000000000001</v>
      </c>
      <c r="K220" s="3133">
        <v>0.75800000000000001</v>
      </c>
      <c r="L220" s="3133">
        <v>0.75800000000000001</v>
      </c>
      <c r="M220" s="3134">
        <v>0.75800000000000001</v>
      </c>
    </row>
    <row r="221" spans="1:13">
      <c r="A221" s="3135">
        <v>4.4000000000000004</v>
      </c>
      <c r="B221" s="3133">
        <v>0.92030000000000001</v>
      </c>
      <c r="C221" s="3133">
        <v>0.92030000000000001</v>
      </c>
      <c r="D221" s="3133">
        <v>0.90449999999999997</v>
      </c>
      <c r="E221" s="3133">
        <v>0.90449999999999997</v>
      </c>
      <c r="F221" s="3133">
        <v>0.90449999999999997</v>
      </c>
      <c r="G221" s="3133">
        <v>0.90449999999999997</v>
      </c>
      <c r="H221" s="3133">
        <v>0.90449999999999997</v>
      </c>
      <c r="I221" s="3133">
        <v>0.75460000000000005</v>
      </c>
      <c r="J221" s="3133">
        <v>0.75460000000000005</v>
      </c>
      <c r="K221" s="3133">
        <v>0.75460000000000005</v>
      </c>
      <c r="L221" s="3133">
        <v>0.75460000000000005</v>
      </c>
      <c r="M221" s="3134">
        <v>0.75460000000000005</v>
      </c>
    </row>
    <row r="222" spans="1:13">
      <c r="A222" s="3135">
        <v>4.5</v>
      </c>
      <c r="B222" s="3133">
        <v>0.91810000000000003</v>
      </c>
      <c r="C222" s="3133">
        <v>0.91810000000000003</v>
      </c>
      <c r="D222" s="3133">
        <v>0.90180000000000005</v>
      </c>
      <c r="E222" s="3133">
        <v>0.90180000000000005</v>
      </c>
      <c r="F222" s="3133">
        <v>0.90180000000000005</v>
      </c>
      <c r="G222" s="3133">
        <v>0.90180000000000005</v>
      </c>
      <c r="H222" s="3133">
        <v>0.90180000000000005</v>
      </c>
      <c r="I222" s="3133">
        <v>0.75129999999999997</v>
      </c>
      <c r="J222" s="3133">
        <v>0.75129999999999997</v>
      </c>
      <c r="K222" s="3133">
        <v>0.75129999999999997</v>
      </c>
      <c r="L222" s="3133">
        <v>0.75129999999999997</v>
      </c>
      <c r="M222" s="3134">
        <v>0.75129999999999997</v>
      </c>
    </row>
    <row r="223" spans="1:13">
      <c r="A223" s="3135">
        <v>4.5999999999999996</v>
      </c>
      <c r="B223" s="3133">
        <v>0.91600000000000004</v>
      </c>
      <c r="C223" s="3133">
        <v>0.91600000000000004</v>
      </c>
      <c r="D223" s="3133">
        <v>0.8992</v>
      </c>
      <c r="E223" s="3133">
        <v>0.8992</v>
      </c>
      <c r="F223" s="3133">
        <v>0.8992</v>
      </c>
      <c r="G223" s="3133">
        <v>0.8992</v>
      </c>
      <c r="H223" s="3133">
        <v>0.8992</v>
      </c>
      <c r="I223" s="3133">
        <v>0.748</v>
      </c>
      <c r="J223" s="3133">
        <v>0.748</v>
      </c>
      <c r="K223" s="3133">
        <v>0.748</v>
      </c>
      <c r="L223" s="3133">
        <v>0.748</v>
      </c>
      <c r="M223" s="3134">
        <v>0.748</v>
      </c>
    </row>
    <row r="224" spans="1:13">
      <c r="A224" s="3135">
        <v>4.7</v>
      </c>
      <c r="B224" s="3133">
        <v>0.91390000000000005</v>
      </c>
      <c r="C224" s="3133">
        <v>0.91390000000000005</v>
      </c>
      <c r="D224" s="3133">
        <v>0.89659999999999995</v>
      </c>
      <c r="E224" s="3133">
        <v>0.89659999999999995</v>
      </c>
      <c r="F224" s="3133">
        <v>0.89659999999999995</v>
      </c>
      <c r="G224" s="3133">
        <v>0.89659999999999995</v>
      </c>
      <c r="H224" s="3133">
        <v>0.89659999999999995</v>
      </c>
      <c r="I224" s="3133">
        <v>0.74480000000000002</v>
      </c>
      <c r="J224" s="3133">
        <v>0.74480000000000002</v>
      </c>
      <c r="K224" s="3133">
        <v>0.74480000000000002</v>
      </c>
      <c r="L224" s="3133">
        <v>0.74480000000000002</v>
      </c>
      <c r="M224" s="3134">
        <v>0.74480000000000002</v>
      </c>
    </row>
    <row r="225" spans="1:13">
      <c r="A225" s="3135">
        <v>4.8</v>
      </c>
      <c r="B225" s="3133">
        <v>0.91180000000000005</v>
      </c>
      <c r="C225" s="3133">
        <v>0.91180000000000005</v>
      </c>
      <c r="D225" s="3133">
        <v>0.89410000000000001</v>
      </c>
      <c r="E225" s="3133">
        <v>0.89410000000000001</v>
      </c>
      <c r="F225" s="3133">
        <v>0.89410000000000001</v>
      </c>
      <c r="G225" s="3133">
        <v>0.89410000000000001</v>
      </c>
      <c r="H225" s="3133">
        <v>0.89410000000000001</v>
      </c>
      <c r="I225" s="3133">
        <v>0.74160000000000004</v>
      </c>
      <c r="J225" s="3133">
        <v>0.74160000000000004</v>
      </c>
      <c r="K225" s="3133">
        <v>0.74160000000000004</v>
      </c>
      <c r="L225" s="3133">
        <v>0.74160000000000004</v>
      </c>
      <c r="M225" s="3134">
        <v>0.74160000000000004</v>
      </c>
    </row>
    <row r="226" spans="1:13">
      <c r="A226" s="3135">
        <v>4.9000000000000004</v>
      </c>
      <c r="B226" s="3133">
        <v>0.90980000000000005</v>
      </c>
      <c r="C226" s="3133">
        <v>0.90980000000000005</v>
      </c>
      <c r="D226" s="3133">
        <v>0.89159999999999995</v>
      </c>
      <c r="E226" s="3133">
        <v>0.89159999999999995</v>
      </c>
      <c r="F226" s="3133">
        <v>0.89159999999999995</v>
      </c>
      <c r="G226" s="3133">
        <v>0.89159999999999995</v>
      </c>
      <c r="H226" s="3133">
        <v>0.89159999999999995</v>
      </c>
      <c r="I226" s="3133">
        <v>0.73839999999999995</v>
      </c>
      <c r="J226" s="3133">
        <v>0.73839999999999995</v>
      </c>
      <c r="K226" s="3133">
        <v>0.73839999999999995</v>
      </c>
      <c r="L226" s="3133">
        <v>0.73839999999999995</v>
      </c>
      <c r="M226" s="3134">
        <v>0.73839999999999995</v>
      </c>
    </row>
    <row r="227" spans="1:13">
      <c r="A227" s="3135">
        <v>5</v>
      </c>
      <c r="B227" s="3133">
        <v>0.90780000000000005</v>
      </c>
      <c r="C227" s="3133">
        <v>0.90780000000000005</v>
      </c>
      <c r="D227" s="3133">
        <v>0.8891</v>
      </c>
      <c r="E227" s="3133">
        <v>0.8891</v>
      </c>
      <c r="F227" s="3133">
        <v>0.8891</v>
      </c>
      <c r="G227" s="3133">
        <v>0.8891</v>
      </c>
      <c r="H227" s="3133">
        <v>0.8891</v>
      </c>
      <c r="I227" s="3133">
        <v>0.73529999999999995</v>
      </c>
      <c r="J227" s="3133">
        <v>0.73529999999999995</v>
      </c>
      <c r="K227" s="3133">
        <v>0.73529999999999995</v>
      </c>
      <c r="L227" s="3133">
        <v>0.73529999999999995</v>
      </c>
      <c r="M227" s="3134">
        <v>0.73529999999999995</v>
      </c>
    </row>
    <row r="228" spans="1:13">
      <c r="A228" s="3132">
        <v>5.0999999999999996</v>
      </c>
      <c r="B228" s="3133">
        <v>0.90580000000000005</v>
      </c>
      <c r="C228" s="3133">
        <v>0.90580000000000005</v>
      </c>
      <c r="D228" s="3133">
        <v>0.88670000000000004</v>
      </c>
      <c r="E228" s="3133">
        <v>0.88670000000000004</v>
      </c>
      <c r="F228" s="3133">
        <v>0.88670000000000004</v>
      </c>
      <c r="G228" s="3133">
        <v>0.88670000000000004</v>
      </c>
      <c r="H228" s="3133">
        <v>0.88670000000000004</v>
      </c>
      <c r="I228" s="3133">
        <v>0.73219999999999996</v>
      </c>
      <c r="J228" s="3133">
        <v>0.73219999999999996</v>
      </c>
      <c r="K228" s="3133">
        <v>0.73219999999999996</v>
      </c>
      <c r="L228" s="3133">
        <v>0.73219999999999996</v>
      </c>
      <c r="M228" s="3134">
        <v>0.73219999999999996</v>
      </c>
    </row>
    <row r="229" spans="1:13">
      <c r="A229" s="3132">
        <v>5.2</v>
      </c>
      <c r="B229" s="3133">
        <v>0.90380000000000005</v>
      </c>
      <c r="C229" s="3133">
        <v>0.90380000000000005</v>
      </c>
      <c r="D229" s="3133">
        <v>0.88429999999999997</v>
      </c>
      <c r="E229" s="3133">
        <v>0.88429999999999997</v>
      </c>
      <c r="F229" s="3133">
        <v>0.88429999999999997</v>
      </c>
      <c r="G229" s="3133">
        <v>0.88429999999999997</v>
      </c>
      <c r="H229" s="3133">
        <v>0.88429999999999997</v>
      </c>
      <c r="I229" s="3133">
        <v>0.72909999999999997</v>
      </c>
      <c r="J229" s="3133">
        <v>0.72909999999999997</v>
      </c>
      <c r="K229" s="3133">
        <v>0.72909999999999997</v>
      </c>
      <c r="L229" s="3133">
        <v>0.72909999999999997</v>
      </c>
      <c r="M229" s="3134">
        <v>0.72909999999999997</v>
      </c>
    </row>
    <row r="230" spans="1:13">
      <c r="A230" s="3132">
        <v>5.3</v>
      </c>
      <c r="B230" s="3133">
        <v>0.90190000000000003</v>
      </c>
      <c r="C230" s="3133">
        <v>0.90190000000000003</v>
      </c>
      <c r="D230" s="3133">
        <v>0.88190000000000002</v>
      </c>
      <c r="E230" s="3133">
        <v>0.88190000000000002</v>
      </c>
      <c r="F230" s="3133">
        <v>0.88190000000000002</v>
      </c>
      <c r="G230" s="3133">
        <v>0.88190000000000002</v>
      </c>
      <c r="H230" s="3133">
        <v>0.88190000000000002</v>
      </c>
      <c r="I230" s="3133">
        <v>0.72609999999999997</v>
      </c>
      <c r="J230" s="3133">
        <v>0.72609999999999997</v>
      </c>
      <c r="K230" s="3133">
        <v>0.72609999999999997</v>
      </c>
      <c r="L230" s="3133">
        <v>0.72609999999999997</v>
      </c>
      <c r="M230" s="3134">
        <v>0.72609999999999997</v>
      </c>
    </row>
    <row r="231" spans="1:13">
      <c r="A231" s="3132">
        <v>5.4</v>
      </c>
      <c r="B231" s="3133">
        <v>0.9</v>
      </c>
      <c r="C231" s="3133">
        <v>0.9</v>
      </c>
      <c r="D231" s="3133">
        <v>0.87949999999999995</v>
      </c>
      <c r="E231" s="3133">
        <v>0.87949999999999995</v>
      </c>
      <c r="F231" s="3133">
        <v>0.87949999999999995</v>
      </c>
      <c r="G231" s="3133">
        <v>0.87949999999999995</v>
      </c>
      <c r="H231" s="3133">
        <v>0.87949999999999995</v>
      </c>
      <c r="I231" s="3133">
        <v>0.72309999999999997</v>
      </c>
      <c r="J231" s="3133">
        <v>0.72309999999999997</v>
      </c>
      <c r="K231" s="3133">
        <v>0.72309999999999997</v>
      </c>
      <c r="L231" s="3133">
        <v>0.72309999999999997</v>
      </c>
      <c r="M231" s="3134">
        <v>0.72309999999999997</v>
      </c>
    </row>
    <row r="232" spans="1:13">
      <c r="A232" s="3132">
        <v>5.5</v>
      </c>
      <c r="B232" s="3133">
        <v>0.89810000000000001</v>
      </c>
      <c r="C232" s="3133">
        <v>0.89810000000000001</v>
      </c>
      <c r="D232" s="3133">
        <v>0.87719999999999998</v>
      </c>
      <c r="E232" s="3133">
        <v>0.87719999999999998</v>
      </c>
      <c r="F232" s="3133">
        <v>0.87719999999999998</v>
      </c>
      <c r="G232" s="3133">
        <v>0.87719999999999998</v>
      </c>
      <c r="H232" s="3133">
        <v>0.87719999999999998</v>
      </c>
      <c r="I232" s="3133">
        <v>0.72009999999999996</v>
      </c>
      <c r="J232" s="3133">
        <v>0.72009999999999996</v>
      </c>
      <c r="K232" s="3133">
        <v>0.72009999999999996</v>
      </c>
      <c r="L232" s="3133">
        <v>0.72009999999999996</v>
      </c>
      <c r="M232" s="3134">
        <v>0.72009999999999996</v>
      </c>
    </row>
    <row r="233" spans="1:13">
      <c r="A233" s="3132">
        <v>5.6</v>
      </c>
      <c r="B233" s="3133">
        <v>0.8962</v>
      </c>
      <c r="C233" s="3133">
        <v>0.8962</v>
      </c>
      <c r="D233" s="3133">
        <v>0.87490000000000001</v>
      </c>
      <c r="E233" s="3133">
        <v>0.87490000000000001</v>
      </c>
      <c r="F233" s="3133">
        <v>0.87490000000000001</v>
      </c>
      <c r="G233" s="3133">
        <v>0.87490000000000001</v>
      </c>
      <c r="H233" s="3133">
        <v>0.87490000000000001</v>
      </c>
      <c r="I233" s="3133">
        <v>0.71709999999999996</v>
      </c>
      <c r="J233" s="3133">
        <v>0.71709999999999996</v>
      </c>
      <c r="K233" s="3133">
        <v>0.71709999999999996</v>
      </c>
      <c r="L233" s="3133">
        <v>0.71709999999999996</v>
      </c>
      <c r="M233" s="3134">
        <v>0.71709999999999996</v>
      </c>
    </row>
    <row r="234" spans="1:13">
      <c r="A234" s="3135">
        <v>5.7</v>
      </c>
      <c r="B234" s="3133">
        <v>0.89429999999999998</v>
      </c>
      <c r="C234" s="3133">
        <v>0.89429999999999998</v>
      </c>
      <c r="D234" s="3133">
        <v>0.87260000000000004</v>
      </c>
      <c r="E234" s="3133">
        <v>0.87260000000000004</v>
      </c>
      <c r="F234" s="3133">
        <v>0.87260000000000004</v>
      </c>
      <c r="G234" s="3133">
        <v>0.87260000000000004</v>
      </c>
      <c r="H234" s="3133">
        <v>0.87260000000000004</v>
      </c>
      <c r="I234" s="3133">
        <v>0.71419999999999995</v>
      </c>
      <c r="J234" s="3133">
        <v>0.71419999999999995</v>
      </c>
      <c r="K234" s="3133">
        <v>0.71419999999999995</v>
      </c>
      <c r="L234" s="3133">
        <v>0.71419999999999995</v>
      </c>
      <c r="M234" s="3134">
        <v>0.71419999999999995</v>
      </c>
    </row>
    <row r="235" spans="1:13">
      <c r="A235" s="3132">
        <v>5.8</v>
      </c>
      <c r="B235" s="3133">
        <v>0.89249999999999996</v>
      </c>
      <c r="C235" s="3133">
        <v>0.89249999999999996</v>
      </c>
      <c r="D235" s="3133">
        <v>0.87029999999999996</v>
      </c>
      <c r="E235" s="3133">
        <v>0.87029999999999996</v>
      </c>
      <c r="F235" s="3133">
        <v>0.87029999999999996</v>
      </c>
      <c r="G235" s="3133">
        <v>0.87029999999999996</v>
      </c>
      <c r="H235" s="3133">
        <v>0.87029999999999996</v>
      </c>
      <c r="I235" s="3133">
        <v>0.71130000000000004</v>
      </c>
      <c r="J235" s="3133">
        <v>0.71130000000000004</v>
      </c>
      <c r="K235" s="3133">
        <v>0.71130000000000004</v>
      </c>
      <c r="L235" s="3133">
        <v>0.71130000000000004</v>
      </c>
      <c r="M235" s="3134">
        <v>0.71130000000000004</v>
      </c>
    </row>
    <row r="236" spans="1:13">
      <c r="A236" s="3132">
        <v>5.9</v>
      </c>
      <c r="B236" s="3133">
        <v>0.89070000000000005</v>
      </c>
      <c r="C236" s="3133">
        <v>0.89070000000000005</v>
      </c>
      <c r="D236" s="3133">
        <v>0.86799999999999999</v>
      </c>
      <c r="E236" s="3133">
        <v>0.86799999999999999</v>
      </c>
      <c r="F236" s="3133">
        <v>0.86799999999999999</v>
      </c>
      <c r="G236" s="3133">
        <v>0.86799999999999999</v>
      </c>
      <c r="H236" s="3133">
        <v>0.86799999999999999</v>
      </c>
      <c r="I236" s="3133">
        <v>0.70840000000000003</v>
      </c>
      <c r="J236" s="3133">
        <v>0.70840000000000003</v>
      </c>
      <c r="K236" s="3133">
        <v>0.70840000000000003</v>
      </c>
      <c r="L236" s="3133">
        <v>0.70840000000000003</v>
      </c>
      <c r="M236" s="3134">
        <v>0.70840000000000003</v>
      </c>
    </row>
    <row r="237" spans="1:13">
      <c r="A237" s="3132">
        <v>6</v>
      </c>
      <c r="B237" s="3133">
        <v>0.88890000000000002</v>
      </c>
      <c r="C237" s="3133">
        <v>0.88890000000000002</v>
      </c>
      <c r="D237" s="3133">
        <v>0.86580000000000001</v>
      </c>
      <c r="E237" s="3133">
        <v>0.86580000000000001</v>
      </c>
      <c r="F237" s="3133">
        <v>0.86580000000000001</v>
      </c>
      <c r="G237" s="3133">
        <v>0.86580000000000001</v>
      </c>
      <c r="H237" s="3133">
        <v>0.86580000000000001</v>
      </c>
      <c r="I237" s="3133">
        <v>0.70550000000000002</v>
      </c>
      <c r="J237" s="3133">
        <v>0.70550000000000002</v>
      </c>
      <c r="K237" s="3133">
        <v>0.70550000000000002</v>
      </c>
      <c r="L237" s="3133">
        <v>0.70550000000000002</v>
      </c>
      <c r="M237" s="3134">
        <v>0.70550000000000002</v>
      </c>
    </row>
    <row r="238" spans="1:13">
      <c r="A238" s="3132">
        <v>6.1</v>
      </c>
      <c r="B238" s="3133">
        <v>0.8871</v>
      </c>
      <c r="C238" s="3133">
        <v>0.8871</v>
      </c>
      <c r="D238" s="3133">
        <v>0.86360000000000003</v>
      </c>
      <c r="E238" s="3133">
        <v>0.86360000000000003</v>
      </c>
      <c r="F238" s="3133">
        <v>0.86360000000000003</v>
      </c>
      <c r="G238" s="3133">
        <v>0.86360000000000003</v>
      </c>
      <c r="H238" s="3133">
        <v>0.86360000000000003</v>
      </c>
      <c r="I238" s="3133">
        <v>0.70269999999999999</v>
      </c>
      <c r="J238" s="3133">
        <v>0.70269999999999999</v>
      </c>
      <c r="K238" s="3133">
        <v>0.70269999999999999</v>
      </c>
      <c r="L238" s="3133">
        <v>0.70269999999999999</v>
      </c>
      <c r="M238" s="3134">
        <v>0.70269999999999999</v>
      </c>
    </row>
    <row r="239" spans="1:13">
      <c r="A239" s="3132">
        <v>6.2</v>
      </c>
      <c r="B239" s="3133">
        <v>0.88529999999999998</v>
      </c>
      <c r="C239" s="3133">
        <v>0.88529999999999998</v>
      </c>
      <c r="D239" s="3133">
        <v>0.86140000000000005</v>
      </c>
      <c r="E239" s="3133">
        <v>0.86140000000000005</v>
      </c>
      <c r="F239" s="3133">
        <v>0.86140000000000005</v>
      </c>
      <c r="G239" s="3133">
        <v>0.86140000000000005</v>
      </c>
      <c r="H239" s="3133">
        <v>0.86140000000000005</v>
      </c>
      <c r="I239" s="3133">
        <v>0.69989999999999997</v>
      </c>
      <c r="J239" s="3133">
        <v>0.69989999999999997</v>
      </c>
      <c r="K239" s="3133">
        <v>0.69989999999999997</v>
      </c>
      <c r="L239" s="3133">
        <v>0.69989999999999997</v>
      </c>
      <c r="M239" s="3134">
        <v>0.69989999999999997</v>
      </c>
    </row>
    <row r="240" spans="1:13">
      <c r="A240" s="3132">
        <v>6.3</v>
      </c>
      <c r="B240" s="3133">
        <v>0.88349999999999995</v>
      </c>
      <c r="C240" s="3133">
        <v>0.88349999999999995</v>
      </c>
      <c r="D240" s="3133">
        <v>0.85919999999999996</v>
      </c>
      <c r="E240" s="3133">
        <v>0.85919999999999996</v>
      </c>
      <c r="F240" s="3133">
        <v>0.85919999999999996</v>
      </c>
      <c r="G240" s="3133">
        <v>0.85919999999999996</v>
      </c>
      <c r="H240" s="3133">
        <v>0.85919999999999996</v>
      </c>
      <c r="I240" s="3133">
        <v>0.69710000000000005</v>
      </c>
      <c r="J240" s="3133">
        <v>0.69710000000000005</v>
      </c>
      <c r="K240" s="3133">
        <v>0.69710000000000005</v>
      </c>
      <c r="L240" s="3133">
        <v>0.69710000000000005</v>
      </c>
      <c r="M240" s="3134">
        <v>0.69710000000000005</v>
      </c>
    </row>
    <row r="241" spans="1:13">
      <c r="A241" s="3132">
        <v>6.4</v>
      </c>
      <c r="B241" s="3133">
        <v>0.88180000000000003</v>
      </c>
      <c r="C241" s="3133">
        <v>0.88180000000000003</v>
      </c>
      <c r="D241" s="3133">
        <v>0.85699999999999998</v>
      </c>
      <c r="E241" s="3133">
        <v>0.85699999999999998</v>
      </c>
      <c r="F241" s="3133">
        <v>0.85699999999999998</v>
      </c>
      <c r="G241" s="3133">
        <v>0.85699999999999998</v>
      </c>
      <c r="H241" s="3133">
        <v>0.85699999999999998</v>
      </c>
      <c r="I241" s="3133">
        <v>0.69430000000000003</v>
      </c>
      <c r="J241" s="3133">
        <v>0.69430000000000003</v>
      </c>
      <c r="K241" s="3133">
        <v>0.69430000000000003</v>
      </c>
      <c r="L241" s="3133">
        <v>0.69430000000000003</v>
      </c>
      <c r="M241" s="3134">
        <v>0.69430000000000003</v>
      </c>
    </row>
    <row r="242" spans="1:13">
      <c r="A242" s="3132">
        <v>6.5</v>
      </c>
      <c r="B242" s="3133">
        <v>0.88009999999999999</v>
      </c>
      <c r="C242" s="3133">
        <v>0.88009999999999999</v>
      </c>
      <c r="D242" s="3133">
        <v>0.85489999999999999</v>
      </c>
      <c r="E242" s="3133">
        <v>0.85489999999999999</v>
      </c>
      <c r="F242" s="3133">
        <v>0.85489999999999999</v>
      </c>
      <c r="G242" s="3133">
        <v>0.85489999999999999</v>
      </c>
      <c r="H242" s="3133">
        <v>0.85489999999999999</v>
      </c>
      <c r="I242" s="3133">
        <v>0.69159999999999999</v>
      </c>
      <c r="J242" s="3133">
        <v>0.69159999999999999</v>
      </c>
      <c r="K242" s="3133">
        <v>0.69159999999999999</v>
      </c>
      <c r="L242" s="3133">
        <v>0.69159999999999999</v>
      </c>
      <c r="M242" s="3134">
        <v>0.69159999999999999</v>
      </c>
    </row>
    <row r="243" spans="1:13">
      <c r="A243" s="3132">
        <v>6.6</v>
      </c>
      <c r="B243" s="3133">
        <v>0.87839999999999996</v>
      </c>
      <c r="C243" s="3133">
        <v>0.87839999999999996</v>
      </c>
      <c r="D243" s="3133">
        <v>0.8528</v>
      </c>
      <c r="E243" s="3133">
        <v>0.8528</v>
      </c>
      <c r="F243" s="3133">
        <v>0.8528</v>
      </c>
      <c r="G243" s="3133">
        <v>0.8528</v>
      </c>
      <c r="H243" s="3133">
        <v>0.8528</v>
      </c>
      <c r="I243" s="3133">
        <v>0.68889999999999996</v>
      </c>
      <c r="J243" s="3133">
        <v>0.68889999999999996</v>
      </c>
      <c r="K243" s="3133">
        <v>0.68889999999999996</v>
      </c>
      <c r="L243" s="3133">
        <v>0.68889999999999996</v>
      </c>
      <c r="M243" s="3134">
        <v>0.68889999999999996</v>
      </c>
    </row>
    <row r="244" spans="1:13">
      <c r="A244" s="3132">
        <v>6.7</v>
      </c>
      <c r="B244" s="3133">
        <v>0.87670000000000003</v>
      </c>
      <c r="C244" s="3133">
        <v>0.87670000000000003</v>
      </c>
      <c r="D244" s="3133">
        <v>0.85070000000000001</v>
      </c>
      <c r="E244" s="3133">
        <v>0.85070000000000001</v>
      </c>
      <c r="F244" s="3133">
        <v>0.85070000000000001</v>
      </c>
      <c r="G244" s="3133">
        <v>0.85070000000000001</v>
      </c>
      <c r="H244" s="3133">
        <v>0.85070000000000001</v>
      </c>
      <c r="I244" s="3133">
        <v>0.68620000000000003</v>
      </c>
      <c r="J244" s="3133">
        <v>0.68620000000000003</v>
      </c>
      <c r="K244" s="3133">
        <v>0.68620000000000003</v>
      </c>
      <c r="L244" s="3133">
        <v>0.68620000000000003</v>
      </c>
      <c r="M244" s="3134">
        <v>0.68620000000000003</v>
      </c>
    </row>
    <row r="245" spans="1:13">
      <c r="A245" s="3132">
        <v>6.8</v>
      </c>
      <c r="B245" s="3133">
        <v>0.875</v>
      </c>
      <c r="C245" s="3133">
        <v>0.875</v>
      </c>
      <c r="D245" s="3133">
        <v>0.84860000000000002</v>
      </c>
      <c r="E245" s="3133">
        <v>0.84860000000000002</v>
      </c>
      <c r="F245" s="3133">
        <v>0.84860000000000002</v>
      </c>
      <c r="G245" s="3133">
        <v>0.84860000000000002</v>
      </c>
      <c r="H245" s="3133">
        <v>0.84860000000000002</v>
      </c>
      <c r="I245" s="3133">
        <v>0.6835</v>
      </c>
      <c r="J245" s="3133">
        <v>0.6835</v>
      </c>
      <c r="K245" s="3133">
        <v>0.6835</v>
      </c>
      <c r="L245" s="3133">
        <v>0.6835</v>
      </c>
      <c r="M245" s="3134">
        <v>0.6835</v>
      </c>
    </row>
    <row r="246" spans="1:13">
      <c r="A246" s="3132">
        <v>6.9</v>
      </c>
      <c r="B246" s="3133">
        <v>0.87329999999999997</v>
      </c>
      <c r="C246" s="3133">
        <v>0.87329999999999997</v>
      </c>
      <c r="D246" s="3133">
        <v>0.84650000000000003</v>
      </c>
      <c r="E246" s="3133">
        <v>0.84650000000000003</v>
      </c>
      <c r="F246" s="3133">
        <v>0.84650000000000003</v>
      </c>
      <c r="G246" s="3133">
        <v>0.84650000000000003</v>
      </c>
      <c r="H246" s="3133">
        <v>0.84650000000000003</v>
      </c>
      <c r="I246" s="3133">
        <v>0.68089999999999995</v>
      </c>
      <c r="J246" s="3133">
        <v>0.68089999999999995</v>
      </c>
      <c r="K246" s="3133">
        <v>0.68089999999999995</v>
      </c>
      <c r="L246" s="3133">
        <v>0.68089999999999995</v>
      </c>
      <c r="M246" s="3134">
        <v>0.68089999999999995</v>
      </c>
    </row>
    <row r="247" spans="1:13">
      <c r="A247" s="3132">
        <v>7</v>
      </c>
      <c r="B247" s="3133">
        <v>0.87170000000000003</v>
      </c>
      <c r="C247" s="3133">
        <v>0.87170000000000003</v>
      </c>
      <c r="D247" s="3133">
        <v>0.84450000000000003</v>
      </c>
      <c r="E247" s="3133">
        <v>0.84450000000000003</v>
      </c>
      <c r="F247" s="3133">
        <v>0.84450000000000003</v>
      </c>
      <c r="G247" s="3133">
        <v>0.84450000000000003</v>
      </c>
      <c r="H247" s="3133">
        <v>0.84450000000000003</v>
      </c>
      <c r="I247" s="3133">
        <v>0.67830000000000001</v>
      </c>
      <c r="J247" s="3133">
        <v>0.67830000000000001</v>
      </c>
      <c r="K247" s="3133">
        <v>0.67830000000000001</v>
      </c>
      <c r="L247" s="3133">
        <v>0.67830000000000001</v>
      </c>
      <c r="M247" s="3134">
        <v>0.67830000000000001</v>
      </c>
    </row>
    <row r="248" spans="1:13">
      <c r="A248" s="3132">
        <v>7.1</v>
      </c>
      <c r="B248" s="3133">
        <v>0.87009999999999998</v>
      </c>
      <c r="C248" s="3133">
        <v>0.87009999999999998</v>
      </c>
      <c r="D248" s="3133">
        <v>0.84250000000000003</v>
      </c>
      <c r="E248" s="3133">
        <v>0.84250000000000003</v>
      </c>
      <c r="F248" s="3133">
        <v>0.84250000000000003</v>
      </c>
      <c r="G248" s="3133">
        <v>0.84250000000000003</v>
      </c>
      <c r="H248" s="3133">
        <v>0.84250000000000003</v>
      </c>
      <c r="I248" s="3133">
        <v>0.67569999999999997</v>
      </c>
      <c r="J248" s="3133">
        <v>0.67569999999999997</v>
      </c>
      <c r="K248" s="3133">
        <v>0.67569999999999997</v>
      </c>
      <c r="L248" s="3133">
        <v>0.67569999999999997</v>
      </c>
      <c r="M248" s="3134">
        <v>0.67569999999999997</v>
      </c>
    </row>
    <row r="249" spans="1:13">
      <c r="A249" s="3132">
        <v>7.2</v>
      </c>
      <c r="B249" s="3133">
        <v>0.86850000000000005</v>
      </c>
      <c r="C249" s="3133">
        <v>0.86850000000000005</v>
      </c>
      <c r="D249" s="3133">
        <v>0.84050000000000002</v>
      </c>
      <c r="E249" s="3133">
        <v>0.84050000000000002</v>
      </c>
      <c r="F249" s="3133">
        <v>0.84050000000000002</v>
      </c>
      <c r="G249" s="3133">
        <v>0.84050000000000002</v>
      </c>
      <c r="H249" s="3133">
        <v>0.84050000000000002</v>
      </c>
      <c r="I249" s="3133">
        <v>0.67310000000000003</v>
      </c>
      <c r="J249" s="3133">
        <v>0.67310000000000003</v>
      </c>
      <c r="K249" s="3133">
        <v>0.67310000000000003</v>
      </c>
      <c r="L249" s="3133">
        <v>0.67310000000000003</v>
      </c>
      <c r="M249" s="3134">
        <v>0.67310000000000003</v>
      </c>
    </row>
    <row r="250" spans="1:13">
      <c r="A250" s="3132">
        <v>7.3</v>
      </c>
      <c r="B250" s="3133">
        <v>0.8669</v>
      </c>
      <c r="C250" s="3133">
        <v>0.8669</v>
      </c>
      <c r="D250" s="3133">
        <v>0.83850000000000002</v>
      </c>
      <c r="E250" s="3133">
        <v>0.83850000000000002</v>
      </c>
      <c r="F250" s="3133">
        <v>0.83850000000000002</v>
      </c>
      <c r="G250" s="3133">
        <v>0.83850000000000002</v>
      </c>
      <c r="H250" s="3133">
        <v>0.83850000000000002</v>
      </c>
      <c r="I250" s="3133">
        <v>0.67059999999999997</v>
      </c>
      <c r="J250" s="3133">
        <v>0.67059999999999997</v>
      </c>
      <c r="K250" s="3133">
        <v>0.67059999999999997</v>
      </c>
      <c r="L250" s="3133">
        <v>0.67059999999999997</v>
      </c>
      <c r="M250" s="3134">
        <v>0.67059999999999997</v>
      </c>
    </row>
    <row r="251" spans="1:13">
      <c r="A251" s="3132">
        <v>7.4</v>
      </c>
      <c r="B251" s="3133">
        <v>0.86529999999999996</v>
      </c>
      <c r="C251" s="3133">
        <v>0.86529999999999996</v>
      </c>
      <c r="D251" s="3133">
        <v>0.83650000000000002</v>
      </c>
      <c r="E251" s="3133">
        <v>0.83650000000000002</v>
      </c>
      <c r="F251" s="3133">
        <v>0.83650000000000002</v>
      </c>
      <c r="G251" s="3133">
        <v>0.83650000000000002</v>
      </c>
      <c r="H251" s="3133">
        <v>0.83650000000000002</v>
      </c>
      <c r="I251" s="3133">
        <v>0.66810000000000003</v>
      </c>
      <c r="J251" s="3133">
        <v>0.66810000000000003</v>
      </c>
      <c r="K251" s="3133">
        <v>0.66810000000000003</v>
      </c>
      <c r="L251" s="3133">
        <v>0.66810000000000003</v>
      </c>
      <c r="M251" s="3134">
        <v>0.66810000000000003</v>
      </c>
    </row>
    <row r="252" spans="1:13">
      <c r="A252" s="3132">
        <v>7.5</v>
      </c>
      <c r="B252" s="3133">
        <v>0.86370000000000002</v>
      </c>
      <c r="C252" s="3133">
        <v>0.86370000000000002</v>
      </c>
      <c r="D252" s="3133">
        <v>0.83460000000000001</v>
      </c>
      <c r="E252" s="3133">
        <v>0.83460000000000001</v>
      </c>
      <c r="F252" s="3133">
        <v>0.83460000000000001</v>
      </c>
      <c r="G252" s="3133">
        <v>0.83460000000000001</v>
      </c>
      <c r="H252" s="3133">
        <v>0.83460000000000001</v>
      </c>
      <c r="I252" s="3133">
        <v>0.66559999999999997</v>
      </c>
      <c r="J252" s="3133">
        <v>0.66559999999999997</v>
      </c>
      <c r="K252" s="3133">
        <v>0.66559999999999997</v>
      </c>
      <c r="L252" s="3133">
        <v>0.66559999999999997</v>
      </c>
      <c r="M252" s="3134">
        <v>0.66559999999999997</v>
      </c>
    </row>
    <row r="253" spans="1:13">
      <c r="A253" s="3132">
        <v>7.6</v>
      </c>
      <c r="B253" s="3133">
        <v>0.86219999999999997</v>
      </c>
      <c r="C253" s="3133">
        <v>0.86219999999999997</v>
      </c>
      <c r="D253" s="3133">
        <v>0.8327</v>
      </c>
      <c r="E253" s="3133">
        <v>0.8327</v>
      </c>
      <c r="F253" s="3133">
        <v>0.8327</v>
      </c>
      <c r="G253" s="3133">
        <v>0.8327</v>
      </c>
      <c r="H253" s="3133">
        <v>0.8327</v>
      </c>
      <c r="I253" s="3133">
        <v>0.66310000000000002</v>
      </c>
      <c r="J253" s="3133">
        <v>0.66310000000000002</v>
      </c>
      <c r="K253" s="3133">
        <v>0.66310000000000002</v>
      </c>
      <c r="L253" s="3133">
        <v>0.66310000000000002</v>
      </c>
      <c r="M253" s="3134">
        <v>0.66310000000000002</v>
      </c>
    </row>
    <row r="254" spans="1:13">
      <c r="A254" s="3132">
        <v>7.7</v>
      </c>
      <c r="B254" s="3133">
        <v>0.86070000000000002</v>
      </c>
      <c r="C254" s="3133">
        <v>0.86070000000000002</v>
      </c>
      <c r="D254" s="3133">
        <v>0.83079999999999998</v>
      </c>
      <c r="E254" s="3133">
        <v>0.83079999999999998</v>
      </c>
      <c r="F254" s="3133">
        <v>0.83079999999999998</v>
      </c>
      <c r="G254" s="3133">
        <v>0.83079999999999998</v>
      </c>
      <c r="H254" s="3133">
        <v>0.83079999999999998</v>
      </c>
      <c r="I254" s="3133">
        <v>0.66069999999999995</v>
      </c>
      <c r="J254" s="3133">
        <v>0.66069999999999995</v>
      </c>
      <c r="K254" s="3133">
        <v>0.66069999999999995</v>
      </c>
      <c r="L254" s="3133">
        <v>0.66069999999999995</v>
      </c>
      <c r="M254" s="3134">
        <v>0.66069999999999995</v>
      </c>
    </row>
    <row r="255" spans="1:13">
      <c r="A255" s="3132">
        <v>7.8</v>
      </c>
      <c r="B255" s="3133">
        <v>0.85919999999999996</v>
      </c>
      <c r="C255" s="3133">
        <v>0.85919999999999996</v>
      </c>
      <c r="D255" s="3133">
        <v>0.82889999999999997</v>
      </c>
      <c r="E255" s="3133">
        <v>0.82889999999999997</v>
      </c>
      <c r="F255" s="3133">
        <v>0.82889999999999997</v>
      </c>
      <c r="G255" s="3133">
        <v>0.82889999999999997</v>
      </c>
      <c r="H255" s="3133">
        <v>0.82889999999999997</v>
      </c>
      <c r="I255" s="3133">
        <v>0.6583</v>
      </c>
      <c r="J255" s="3133">
        <v>0.6583</v>
      </c>
      <c r="K255" s="3133">
        <v>0.6583</v>
      </c>
      <c r="L255" s="3133">
        <v>0.6583</v>
      </c>
      <c r="M255" s="3134">
        <v>0.6583</v>
      </c>
    </row>
    <row r="256" spans="1:13">
      <c r="A256" s="3132">
        <v>7.9</v>
      </c>
      <c r="B256" s="3133">
        <v>0.85770000000000002</v>
      </c>
      <c r="C256" s="3133">
        <v>0.85770000000000002</v>
      </c>
      <c r="D256" s="3133">
        <v>0.82699999999999996</v>
      </c>
      <c r="E256" s="3133">
        <v>0.82699999999999996</v>
      </c>
      <c r="F256" s="3133">
        <v>0.82699999999999996</v>
      </c>
      <c r="G256" s="3133">
        <v>0.82699999999999996</v>
      </c>
      <c r="H256" s="3133">
        <v>0.82699999999999996</v>
      </c>
      <c r="I256" s="3133">
        <v>0.65590000000000004</v>
      </c>
      <c r="J256" s="3133">
        <v>0.65590000000000004</v>
      </c>
      <c r="K256" s="3133">
        <v>0.65590000000000004</v>
      </c>
      <c r="L256" s="3133">
        <v>0.65590000000000004</v>
      </c>
      <c r="M256" s="3134">
        <v>0.65590000000000004</v>
      </c>
    </row>
    <row r="257" spans="1:13">
      <c r="A257" s="3132">
        <v>8</v>
      </c>
      <c r="B257" s="3133">
        <v>0.85619999999999996</v>
      </c>
      <c r="C257" s="3133">
        <v>0.85619999999999996</v>
      </c>
      <c r="D257" s="3133">
        <v>0.82509999999999994</v>
      </c>
      <c r="E257" s="3133">
        <v>0.82509999999999994</v>
      </c>
      <c r="F257" s="3133">
        <v>0.82509999999999994</v>
      </c>
      <c r="G257" s="3133">
        <v>0.82509999999999994</v>
      </c>
      <c r="H257" s="3133">
        <v>0.82509999999999994</v>
      </c>
      <c r="I257" s="3133">
        <v>0.65349999999999997</v>
      </c>
      <c r="J257" s="3133">
        <v>0.65349999999999997</v>
      </c>
      <c r="K257" s="3133">
        <v>0.65349999999999997</v>
      </c>
      <c r="L257" s="3133">
        <v>0.65349999999999997</v>
      </c>
      <c r="M257" s="3134">
        <v>0.65349999999999997</v>
      </c>
    </row>
    <row r="258" spans="1:13">
      <c r="A258" s="3132">
        <v>8.1</v>
      </c>
      <c r="B258" s="3133">
        <v>0.85470000000000002</v>
      </c>
      <c r="C258" s="3133">
        <v>0.85470000000000002</v>
      </c>
      <c r="D258" s="3133">
        <v>0.82330000000000003</v>
      </c>
      <c r="E258" s="3133">
        <v>0.82330000000000003</v>
      </c>
      <c r="F258" s="3133">
        <v>0.82330000000000003</v>
      </c>
      <c r="G258" s="3133">
        <v>0.82330000000000003</v>
      </c>
      <c r="H258" s="3133">
        <v>0.82330000000000003</v>
      </c>
      <c r="I258" s="3133">
        <v>0.6512</v>
      </c>
      <c r="J258" s="3133">
        <v>0.6512</v>
      </c>
      <c r="K258" s="3133">
        <v>0.6512</v>
      </c>
      <c r="L258" s="3133">
        <v>0.6512</v>
      </c>
      <c r="M258" s="3134">
        <v>0.6512</v>
      </c>
    </row>
    <row r="259" spans="1:13">
      <c r="A259" s="3132">
        <v>8.1999999999999993</v>
      </c>
      <c r="B259" s="3133">
        <v>0.85329999999999995</v>
      </c>
      <c r="C259" s="3133">
        <v>0.85329999999999995</v>
      </c>
      <c r="D259" s="3133">
        <v>0.82150000000000001</v>
      </c>
      <c r="E259" s="3133">
        <v>0.82150000000000001</v>
      </c>
      <c r="F259" s="3133">
        <v>0.82150000000000001</v>
      </c>
      <c r="G259" s="3133">
        <v>0.82150000000000001</v>
      </c>
      <c r="H259" s="3133">
        <v>0.82150000000000001</v>
      </c>
      <c r="I259" s="3133">
        <v>0.64890000000000003</v>
      </c>
      <c r="J259" s="3133">
        <v>0.64890000000000003</v>
      </c>
      <c r="K259" s="3133">
        <v>0.64890000000000003</v>
      </c>
      <c r="L259" s="3133">
        <v>0.64890000000000003</v>
      </c>
      <c r="M259" s="3134">
        <v>0.64890000000000003</v>
      </c>
    </row>
    <row r="260" spans="1:13">
      <c r="A260" s="3132">
        <v>8.3000000000000007</v>
      </c>
      <c r="B260" s="3133">
        <v>0.85189999999999999</v>
      </c>
      <c r="C260" s="3133">
        <v>0.85189999999999999</v>
      </c>
      <c r="D260" s="3133">
        <v>0.81969999999999998</v>
      </c>
      <c r="E260" s="3133">
        <v>0.81969999999999998</v>
      </c>
      <c r="F260" s="3133">
        <v>0.81969999999999998</v>
      </c>
      <c r="G260" s="3133">
        <v>0.81969999999999998</v>
      </c>
      <c r="H260" s="3133">
        <v>0.81969999999999998</v>
      </c>
      <c r="I260" s="3133">
        <v>0.64659999999999995</v>
      </c>
      <c r="J260" s="3133">
        <v>0.64659999999999995</v>
      </c>
      <c r="K260" s="3133">
        <v>0.64659999999999995</v>
      </c>
      <c r="L260" s="3133">
        <v>0.64659999999999995</v>
      </c>
      <c r="M260" s="3134">
        <v>0.64659999999999995</v>
      </c>
    </row>
    <row r="261" spans="1:13">
      <c r="A261" s="3132">
        <v>8.4</v>
      </c>
      <c r="B261" s="3133">
        <v>0.85050000000000003</v>
      </c>
      <c r="C261" s="3133">
        <v>0.85050000000000003</v>
      </c>
      <c r="D261" s="3133">
        <v>0.81789999999999996</v>
      </c>
      <c r="E261" s="3133">
        <v>0.81789999999999996</v>
      </c>
      <c r="F261" s="3133">
        <v>0.81789999999999996</v>
      </c>
      <c r="G261" s="3133">
        <v>0.81789999999999996</v>
      </c>
      <c r="H261" s="3133">
        <v>0.81789999999999996</v>
      </c>
      <c r="I261" s="3133">
        <v>0.64429999999999998</v>
      </c>
      <c r="J261" s="3133">
        <v>0.64429999999999998</v>
      </c>
      <c r="K261" s="3133">
        <v>0.64429999999999998</v>
      </c>
      <c r="L261" s="3133">
        <v>0.64429999999999998</v>
      </c>
      <c r="M261" s="3134">
        <v>0.64429999999999998</v>
      </c>
    </row>
    <row r="262" spans="1:13">
      <c r="A262" s="3132">
        <v>8.5</v>
      </c>
      <c r="B262" s="3133">
        <v>0.84909999999999997</v>
      </c>
      <c r="C262" s="3133">
        <v>0.84909999999999997</v>
      </c>
      <c r="D262" s="3133">
        <v>0.81610000000000005</v>
      </c>
      <c r="E262" s="3133">
        <v>0.81610000000000005</v>
      </c>
      <c r="F262" s="3133">
        <v>0.81610000000000005</v>
      </c>
      <c r="G262" s="3133">
        <v>0.81610000000000005</v>
      </c>
      <c r="H262" s="3133">
        <v>0.81610000000000005</v>
      </c>
      <c r="I262" s="3133">
        <v>0.6421</v>
      </c>
      <c r="J262" s="3133">
        <v>0.6421</v>
      </c>
      <c r="K262" s="3133">
        <v>0.6421</v>
      </c>
      <c r="L262" s="3133">
        <v>0.6421</v>
      </c>
      <c r="M262" s="3134">
        <v>0.6421</v>
      </c>
    </row>
    <row r="263" spans="1:13">
      <c r="A263" s="3132">
        <v>8.6</v>
      </c>
      <c r="B263" s="3133">
        <v>0.84770000000000001</v>
      </c>
      <c r="C263" s="3133">
        <v>0.84770000000000001</v>
      </c>
      <c r="D263" s="3133">
        <v>0.81440000000000001</v>
      </c>
      <c r="E263" s="3133">
        <v>0.81440000000000001</v>
      </c>
      <c r="F263" s="3133">
        <v>0.81440000000000001</v>
      </c>
      <c r="G263" s="3133">
        <v>0.81440000000000001</v>
      </c>
      <c r="H263" s="3133">
        <v>0.81440000000000001</v>
      </c>
      <c r="I263" s="3133">
        <v>0.63990000000000002</v>
      </c>
      <c r="J263" s="3133">
        <v>0.63990000000000002</v>
      </c>
      <c r="K263" s="3133">
        <v>0.63990000000000002</v>
      </c>
      <c r="L263" s="3133">
        <v>0.63990000000000002</v>
      </c>
      <c r="M263" s="3134">
        <v>0.63990000000000002</v>
      </c>
    </row>
    <row r="264" spans="1:13">
      <c r="A264" s="3132">
        <v>8.6999999999999993</v>
      </c>
      <c r="B264" s="3133">
        <v>0.84630000000000005</v>
      </c>
      <c r="C264" s="3133">
        <v>0.84630000000000005</v>
      </c>
      <c r="D264" s="3133">
        <v>0.81269999999999998</v>
      </c>
      <c r="E264" s="3133">
        <v>0.81269999999999998</v>
      </c>
      <c r="F264" s="3133">
        <v>0.81269999999999998</v>
      </c>
      <c r="G264" s="3133">
        <v>0.81269999999999998</v>
      </c>
      <c r="H264" s="3133">
        <v>0.81269999999999998</v>
      </c>
      <c r="I264" s="3133">
        <v>0.63770000000000004</v>
      </c>
      <c r="J264" s="3133">
        <v>0.63770000000000004</v>
      </c>
      <c r="K264" s="3133">
        <v>0.63770000000000004</v>
      </c>
      <c r="L264" s="3133">
        <v>0.63770000000000004</v>
      </c>
      <c r="M264" s="3134">
        <v>0.63770000000000004</v>
      </c>
    </row>
    <row r="265" spans="1:13">
      <c r="A265" s="3132">
        <v>8.8000000000000007</v>
      </c>
      <c r="B265" s="3133">
        <v>0.84489999999999998</v>
      </c>
      <c r="C265" s="3133">
        <v>0.84489999999999998</v>
      </c>
      <c r="D265" s="3133">
        <v>0.81100000000000005</v>
      </c>
      <c r="E265" s="3133">
        <v>0.81100000000000005</v>
      </c>
      <c r="F265" s="3133">
        <v>0.81100000000000005</v>
      </c>
      <c r="G265" s="3133">
        <v>0.81100000000000005</v>
      </c>
      <c r="H265" s="3133">
        <v>0.81100000000000005</v>
      </c>
      <c r="I265" s="3133">
        <v>0.63549999999999995</v>
      </c>
      <c r="J265" s="3133">
        <v>0.63549999999999995</v>
      </c>
      <c r="K265" s="3133">
        <v>0.63549999999999995</v>
      </c>
      <c r="L265" s="3133">
        <v>0.63549999999999995</v>
      </c>
      <c r="M265" s="3134">
        <v>0.63549999999999995</v>
      </c>
    </row>
    <row r="266" spans="1:13">
      <c r="A266" s="3132">
        <v>8.9</v>
      </c>
      <c r="B266" s="3133">
        <v>0.84360000000000002</v>
      </c>
      <c r="C266" s="3133">
        <v>0.84360000000000002</v>
      </c>
      <c r="D266" s="3133">
        <v>0.80930000000000002</v>
      </c>
      <c r="E266" s="3133">
        <v>0.80930000000000002</v>
      </c>
      <c r="F266" s="3133">
        <v>0.80930000000000002</v>
      </c>
      <c r="G266" s="3133">
        <v>0.80930000000000002</v>
      </c>
      <c r="H266" s="3133">
        <v>0.80930000000000002</v>
      </c>
      <c r="I266" s="3133">
        <v>0.63339999999999996</v>
      </c>
      <c r="J266" s="3133">
        <v>0.63339999999999996</v>
      </c>
      <c r="K266" s="3133">
        <v>0.63339999999999996</v>
      </c>
      <c r="L266" s="3133">
        <v>0.63339999999999996</v>
      </c>
      <c r="M266" s="3134">
        <v>0.63339999999999996</v>
      </c>
    </row>
    <row r="267" spans="1:13">
      <c r="A267" s="3135">
        <v>9</v>
      </c>
      <c r="B267" s="3133">
        <v>0.84230000000000005</v>
      </c>
      <c r="C267" s="3133">
        <v>0.84230000000000005</v>
      </c>
      <c r="D267" s="3133">
        <v>0.80759999999999998</v>
      </c>
      <c r="E267" s="3133">
        <v>0.80759999999999998</v>
      </c>
      <c r="F267" s="3133">
        <v>0.80759999999999998</v>
      </c>
      <c r="G267" s="3133">
        <v>0.80759999999999998</v>
      </c>
      <c r="H267" s="3133">
        <v>0.80759999999999998</v>
      </c>
      <c r="I267" s="3133">
        <v>0.63129999999999997</v>
      </c>
      <c r="J267" s="3133">
        <v>0.63129999999999997</v>
      </c>
      <c r="K267" s="3133">
        <v>0.63129999999999997</v>
      </c>
      <c r="L267" s="3133">
        <v>0.63129999999999997</v>
      </c>
      <c r="M267" s="3134">
        <v>0.63129999999999997</v>
      </c>
    </row>
    <row r="268" spans="1:13">
      <c r="A268" s="3135">
        <v>9.1</v>
      </c>
      <c r="B268" s="3133">
        <v>0.84099999999999997</v>
      </c>
      <c r="C268" s="3133">
        <v>0.84099999999999997</v>
      </c>
      <c r="D268" s="3133">
        <v>0.80600000000000005</v>
      </c>
      <c r="E268" s="3133">
        <v>0.80600000000000005</v>
      </c>
      <c r="F268" s="3133">
        <v>0.80600000000000005</v>
      </c>
      <c r="G268" s="3133">
        <v>0.80600000000000005</v>
      </c>
      <c r="H268" s="3133">
        <v>0.80600000000000005</v>
      </c>
      <c r="I268" s="3133">
        <v>0.62919999999999998</v>
      </c>
      <c r="J268" s="3133">
        <v>0.62919999999999998</v>
      </c>
      <c r="K268" s="3133">
        <v>0.62919999999999998</v>
      </c>
      <c r="L268" s="3133">
        <v>0.62919999999999998</v>
      </c>
      <c r="M268" s="3134">
        <v>0.62919999999999998</v>
      </c>
    </row>
    <row r="269" spans="1:13">
      <c r="A269" s="3135">
        <v>9.1999999999999993</v>
      </c>
      <c r="B269" s="3133">
        <v>0.8397</v>
      </c>
      <c r="C269" s="3133">
        <v>0.8397</v>
      </c>
      <c r="D269" s="3133">
        <v>0.8044</v>
      </c>
      <c r="E269" s="3133">
        <v>0.8044</v>
      </c>
      <c r="F269" s="3133">
        <v>0.8044</v>
      </c>
      <c r="G269" s="3133">
        <v>0.8044</v>
      </c>
      <c r="H269" s="3133">
        <v>0.8044</v>
      </c>
      <c r="I269" s="3133">
        <v>0.62709999999999999</v>
      </c>
      <c r="J269" s="3133">
        <v>0.62709999999999999</v>
      </c>
      <c r="K269" s="3133">
        <v>0.62709999999999999</v>
      </c>
      <c r="L269" s="3133">
        <v>0.62709999999999999</v>
      </c>
      <c r="M269" s="3134">
        <v>0.62709999999999999</v>
      </c>
    </row>
    <row r="270" spans="1:13">
      <c r="A270" s="3135">
        <v>9.3000000000000007</v>
      </c>
      <c r="B270" s="3133">
        <v>0.83840000000000003</v>
      </c>
      <c r="C270" s="3133">
        <v>0.83840000000000003</v>
      </c>
      <c r="D270" s="3133">
        <v>0.80279999999999996</v>
      </c>
      <c r="E270" s="3133">
        <v>0.80279999999999996</v>
      </c>
      <c r="F270" s="3133">
        <v>0.80279999999999996</v>
      </c>
      <c r="G270" s="3133">
        <v>0.80279999999999996</v>
      </c>
      <c r="H270" s="3133">
        <v>0.80279999999999996</v>
      </c>
      <c r="I270" s="3133">
        <v>0.62509999999999999</v>
      </c>
      <c r="J270" s="3133">
        <v>0.62509999999999999</v>
      </c>
      <c r="K270" s="3133">
        <v>0.62509999999999999</v>
      </c>
      <c r="L270" s="3133">
        <v>0.62509999999999999</v>
      </c>
      <c r="M270" s="3134">
        <v>0.62509999999999999</v>
      </c>
    </row>
    <row r="271" spans="1:13">
      <c r="A271" s="3135">
        <v>9.4</v>
      </c>
      <c r="B271" s="3133">
        <v>0.83709999999999996</v>
      </c>
      <c r="C271" s="3133">
        <v>0.83709999999999996</v>
      </c>
      <c r="D271" s="3133">
        <v>0.80120000000000002</v>
      </c>
      <c r="E271" s="3133">
        <v>0.80120000000000002</v>
      </c>
      <c r="F271" s="3133">
        <v>0.80120000000000002</v>
      </c>
      <c r="G271" s="3133">
        <v>0.80120000000000002</v>
      </c>
      <c r="H271" s="3133">
        <v>0.80120000000000002</v>
      </c>
      <c r="I271" s="3133">
        <v>0.62309999999999999</v>
      </c>
      <c r="J271" s="3133">
        <v>0.62309999999999999</v>
      </c>
      <c r="K271" s="3133">
        <v>0.62309999999999999</v>
      </c>
      <c r="L271" s="3133">
        <v>0.62309999999999999</v>
      </c>
      <c r="M271" s="3134">
        <v>0.62309999999999999</v>
      </c>
    </row>
    <row r="272" spans="1:13">
      <c r="A272" s="3135">
        <v>9.5</v>
      </c>
      <c r="B272" s="3133">
        <v>0.83579999999999999</v>
      </c>
      <c r="C272" s="3133">
        <v>0.83579999999999999</v>
      </c>
      <c r="D272" s="3133">
        <v>0.79959999999999998</v>
      </c>
      <c r="E272" s="3133">
        <v>0.79959999999999998</v>
      </c>
      <c r="F272" s="3133">
        <v>0.79959999999999998</v>
      </c>
      <c r="G272" s="3133">
        <v>0.79959999999999998</v>
      </c>
      <c r="H272" s="3133">
        <v>0.79959999999999998</v>
      </c>
      <c r="I272" s="3133">
        <v>0.62109999999999999</v>
      </c>
      <c r="J272" s="3133">
        <v>0.62109999999999999</v>
      </c>
      <c r="K272" s="3133">
        <v>0.62109999999999999</v>
      </c>
      <c r="L272" s="3133">
        <v>0.62109999999999999</v>
      </c>
      <c r="M272" s="3134">
        <v>0.62109999999999999</v>
      </c>
    </row>
    <row r="273" spans="1:21">
      <c r="A273" s="3135">
        <v>9.6</v>
      </c>
      <c r="B273" s="3133">
        <v>0.83460000000000001</v>
      </c>
      <c r="C273" s="3133">
        <v>0.83460000000000001</v>
      </c>
      <c r="D273" s="3133">
        <v>0.79800000000000004</v>
      </c>
      <c r="E273" s="3133">
        <v>0.79800000000000004</v>
      </c>
      <c r="F273" s="3133">
        <v>0.79800000000000004</v>
      </c>
      <c r="G273" s="3133">
        <v>0.79800000000000004</v>
      </c>
      <c r="H273" s="3133">
        <v>0.79800000000000004</v>
      </c>
      <c r="I273" s="3133">
        <v>0.61909999999999998</v>
      </c>
      <c r="J273" s="3133">
        <v>0.61909999999999998</v>
      </c>
      <c r="K273" s="3133">
        <v>0.61909999999999998</v>
      </c>
      <c r="L273" s="3133">
        <v>0.61909999999999998</v>
      </c>
      <c r="M273" s="3134">
        <v>0.61909999999999998</v>
      </c>
    </row>
    <row r="274" spans="1:21">
      <c r="A274" s="3135">
        <v>9.6999999999999993</v>
      </c>
      <c r="B274" s="3133">
        <v>0.83340000000000003</v>
      </c>
      <c r="C274" s="3133">
        <v>0.83340000000000003</v>
      </c>
      <c r="D274" s="3133">
        <v>0.79649999999999999</v>
      </c>
      <c r="E274" s="3133">
        <v>0.79649999999999999</v>
      </c>
      <c r="F274" s="3133">
        <v>0.79649999999999999</v>
      </c>
      <c r="G274" s="3133">
        <v>0.79649999999999999</v>
      </c>
      <c r="H274" s="3133">
        <v>0.79649999999999999</v>
      </c>
      <c r="I274" s="3133">
        <v>0.61719999999999997</v>
      </c>
      <c r="J274" s="3133">
        <v>0.61719999999999997</v>
      </c>
      <c r="K274" s="3133">
        <v>0.61719999999999997</v>
      </c>
      <c r="L274" s="3133">
        <v>0.61719999999999997</v>
      </c>
      <c r="M274" s="3134">
        <v>0.61719999999999997</v>
      </c>
    </row>
    <row r="275" spans="1:21">
      <c r="A275" s="3135">
        <v>9.8000000000000007</v>
      </c>
      <c r="B275" s="3133">
        <v>0.83220000000000005</v>
      </c>
      <c r="C275" s="3133">
        <v>0.83220000000000005</v>
      </c>
      <c r="D275" s="3133">
        <v>0.79500000000000004</v>
      </c>
      <c r="E275" s="3133">
        <v>0.79500000000000004</v>
      </c>
      <c r="F275" s="3133">
        <v>0.79500000000000004</v>
      </c>
      <c r="G275" s="3133">
        <v>0.79500000000000004</v>
      </c>
      <c r="H275" s="3133">
        <v>0.79500000000000004</v>
      </c>
      <c r="I275" s="3133">
        <v>0.61529999999999996</v>
      </c>
      <c r="J275" s="3133">
        <v>0.61529999999999996</v>
      </c>
      <c r="K275" s="3133">
        <v>0.61529999999999996</v>
      </c>
      <c r="L275" s="3133">
        <v>0.61529999999999996</v>
      </c>
      <c r="M275" s="3134">
        <v>0.61529999999999996</v>
      </c>
    </row>
    <row r="276" spans="1:21" ht="14.25" thickBot="1">
      <c r="A276" s="3136">
        <v>9.9</v>
      </c>
      <c r="B276" s="3137">
        <v>0.83099999999999996</v>
      </c>
      <c r="C276" s="3137">
        <v>0.83099999999999996</v>
      </c>
      <c r="D276" s="3137">
        <v>0.79349999999999998</v>
      </c>
      <c r="E276" s="3137">
        <v>0.79349999999999998</v>
      </c>
      <c r="F276" s="3137">
        <v>0.79349999999999998</v>
      </c>
      <c r="G276" s="3137">
        <v>0.79349999999999998</v>
      </c>
      <c r="H276" s="3137">
        <v>0.79349999999999998</v>
      </c>
      <c r="I276" s="3137">
        <v>0.61339999999999995</v>
      </c>
      <c r="J276" s="3137">
        <v>0.61339999999999995</v>
      </c>
      <c r="K276" s="3137">
        <v>0.61339999999999995</v>
      </c>
      <c r="L276" s="3137">
        <v>0.61339999999999995</v>
      </c>
      <c r="M276" s="3138">
        <v>0.61339999999999995</v>
      </c>
    </row>
    <row r="277" spans="1:21" ht="15" thickBot="1">
      <c r="A277" s="3126" t="s">
        <v>2805</v>
      </c>
      <c r="B277" s="3126"/>
      <c r="C277" s="3126"/>
      <c r="D277" s="3126"/>
      <c r="E277" s="3126"/>
      <c r="F277" s="3126"/>
      <c r="G277" s="3126"/>
      <c r="H277" s="3126"/>
      <c r="I277" s="3126"/>
      <c r="J277" s="3126"/>
      <c r="K277" s="3126"/>
      <c r="L277" s="3126"/>
      <c r="M277" s="3126"/>
    </row>
    <row r="278" spans="1:21">
      <c r="A278" s="3127" t="s">
        <v>2802</v>
      </c>
      <c r="B278" s="3128" t="s">
        <v>2598</v>
      </c>
      <c r="C278" s="3128" t="s">
        <v>2599</v>
      </c>
      <c r="D278" s="3128" t="s">
        <v>2600</v>
      </c>
      <c r="E278" s="3128" t="s">
        <v>2601</v>
      </c>
      <c r="F278" s="3128" t="s">
        <v>2602</v>
      </c>
      <c r="G278" s="3128" t="s">
        <v>2603</v>
      </c>
      <c r="H278" s="3129" t="s">
        <v>2604</v>
      </c>
      <c r="I278" s="3129" t="s">
        <v>2605</v>
      </c>
      <c r="J278" s="3130" t="s">
        <v>2606</v>
      </c>
      <c r="K278" s="3130" t="s">
        <v>2607</v>
      </c>
      <c r="L278" s="3130" t="s">
        <v>2608</v>
      </c>
      <c r="M278" s="3131" t="s">
        <v>2609</v>
      </c>
      <c r="Q278" s="3141" t="s">
        <v>2807</v>
      </c>
      <c r="R278" s="3141" t="s">
        <v>2808</v>
      </c>
      <c r="S278" s="3141" t="s">
        <v>2811</v>
      </c>
      <c r="T278" s="3141" t="s">
        <v>2812</v>
      </c>
      <c r="U278" s="3141" t="s">
        <v>2810</v>
      </c>
    </row>
    <row r="279" spans="1:21">
      <c r="A279" s="3132">
        <v>1</v>
      </c>
      <c r="B279" s="3133">
        <v>1.1055999999999999</v>
      </c>
      <c r="C279" s="3133">
        <v>1.1055999999999999</v>
      </c>
      <c r="D279" s="3133">
        <v>1.1220000000000001</v>
      </c>
      <c r="E279" s="3133">
        <v>1.1220000000000001</v>
      </c>
      <c r="F279" s="3133">
        <v>1.1220000000000001</v>
      </c>
      <c r="G279" s="3133">
        <v>1.0583</v>
      </c>
      <c r="H279" s="3133">
        <v>1.0583</v>
      </c>
      <c r="I279" s="3133">
        <v>1</v>
      </c>
      <c r="J279" s="3133">
        <v>1</v>
      </c>
      <c r="K279" s="3133">
        <v>1</v>
      </c>
      <c r="L279" s="3133">
        <v>1</v>
      </c>
      <c r="M279" s="3134">
        <v>1</v>
      </c>
      <c r="Q279" s="3141">
        <v>10</v>
      </c>
      <c r="R279" s="3141">
        <f>ROUND(0.7836-0.012*Q279,4)</f>
        <v>0.66359999999999997</v>
      </c>
      <c r="S279" s="3141">
        <f>ROUND(0.753-0.015*Q279,4)</f>
        <v>0.60299999999999998</v>
      </c>
      <c r="T279" s="3141">
        <f>ROUND(0.6612-0.018*Q279,4)</f>
        <v>0.48120000000000002</v>
      </c>
      <c r="U279" s="3141">
        <f>ROUND(0.5905-0.019*R279,4)</f>
        <v>0.57789999999999997</v>
      </c>
    </row>
    <row r="280" spans="1:21">
      <c r="A280" s="3132">
        <v>1.1000000000000001</v>
      </c>
      <c r="B280" s="3133">
        <v>1.0820000000000001</v>
      </c>
      <c r="C280" s="3133">
        <v>1.0820000000000001</v>
      </c>
      <c r="D280" s="3133">
        <v>1.0948</v>
      </c>
      <c r="E280" s="3133">
        <v>1.0948</v>
      </c>
      <c r="F280" s="3133">
        <v>1.0948</v>
      </c>
      <c r="G280" s="3133">
        <v>1.0284</v>
      </c>
      <c r="H280" s="3133">
        <v>1.0284</v>
      </c>
      <c r="I280" s="3133">
        <v>0.96860000000000002</v>
      </c>
      <c r="J280" s="3133">
        <v>0.96860000000000002</v>
      </c>
      <c r="K280" s="3133">
        <v>0.96860000000000002</v>
      </c>
      <c r="L280" s="3133">
        <v>0.96860000000000002</v>
      </c>
      <c r="M280" s="3134">
        <v>0.96860000000000002</v>
      </c>
    </row>
    <row r="281" spans="1:21">
      <c r="A281" s="3132">
        <v>1.2</v>
      </c>
      <c r="B281" s="3133">
        <v>1.0598000000000001</v>
      </c>
      <c r="C281" s="3133">
        <v>1.0598000000000001</v>
      </c>
      <c r="D281" s="3133">
        <v>1.0690999999999999</v>
      </c>
      <c r="E281" s="3133">
        <v>1.0690999999999999</v>
      </c>
      <c r="F281" s="3133">
        <v>1.0690999999999999</v>
      </c>
      <c r="G281" s="3133">
        <v>1</v>
      </c>
      <c r="H281" s="3133">
        <v>1</v>
      </c>
      <c r="I281" s="3133">
        <v>0.93879999999999997</v>
      </c>
      <c r="J281" s="3133">
        <v>0.93879999999999997</v>
      </c>
      <c r="K281" s="3133">
        <v>0.93879999999999997</v>
      </c>
      <c r="L281" s="3133">
        <v>0.93879999999999997</v>
      </c>
      <c r="M281" s="3134">
        <v>0.93879999999999997</v>
      </c>
    </row>
    <row r="282" spans="1:21">
      <c r="A282" s="3132">
        <v>1.3</v>
      </c>
      <c r="B282" s="3133">
        <v>1.0387</v>
      </c>
      <c r="C282" s="3133">
        <v>1.0387</v>
      </c>
      <c r="D282" s="3133">
        <v>1.0447</v>
      </c>
      <c r="E282" s="3133">
        <v>1.0447</v>
      </c>
      <c r="F282" s="3133">
        <v>1.0447</v>
      </c>
      <c r="G282" s="3133">
        <v>0.97319999999999995</v>
      </c>
      <c r="H282" s="3133">
        <v>0.97319999999999995</v>
      </c>
      <c r="I282" s="3133">
        <v>0.91069999999999995</v>
      </c>
      <c r="J282" s="3133">
        <v>0.91069999999999995</v>
      </c>
      <c r="K282" s="3133">
        <v>0.91069999999999995</v>
      </c>
      <c r="L282" s="3133">
        <v>0.91069999999999995</v>
      </c>
      <c r="M282" s="3134">
        <v>0.91069999999999995</v>
      </c>
    </row>
    <row r="283" spans="1:21">
      <c r="A283" s="3132">
        <v>1.4</v>
      </c>
      <c r="B283" s="3133">
        <v>1.0187999999999999</v>
      </c>
      <c r="C283" s="3133">
        <v>1.0187999999999999</v>
      </c>
      <c r="D283" s="3133">
        <v>1.0217000000000001</v>
      </c>
      <c r="E283" s="3133">
        <v>1.0217000000000001</v>
      </c>
      <c r="F283" s="3133">
        <v>1.0217000000000001</v>
      </c>
      <c r="G283" s="3133">
        <v>0.94779999999999998</v>
      </c>
      <c r="H283" s="3133">
        <v>0.94779999999999998</v>
      </c>
      <c r="I283" s="3133">
        <v>0.8841</v>
      </c>
      <c r="J283" s="3133">
        <v>0.8841</v>
      </c>
      <c r="K283" s="3133">
        <v>0.8841</v>
      </c>
      <c r="L283" s="3133">
        <v>0.8841</v>
      </c>
      <c r="M283" s="3134">
        <v>0.8841</v>
      </c>
    </row>
    <row r="284" spans="1:21">
      <c r="A284" s="3132">
        <v>1.5</v>
      </c>
      <c r="B284" s="3133">
        <v>1</v>
      </c>
      <c r="C284" s="3133">
        <v>1</v>
      </c>
      <c r="D284" s="3133">
        <v>1</v>
      </c>
      <c r="E284" s="3133">
        <v>1</v>
      </c>
      <c r="F284" s="3133">
        <v>1</v>
      </c>
      <c r="G284" s="3133">
        <v>0.92379999999999995</v>
      </c>
      <c r="H284" s="3133">
        <v>0.92379999999999995</v>
      </c>
      <c r="I284" s="3133">
        <v>0.8589</v>
      </c>
      <c r="J284" s="3133">
        <v>0.8589</v>
      </c>
      <c r="K284" s="3133">
        <v>0.8589</v>
      </c>
      <c r="L284" s="3133">
        <v>0.8589</v>
      </c>
      <c r="M284" s="3134">
        <v>0.8589</v>
      </c>
    </row>
    <row r="285" spans="1:21">
      <c r="A285" s="3132">
        <v>1.6</v>
      </c>
      <c r="B285" s="3133">
        <v>0.98229999999999995</v>
      </c>
      <c r="C285" s="3133">
        <v>0.98229999999999995</v>
      </c>
      <c r="D285" s="3133">
        <v>0.97950000000000004</v>
      </c>
      <c r="E285" s="3133">
        <v>0.97950000000000004</v>
      </c>
      <c r="F285" s="3133">
        <v>0.97950000000000004</v>
      </c>
      <c r="G285" s="3133">
        <v>0.9012</v>
      </c>
      <c r="H285" s="3133">
        <v>0.9012</v>
      </c>
      <c r="I285" s="3133">
        <v>0.83509999999999995</v>
      </c>
      <c r="J285" s="3133">
        <v>0.83509999999999995</v>
      </c>
      <c r="K285" s="3133">
        <v>0.83509999999999995</v>
      </c>
      <c r="L285" s="3133">
        <v>0.83509999999999995</v>
      </c>
      <c r="M285" s="3134">
        <v>0.83509999999999995</v>
      </c>
    </row>
    <row r="286" spans="1:21">
      <c r="A286" s="3132">
        <v>1.7</v>
      </c>
      <c r="B286" s="3133">
        <v>0.96550000000000002</v>
      </c>
      <c r="C286" s="3133">
        <v>0.96550000000000002</v>
      </c>
      <c r="D286" s="3133">
        <v>0.96009999999999995</v>
      </c>
      <c r="E286" s="3133">
        <v>0.96009999999999995</v>
      </c>
      <c r="F286" s="3133">
        <v>0.96009999999999995</v>
      </c>
      <c r="G286" s="3133">
        <v>0.87980000000000003</v>
      </c>
      <c r="H286" s="3133">
        <v>0.87980000000000003</v>
      </c>
      <c r="I286" s="3133">
        <v>0.81269999999999998</v>
      </c>
      <c r="J286" s="3133">
        <v>0.81269999999999998</v>
      </c>
      <c r="K286" s="3133">
        <v>0.81269999999999998</v>
      </c>
      <c r="L286" s="3133">
        <v>0.81269999999999998</v>
      </c>
      <c r="M286" s="3134">
        <v>0.81269999999999998</v>
      </c>
    </row>
    <row r="287" spans="1:21">
      <c r="A287" s="3132">
        <v>1.8</v>
      </c>
      <c r="B287" s="3133">
        <v>0.94969999999999999</v>
      </c>
      <c r="C287" s="3133">
        <v>0.94969999999999999</v>
      </c>
      <c r="D287" s="3133">
        <v>0.94189999999999996</v>
      </c>
      <c r="E287" s="3133">
        <v>0.94189999999999996</v>
      </c>
      <c r="F287" s="3133">
        <v>0.94189999999999996</v>
      </c>
      <c r="G287" s="3133">
        <v>0.85960000000000003</v>
      </c>
      <c r="H287" s="3133">
        <v>0.85960000000000003</v>
      </c>
      <c r="I287" s="3133">
        <v>0.79149999999999998</v>
      </c>
      <c r="J287" s="3133">
        <v>0.79149999999999998</v>
      </c>
      <c r="K287" s="3133">
        <v>0.79149999999999998</v>
      </c>
      <c r="L287" s="3133">
        <v>0.79149999999999998</v>
      </c>
      <c r="M287" s="3134">
        <v>0.79149999999999998</v>
      </c>
    </row>
    <row r="288" spans="1:21">
      <c r="A288" s="3132">
        <v>1.9</v>
      </c>
      <c r="B288" s="3133">
        <v>0.93479999999999996</v>
      </c>
      <c r="C288" s="3133">
        <v>0.93479999999999996</v>
      </c>
      <c r="D288" s="3133">
        <v>0.92459999999999998</v>
      </c>
      <c r="E288" s="3133">
        <v>0.92459999999999998</v>
      </c>
      <c r="F288" s="3133">
        <v>0.92459999999999998</v>
      </c>
      <c r="G288" s="3133">
        <v>0.84060000000000001</v>
      </c>
      <c r="H288" s="3133">
        <v>0.84060000000000001</v>
      </c>
      <c r="I288" s="3133">
        <v>0.77149999999999996</v>
      </c>
      <c r="J288" s="3133">
        <v>0.77149999999999996</v>
      </c>
      <c r="K288" s="3133">
        <v>0.77149999999999996</v>
      </c>
      <c r="L288" s="3133">
        <v>0.77149999999999996</v>
      </c>
      <c r="M288" s="3134">
        <v>0.77149999999999996</v>
      </c>
    </row>
    <row r="289" spans="1:13">
      <c r="A289" s="3132">
        <v>2</v>
      </c>
      <c r="B289" s="3133">
        <v>0.92079999999999995</v>
      </c>
      <c r="C289" s="3133">
        <v>0.92079999999999995</v>
      </c>
      <c r="D289" s="3133">
        <v>0.90839999999999999</v>
      </c>
      <c r="E289" s="3133">
        <v>0.90839999999999999</v>
      </c>
      <c r="F289" s="3133">
        <v>0.90839999999999999</v>
      </c>
      <c r="G289" s="3133">
        <v>0.82269999999999999</v>
      </c>
      <c r="H289" s="3133">
        <v>0.82269999999999999</v>
      </c>
      <c r="I289" s="3133">
        <v>0.75270000000000004</v>
      </c>
      <c r="J289" s="3133">
        <v>0.75270000000000004</v>
      </c>
      <c r="K289" s="3133">
        <v>0.75270000000000004</v>
      </c>
      <c r="L289" s="3133">
        <v>0.75270000000000004</v>
      </c>
      <c r="M289" s="3134">
        <v>0.75270000000000004</v>
      </c>
    </row>
    <row r="290" spans="1:13">
      <c r="A290" s="3135">
        <v>2.1</v>
      </c>
      <c r="B290" s="3133">
        <v>0.90759999999999996</v>
      </c>
      <c r="C290" s="3133">
        <v>0.90759999999999996</v>
      </c>
      <c r="D290" s="3133">
        <v>0.89319999999999999</v>
      </c>
      <c r="E290" s="3133">
        <v>0.89319999999999999</v>
      </c>
      <c r="F290" s="3133">
        <v>0.89319999999999999</v>
      </c>
      <c r="G290" s="3133">
        <v>0.80589999999999995</v>
      </c>
      <c r="H290" s="3133">
        <v>0.80589999999999995</v>
      </c>
      <c r="I290" s="3133">
        <v>0.73499999999999999</v>
      </c>
      <c r="J290" s="3133">
        <v>0.73499999999999999</v>
      </c>
      <c r="K290" s="3133">
        <v>0.73499999999999999</v>
      </c>
      <c r="L290" s="3133">
        <v>0.73499999999999999</v>
      </c>
      <c r="M290" s="3134">
        <v>0.73499999999999999</v>
      </c>
    </row>
    <row r="291" spans="1:13">
      <c r="A291" s="3135">
        <v>2.2000000000000002</v>
      </c>
      <c r="B291" s="3133">
        <v>0.8952</v>
      </c>
      <c r="C291" s="3133">
        <v>0.8952</v>
      </c>
      <c r="D291" s="3133">
        <v>0.87880000000000003</v>
      </c>
      <c r="E291" s="3133">
        <v>0.87880000000000003</v>
      </c>
      <c r="F291" s="3133">
        <v>0.87880000000000003</v>
      </c>
      <c r="G291" s="3133">
        <v>0.79</v>
      </c>
      <c r="H291" s="3133">
        <v>0.79</v>
      </c>
      <c r="I291" s="3133">
        <v>0.71840000000000004</v>
      </c>
      <c r="J291" s="3133">
        <v>0.71840000000000004</v>
      </c>
      <c r="K291" s="3133">
        <v>0.71840000000000004</v>
      </c>
      <c r="L291" s="3133">
        <v>0.71840000000000004</v>
      </c>
      <c r="M291" s="3134">
        <v>0.71840000000000004</v>
      </c>
    </row>
    <row r="292" spans="1:13">
      <c r="A292" s="3135">
        <v>2.2999999999999998</v>
      </c>
      <c r="B292" s="3133">
        <v>0.88360000000000005</v>
      </c>
      <c r="C292" s="3133">
        <v>0.88360000000000005</v>
      </c>
      <c r="D292" s="3133">
        <v>0.86529999999999996</v>
      </c>
      <c r="E292" s="3133">
        <v>0.86529999999999996</v>
      </c>
      <c r="F292" s="3133">
        <v>0.86529999999999996</v>
      </c>
      <c r="G292" s="3133">
        <v>0.77510000000000001</v>
      </c>
      <c r="H292" s="3133">
        <v>0.77510000000000001</v>
      </c>
      <c r="I292" s="3133">
        <v>0.70269999999999999</v>
      </c>
      <c r="J292" s="3133">
        <v>0.70269999999999999</v>
      </c>
      <c r="K292" s="3133">
        <v>0.70269999999999999</v>
      </c>
      <c r="L292" s="3133">
        <v>0.70269999999999999</v>
      </c>
      <c r="M292" s="3134">
        <v>0.70269999999999999</v>
      </c>
    </row>
    <row r="293" spans="1:13">
      <c r="A293" s="3135">
        <v>2.4</v>
      </c>
      <c r="B293" s="3133">
        <v>0.87260000000000004</v>
      </c>
      <c r="C293" s="3133">
        <v>0.87260000000000004</v>
      </c>
      <c r="D293" s="3133">
        <v>0.85260000000000002</v>
      </c>
      <c r="E293" s="3133">
        <v>0.85260000000000002</v>
      </c>
      <c r="F293" s="3133">
        <v>0.85260000000000002</v>
      </c>
      <c r="G293" s="3133">
        <v>0.76100000000000001</v>
      </c>
      <c r="H293" s="3133">
        <v>0.76100000000000001</v>
      </c>
      <c r="I293" s="3133">
        <v>0.68799999999999994</v>
      </c>
      <c r="J293" s="3133">
        <v>0.68799999999999994</v>
      </c>
      <c r="K293" s="3133">
        <v>0.68799999999999994</v>
      </c>
      <c r="L293" s="3133">
        <v>0.68799999999999994</v>
      </c>
      <c r="M293" s="3134">
        <v>0.68799999999999994</v>
      </c>
    </row>
    <row r="294" spans="1:13">
      <c r="A294" s="3135">
        <v>2.5</v>
      </c>
      <c r="B294" s="3133">
        <v>0.86229999999999996</v>
      </c>
      <c r="C294" s="3133">
        <v>0.86229999999999996</v>
      </c>
      <c r="D294" s="3133">
        <v>0.8407</v>
      </c>
      <c r="E294" s="3133">
        <v>0.8407</v>
      </c>
      <c r="F294" s="3133">
        <v>0.8407</v>
      </c>
      <c r="G294" s="3133">
        <v>0.74780000000000002</v>
      </c>
      <c r="H294" s="3133">
        <v>0.74780000000000002</v>
      </c>
      <c r="I294" s="3133">
        <v>0.67410000000000003</v>
      </c>
      <c r="J294" s="3133">
        <v>0.67410000000000003</v>
      </c>
      <c r="K294" s="3133">
        <v>0.67410000000000003</v>
      </c>
      <c r="L294" s="3133">
        <v>0.67410000000000003</v>
      </c>
      <c r="M294" s="3134">
        <v>0.67410000000000003</v>
      </c>
    </row>
    <row r="295" spans="1:13">
      <c r="A295" s="3135">
        <v>2.6</v>
      </c>
      <c r="B295" s="3133">
        <v>0.85270000000000001</v>
      </c>
      <c r="C295" s="3133">
        <v>0.85270000000000001</v>
      </c>
      <c r="D295" s="3133">
        <v>0.82950000000000002</v>
      </c>
      <c r="E295" s="3133">
        <v>0.82950000000000002</v>
      </c>
      <c r="F295" s="3133">
        <v>0.82950000000000002</v>
      </c>
      <c r="G295" s="3133">
        <v>0.73540000000000005</v>
      </c>
      <c r="H295" s="3133">
        <v>0.73540000000000005</v>
      </c>
      <c r="I295" s="3133">
        <v>0.66110000000000002</v>
      </c>
      <c r="J295" s="3133">
        <v>0.66110000000000002</v>
      </c>
      <c r="K295" s="3133">
        <v>0.66110000000000002</v>
      </c>
      <c r="L295" s="3133">
        <v>0.66110000000000002</v>
      </c>
      <c r="M295" s="3134">
        <v>0.66110000000000002</v>
      </c>
    </row>
    <row r="296" spans="1:13">
      <c r="A296" s="3135">
        <v>2.7</v>
      </c>
      <c r="B296" s="3133">
        <v>0.84360000000000002</v>
      </c>
      <c r="C296" s="3133">
        <v>0.84360000000000002</v>
      </c>
      <c r="D296" s="3133">
        <v>0.81899999999999995</v>
      </c>
      <c r="E296" s="3133">
        <v>0.81899999999999995</v>
      </c>
      <c r="F296" s="3133">
        <v>0.81899999999999995</v>
      </c>
      <c r="G296" s="3133">
        <v>0.7238</v>
      </c>
      <c r="H296" s="3133">
        <v>0.7238</v>
      </c>
      <c r="I296" s="3133">
        <v>0.64880000000000004</v>
      </c>
      <c r="J296" s="3133">
        <v>0.64880000000000004</v>
      </c>
      <c r="K296" s="3133">
        <v>0.64880000000000004</v>
      </c>
      <c r="L296" s="3133">
        <v>0.64880000000000004</v>
      </c>
      <c r="M296" s="3134">
        <v>0.64880000000000004</v>
      </c>
    </row>
    <row r="297" spans="1:13">
      <c r="A297" s="3135">
        <v>2.8</v>
      </c>
      <c r="B297" s="3133">
        <v>0.83509999999999995</v>
      </c>
      <c r="C297" s="3133">
        <v>0.83509999999999995</v>
      </c>
      <c r="D297" s="3133">
        <v>0.80910000000000004</v>
      </c>
      <c r="E297" s="3133">
        <v>0.80910000000000004</v>
      </c>
      <c r="F297" s="3133">
        <v>0.80910000000000004</v>
      </c>
      <c r="G297" s="3133">
        <v>0.71289999999999998</v>
      </c>
      <c r="H297" s="3133">
        <v>0.71289999999999998</v>
      </c>
      <c r="I297" s="3133">
        <v>0.63739999999999997</v>
      </c>
      <c r="J297" s="3133">
        <v>0.63739999999999997</v>
      </c>
      <c r="K297" s="3133">
        <v>0.63739999999999997</v>
      </c>
      <c r="L297" s="3133">
        <v>0.63739999999999997</v>
      </c>
      <c r="M297" s="3134">
        <v>0.63739999999999997</v>
      </c>
    </row>
    <row r="298" spans="1:13">
      <c r="A298" s="3135">
        <v>2.9</v>
      </c>
      <c r="B298" s="3133">
        <v>0.82720000000000005</v>
      </c>
      <c r="C298" s="3133">
        <v>0.82720000000000005</v>
      </c>
      <c r="D298" s="3133">
        <v>0.79990000000000006</v>
      </c>
      <c r="E298" s="3133">
        <v>0.79990000000000006</v>
      </c>
      <c r="F298" s="3133">
        <v>0.79990000000000006</v>
      </c>
      <c r="G298" s="3133">
        <v>0.7026</v>
      </c>
      <c r="H298" s="3133">
        <v>0.7026</v>
      </c>
      <c r="I298" s="3133">
        <v>0.62660000000000005</v>
      </c>
      <c r="J298" s="3133">
        <v>0.62660000000000005</v>
      </c>
      <c r="K298" s="3133">
        <v>0.62660000000000005</v>
      </c>
      <c r="L298" s="3133">
        <v>0.62660000000000005</v>
      </c>
      <c r="M298" s="3134">
        <v>0.62660000000000005</v>
      </c>
    </row>
    <row r="299" spans="1:13">
      <c r="A299" s="3135">
        <v>3</v>
      </c>
      <c r="B299" s="3133">
        <v>0.81969999999999998</v>
      </c>
      <c r="C299" s="3133">
        <v>0.81969999999999998</v>
      </c>
      <c r="D299" s="3133">
        <v>0.79120000000000001</v>
      </c>
      <c r="E299" s="3133">
        <v>0.79120000000000001</v>
      </c>
      <c r="F299" s="3133">
        <v>0.79120000000000001</v>
      </c>
      <c r="G299" s="3133">
        <v>0.69299999999999995</v>
      </c>
      <c r="H299" s="3133">
        <v>0.69299999999999995</v>
      </c>
      <c r="I299" s="3133">
        <v>0.61650000000000005</v>
      </c>
      <c r="J299" s="3133">
        <v>0.61650000000000005</v>
      </c>
      <c r="K299" s="3133">
        <v>0.61650000000000005</v>
      </c>
      <c r="L299" s="3133">
        <v>0.61650000000000005</v>
      </c>
      <c r="M299" s="3134">
        <v>0.61650000000000005</v>
      </c>
    </row>
    <row r="300" spans="1:13">
      <c r="A300" s="3135">
        <v>3.1</v>
      </c>
      <c r="B300" s="3133">
        <v>0.81279999999999997</v>
      </c>
      <c r="C300" s="3133">
        <v>0.81279999999999997</v>
      </c>
      <c r="D300" s="3133">
        <v>0.78310000000000002</v>
      </c>
      <c r="E300" s="3133">
        <v>0.78310000000000002</v>
      </c>
      <c r="F300" s="3133">
        <v>0.78310000000000002</v>
      </c>
      <c r="G300" s="3133">
        <v>0.68400000000000005</v>
      </c>
      <c r="H300" s="3133">
        <v>0.68400000000000005</v>
      </c>
      <c r="I300" s="3133">
        <v>0.60709999999999997</v>
      </c>
      <c r="J300" s="3133">
        <v>0.60709999999999997</v>
      </c>
      <c r="K300" s="3133">
        <v>0.60709999999999997</v>
      </c>
      <c r="L300" s="3133">
        <v>0.60709999999999997</v>
      </c>
      <c r="M300" s="3134">
        <v>0.60709999999999997</v>
      </c>
    </row>
    <row r="301" spans="1:13">
      <c r="A301" s="3135">
        <v>3.2</v>
      </c>
      <c r="B301" s="3133">
        <v>0.80620000000000003</v>
      </c>
      <c r="C301" s="3133">
        <v>0.80620000000000003</v>
      </c>
      <c r="D301" s="3133">
        <v>0.77549999999999997</v>
      </c>
      <c r="E301" s="3133">
        <v>0.77549999999999997</v>
      </c>
      <c r="F301" s="3133">
        <v>0.77549999999999997</v>
      </c>
      <c r="G301" s="3133">
        <v>0.67559999999999998</v>
      </c>
      <c r="H301" s="3133">
        <v>0.67559999999999998</v>
      </c>
      <c r="I301" s="3133">
        <v>0.59809999999999997</v>
      </c>
      <c r="J301" s="3133">
        <v>0.59809999999999997</v>
      </c>
      <c r="K301" s="3133">
        <v>0.59809999999999997</v>
      </c>
      <c r="L301" s="3133">
        <v>0.59809999999999997</v>
      </c>
      <c r="M301" s="3134">
        <v>0.59809999999999997</v>
      </c>
    </row>
    <row r="302" spans="1:13">
      <c r="A302" s="3135">
        <v>3.3</v>
      </c>
      <c r="B302" s="3133">
        <v>0.80010000000000003</v>
      </c>
      <c r="C302" s="3133">
        <v>0.80010000000000003</v>
      </c>
      <c r="D302" s="3133">
        <v>0.76839999999999997</v>
      </c>
      <c r="E302" s="3133">
        <v>0.76839999999999997</v>
      </c>
      <c r="F302" s="3133">
        <v>0.76839999999999997</v>
      </c>
      <c r="G302" s="3133">
        <v>0.66769999999999996</v>
      </c>
      <c r="H302" s="3133">
        <v>0.66769999999999996</v>
      </c>
      <c r="I302" s="3133">
        <v>0.58979999999999999</v>
      </c>
      <c r="J302" s="3133">
        <v>0.58979999999999999</v>
      </c>
      <c r="K302" s="3133">
        <v>0.58979999999999999</v>
      </c>
      <c r="L302" s="3133">
        <v>0.58979999999999999</v>
      </c>
      <c r="M302" s="3134">
        <v>0.58979999999999999</v>
      </c>
    </row>
    <row r="303" spans="1:13">
      <c r="A303" s="3135">
        <v>3.4</v>
      </c>
      <c r="B303" s="3133">
        <v>0.7944</v>
      </c>
      <c r="C303" s="3133">
        <v>0.7944</v>
      </c>
      <c r="D303" s="3133">
        <v>0.76170000000000004</v>
      </c>
      <c r="E303" s="3133">
        <v>0.76170000000000004</v>
      </c>
      <c r="F303" s="3133">
        <v>0.76170000000000004</v>
      </c>
      <c r="G303" s="3133">
        <v>0.66020000000000001</v>
      </c>
      <c r="H303" s="3133">
        <v>0.66020000000000001</v>
      </c>
      <c r="I303" s="3133">
        <v>0.58209999999999995</v>
      </c>
      <c r="J303" s="3133">
        <v>0.58209999999999995</v>
      </c>
      <c r="K303" s="3133">
        <v>0.58209999999999995</v>
      </c>
      <c r="L303" s="3133">
        <v>0.58209999999999995</v>
      </c>
      <c r="M303" s="3134">
        <v>0.58209999999999995</v>
      </c>
    </row>
    <row r="304" spans="1:13">
      <c r="A304" s="3135">
        <v>3.5</v>
      </c>
      <c r="B304" s="3133">
        <v>0.78910000000000002</v>
      </c>
      <c r="C304" s="3133">
        <v>0.78910000000000002</v>
      </c>
      <c r="D304" s="3133">
        <v>0.75549999999999995</v>
      </c>
      <c r="E304" s="3133">
        <v>0.75549999999999995</v>
      </c>
      <c r="F304" s="3133">
        <v>0.75549999999999995</v>
      </c>
      <c r="G304" s="3133">
        <v>0.65329999999999999</v>
      </c>
      <c r="H304" s="3133">
        <v>0.65329999999999999</v>
      </c>
      <c r="I304" s="3133">
        <v>0.57479999999999998</v>
      </c>
      <c r="J304" s="3133">
        <v>0.57479999999999998</v>
      </c>
      <c r="K304" s="3133">
        <v>0.57479999999999998</v>
      </c>
      <c r="L304" s="3133">
        <v>0.57479999999999998</v>
      </c>
      <c r="M304" s="3134">
        <v>0.57479999999999998</v>
      </c>
    </row>
    <row r="305" spans="1:13">
      <c r="A305" s="3135">
        <v>3.6</v>
      </c>
      <c r="B305" s="3133">
        <v>0.78410000000000002</v>
      </c>
      <c r="C305" s="3133">
        <v>0.78410000000000002</v>
      </c>
      <c r="D305" s="3133">
        <v>0.74960000000000004</v>
      </c>
      <c r="E305" s="3133">
        <v>0.74960000000000004</v>
      </c>
      <c r="F305" s="3133">
        <v>0.74960000000000004</v>
      </c>
      <c r="G305" s="3133">
        <v>0.64680000000000004</v>
      </c>
      <c r="H305" s="3133">
        <v>0.64680000000000004</v>
      </c>
      <c r="I305" s="3133">
        <v>0.56789999999999996</v>
      </c>
      <c r="J305" s="3133">
        <v>0.56789999999999996</v>
      </c>
      <c r="K305" s="3133">
        <v>0.56789999999999996</v>
      </c>
      <c r="L305" s="3133">
        <v>0.56789999999999996</v>
      </c>
      <c r="M305" s="3134">
        <v>0.56789999999999996</v>
      </c>
    </row>
    <row r="306" spans="1:13">
      <c r="A306" s="3135">
        <v>3.7</v>
      </c>
      <c r="B306" s="3133">
        <v>0.77939999999999998</v>
      </c>
      <c r="C306" s="3133">
        <v>0.77939999999999998</v>
      </c>
      <c r="D306" s="3133">
        <v>0.74409999999999998</v>
      </c>
      <c r="E306" s="3133">
        <v>0.74409999999999998</v>
      </c>
      <c r="F306" s="3133">
        <v>0.74409999999999998</v>
      </c>
      <c r="G306" s="3133">
        <v>0.64070000000000005</v>
      </c>
      <c r="H306" s="3133">
        <v>0.64070000000000005</v>
      </c>
      <c r="I306" s="3133">
        <v>0.5615</v>
      </c>
      <c r="J306" s="3133">
        <v>0.5615</v>
      </c>
      <c r="K306" s="3133">
        <v>0.5615</v>
      </c>
      <c r="L306" s="3133">
        <v>0.5615</v>
      </c>
      <c r="M306" s="3134">
        <v>0.5615</v>
      </c>
    </row>
    <row r="307" spans="1:13">
      <c r="A307" s="3135">
        <v>3.8</v>
      </c>
      <c r="B307" s="3133">
        <v>0.77500000000000002</v>
      </c>
      <c r="C307" s="3133">
        <v>0.77500000000000002</v>
      </c>
      <c r="D307" s="3133">
        <v>0.73899999999999999</v>
      </c>
      <c r="E307" s="3133">
        <v>0.73899999999999999</v>
      </c>
      <c r="F307" s="3133">
        <v>0.73899999999999999</v>
      </c>
      <c r="G307" s="3133">
        <v>0.63490000000000002</v>
      </c>
      <c r="H307" s="3133">
        <v>0.63490000000000002</v>
      </c>
      <c r="I307" s="3133">
        <v>0.55549999999999999</v>
      </c>
      <c r="J307" s="3133">
        <v>0.55549999999999999</v>
      </c>
      <c r="K307" s="3133">
        <v>0.55549999999999999</v>
      </c>
      <c r="L307" s="3133">
        <v>0.55549999999999999</v>
      </c>
      <c r="M307" s="3134">
        <v>0.55549999999999999</v>
      </c>
    </row>
    <row r="308" spans="1:13">
      <c r="A308" s="3135">
        <v>3.9</v>
      </c>
      <c r="B308" s="3133">
        <v>0.77090000000000003</v>
      </c>
      <c r="C308" s="3133">
        <v>0.77090000000000003</v>
      </c>
      <c r="D308" s="3133">
        <v>0.73419999999999996</v>
      </c>
      <c r="E308" s="3133">
        <v>0.73419999999999996</v>
      </c>
      <c r="F308" s="3133">
        <v>0.73419999999999996</v>
      </c>
      <c r="G308" s="3133">
        <v>0.62949999999999995</v>
      </c>
      <c r="H308" s="3133">
        <v>0.62949999999999995</v>
      </c>
      <c r="I308" s="3133">
        <v>0.54990000000000006</v>
      </c>
      <c r="J308" s="3133">
        <v>0.54990000000000006</v>
      </c>
      <c r="K308" s="3133">
        <v>0.54990000000000006</v>
      </c>
      <c r="L308" s="3133">
        <v>0.54990000000000006</v>
      </c>
      <c r="M308" s="3134">
        <v>0.54990000000000006</v>
      </c>
    </row>
    <row r="309" spans="1:13">
      <c r="A309" s="3135">
        <v>4</v>
      </c>
      <c r="B309" s="3133">
        <v>0.7671</v>
      </c>
      <c r="C309" s="3133">
        <v>0.7671</v>
      </c>
      <c r="D309" s="3133">
        <v>0.72970000000000002</v>
      </c>
      <c r="E309" s="3133">
        <v>0.72970000000000002</v>
      </c>
      <c r="F309" s="3133">
        <v>0.72970000000000002</v>
      </c>
      <c r="G309" s="3133">
        <v>0.62450000000000006</v>
      </c>
      <c r="H309" s="3133">
        <v>0.62450000000000006</v>
      </c>
      <c r="I309" s="3133">
        <v>0.54449999999999998</v>
      </c>
      <c r="J309" s="3133">
        <v>0.54449999999999998</v>
      </c>
      <c r="K309" s="3133">
        <v>0.54449999999999998</v>
      </c>
      <c r="L309" s="3133">
        <v>0.54449999999999998</v>
      </c>
      <c r="M309" s="3134">
        <v>0.54449999999999998</v>
      </c>
    </row>
    <row r="310" spans="1:13">
      <c r="A310" s="3135">
        <v>4.0999999999999996</v>
      </c>
      <c r="B310" s="3133">
        <v>0.76349999999999996</v>
      </c>
      <c r="C310" s="3133">
        <v>0.76349999999999996</v>
      </c>
      <c r="D310" s="3133">
        <v>0.72540000000000004</v>
      </c>
      <c r="E310" s="3133">
        <v>0.72540000000000004</v>
      </c>
      <c r="F310" s="3133">
        <v>0.72540000000000004</v>
      </c>
      <c r="G310" s="3133">
        <v>0.61970000000000003</v>
      </c>
      <c r="H310" s="3133">
        <v>0.61970000000000003</v>
      </c>
      <c r="I310" s="3133">
        <v>0.53959999999999997</v>
      </c>
      <c r="J310" s="3133">
        <v>0.53959999999999997</v>
      </c>
      <c r="K310" s="3133">
        <v>0.53959999999999997</v>
      </c>
      <c r="L310" s="3133">
        <v>0.53959999999999997</v>
      </c>
      <c r="M310" s="3134">
        <v>0.53959999999999997</v>
      </c>
    </row>
    <row r="311" spans="1:13">
      <c r="A311" s="3135">
        <v>4.2</v>
      </c>
      <c r="B311" s="3133">
        <v>0.7601</v>
      </c>
      <c r="C311" s="3133">
        <v>0.7601</v>
      </c>
      <c r="D311" s="3133">
        <v>0.72140000000000004</v>
      </c>
      <c r="E311" s="3133">
        <v>0.72140000000000004</v>
      </c>
      <c r="F311" s="3133">
        <v>0.72140000000000004</v>
      </c>
      <c r="G311" s="3133">
        <v>0.61529999999999996</v>
      </c>
      <c r="H311" s="3133">
        <v>0.61529999999999996</v>
      </c>
      <c r="I311" s="3133">
        <v>0.53490000000000004</v>
      </c>
      <c r="J311" s="3133">
        <v>0.53490000000000004</v>
      </c>
      <c r="K311" s="3133">
        <v>0.53490000000000004</v>
      </c>
      <c r="L311" s="3133">
        <v>0.53490000000000004</v>
      </c>
      <c r="M311" s="3134">
        <v>0.53490000000000004</v>
      </c>
    </row>
    <row r="312" spans="1:13">
      <c r="A312" s="3135">
        <v>4.3</v>
      </c>
      <c r="B312" s="3133">
        <v>0.75700000000000001</v>
      </c>
      <c r="C312" s="3133">
        <v>0.75700000000000001</v>
      </c>
      <c r="D312" s="3133">
        <v>0.7177</v>
      </c>
      <c r="E312" s="3133">
        <v>0.7177</v>
      </c>
      <c r="F312" s="3133">
        <v>0.7177</v>
      </c>
      <c r="G312" s="3133">
        <v>0.61109999999999998</v>
      </c>
      <c r="H312" s="3133">
        <v>0.61109999999999998</v>
      </c>
      <c r="I312" s="3133">
        <v>0.53049999999999997</v>
      </c>
      <c r="J312" s="3133">
        <v>0.53049999999999997</v>
      </c>
      <c r="K312" s="3133">
        <v>0.53049999999999997</v>
      </c>
      <c r="L312" s="3133">
        <v>0.53049999999999997</v>
      </c>
      <c r="M312" s="3134">
        <v>0.53049999999999997</v>
      </c>
    </row>
    <row r="313" spans="1:13">
      <c r="A313" s="3135">
        <v>4.4000000000000004</v>
      </c>
      <c r="B313" s="3133">
        <v>0.754</v>
      </c>
      <c r="C313" s="3133">
        <v>0.754</v>
      </c>
      <c r="D313" s="3133">
        <v>0.71409999999999996</v>
      </c>
      <c r="E313" s="3133">
        <v>0.71409999999999996</v>
      </c>
      <c r="F313" s="3133">
        <v>0.71409999999999996</v>
      </c>
      <c r="G313" s="3133">
        <v>0.60709999999999997</v>
      </c>
      <c r="H313" s="3133">
        <v>0.60709999999999997</v>
      </c>
      <c r="I313" s="3133">
        <v>0.52639999999999998</v>
      </c>
      <c r="J313" s="3133">
        <v>0.52639999999999998</v>
      </c>
      <c r="K313" s="3133">
        <v>0.52639999999999998</v>
      </c>
      <c r="L313" s="3133">
        <v>0.52639999999999998</v>
      </c>
      <c r="M313" s="3134">
        <v>0.52639999999999998</v>
      </c>
    </row>
    <row r="314" spans="1:13">
      <c r="A314" s="3135">
        <v>4.5</v>
      </c>
      <c r="B314" s="3133">
        <v>0.75119999999999998</v>
      </c>
      <c r="C314" s="3133">
        <v>0.75119999999999998</v>
      </c>
      <c r="D314" s="3133">
        <v>0.71079999999999999</v>
      </c>
      <c r="E314" s="3133">
        <v>0.71079999999999999</v>
      </c>
      <c r="F314" s="3133">
        <v>0.71079999999999999</v>
      </c>
      <c r="G314" s="3133">
        <v>0.60329999999999995</v>
      </c>
      <c r="H314" s="3133">
        <v>0.60329999999999995</v>
      </c>
      <c r="I314" s="3133">
        <v>0.52249999999999996</v>
      </c>
      <c r="J314" s="3133">
        <v>0.52249999999999996</v>
      </c>
      <c r="K314" s="3133">
        <v>0.52249999999999996</v>
      </c>
      <c r="L314" s="3133">
        <v>0.52249999999999996</v>
      </c>
      <c r="M314" s="3134">
        <v>0.52249999999999996</v>
      </c>
    </row>
    <row r="315" spans="1:13">
      <c r="A315" s="3135">
        <v>4.5999999999999996</v>
      </c>
      <c r="B315" s="3133">
        <v>0.74860000000000004</v>
      </c>
      <c r="C315" s="3133">
        <v>0.74860000000000004</v>
      </c>
      <c r="D315" s="3133">
        <v>0.70760000000000001</v>
      </c>
      <c r="E315" s="3133">
        <v>0.70760000000000001</v>
      </c>
      <c r="F315" s="3133">
        <v>0.70760000000000001</v>
      </c>
      <c r="G315" s="3133">
        <v>0.59970000000000001</v>
      </c>
      <c r="H315" s="3133">
        <v>0.59970000000000001</v>
      </c>
      <c r="I315" s="3133">
        <v>0.51890000000000003</v>
      </c>
      <c r="J315" s="3133">
        <v>0.51890000000000003</v>
      </c>
      <c r="K315" s="3133">
        <v>0.51890000000000003</v>
      </c>
      <c r="L315" s="3133">
        <v>0.51890000000000003</v>
      </c>
      <c r="M315" s="3134">
        <v>0.51890000000000003</v>
      </c>
    </row>
    <row r="316" spans="1:13">
      <c r="A316" s="3135">
        <v>4.7</v>
      </c>
      <c r="B316" s="3133">
        <v>0.74609999999999999</v>
      </c>
      <c r="C316" s="3133">
        <v>0.74609999999999999</v>
      </c>
      <c r="D316" s="3133">
        <v>0.7046</v>
      </c>
      <c r="E316" s="3133">
        <v>0.7046</v>
      </c>
      <c r="F316" s="3133">
        <v>0.7046</v>
      </c>
      <c r="G316" s="3133">
        <v>0.59630000000000005</v>
      </c>
      <c r="H316" s="3133">
        <v>0.59630000000000005</v>
      </c>
      <c r="I316" s="3133">
        <v>0.51529999999999998</v>
      </c>
      <c r="J316" s="3133">
        <v>0.51529999999999998</v>
      </c>
      <c r="K316" s="3133">
        <v>0.51529999999999998</v>
      </c>
      <c r="L316" s="3133">
        <v>0.51529999999999998</v>
      </c>
      <c r="M316" s="3134">
        <v>0.51529999999999998</v>
      </c>
    </row>
    <row r="317" spans="1:13">
      <c r="A317" s="3135">
        <v>4.8</v>
      </c>
      <c r="B317" s="3133">
        <v>0.74380000000000002</v>
      </c>
      <c r="C317" s="3133">
        <v>0.74380000000000002</v>
      </c>
      <c r="D317" s="3133">
        <v>0.70169999999999999</v>
      </c>
      <c r="E317" s="3133">
        <v>0.70169999999999999</v>
      </c>
      <c r="F317" s="3133">
        <v>0.70169999999999999</v>
      </c>
      <c r="G317" s="3133">
        <v>0.59309999999999996</v>
      </c>
      <c r="H317" s="3133">
        <v>0.59309999999999996</v>
      </c>
      <c r="I317" s="3133">
        <v>0.5121</v>
      </c>
      <c r="J317" s="3133">
        <v>0.5121</v>
      </c>
      <c r="K317" s="3133">
        <v>0.5121</v>
      </c>
      <c r="L317" s="3133">
        <v>0.5121</v>
      </c>
      <c r="M317" s="3134">
        <v>0.5121</v>
      </c>
    </row>
    <row r="318" spans="1:13">
      <c r="A318" s="3135">
        <v>4.9000000000000004</v>
      </c>
      <c r="B318" s="3133">
        <v>0.74160000000000004</v>
      </c>
      <c r="C318" s="3133">
        <v>0.74160000000000004</v>
      </c>
      <c r="D318" s="3133">
        <v>0.69889999999999997</v>
      </c>
      <c r="E318" s="3133">
        <v>0.69889999999999997</v>
      </c>
      <c r="F318" s="3133">
        <v>0.69889999999999997</v>
      </c>
      <c r="G318" s="3133">
        <v>0.59009999999999996</v>
      </c>
      <c r="H318" s="3133">
        <v>0.59009999999999996</v>
      </c>
      <c r="I318" s="3133">
        <v>0.50900000000000001</v>
      </c>
      <c r="J318" s="3133">
        <v>0.50900000000000001</v>
      </c>
      <c r="K318" s="3133">
        <v>0.50900000000000001</v>
      </c>
      <c r="L318" s="3133">
        <v>0.50900000000000001</v>
      </c>
      <c r="M318" s="3134">
        <v>0.50900000000000001</v>
      </c>
    </row>
    <row r="319" spans="1:13">
      <c r="A319" s="3135">
        <v>5</v>
      </c>
      <c r="B319" s="3133">
        <v>0.73950000000000005</v>
      </c>
      <c r="C319" s="3133">
        <v>0.73950000000000005</v>
      </c>
      <c r="D319" s="3133">
        <v>0.69620000000000004</v>
      </c>
      <c r="E319" s="3133">
        <v>0.69620000000000004</v>
      </c>
      <c r="F319" s="3133">
        <v>0.69620000000000004</v>
      </c>
      <c r="G319" s="3133">
        <v>0.58720000000000006</v>
      </c>
      <c r="H319" s="3133">
        <v>0.58720000000000006</v>
      </c>
      <c r="I319" s="3133">
        <v>0.50609999999999999</v>
      </c>
      <c r="J319" s="3133">
        <v>0.50609999999999999</v>
      </c>
      <c r="K319" s="3133">
        <v>0.50609999999999999</v>
      </c>
      <c r="L319" s="3133">
        <v>0.50609999999999999</v>
      </c>
      <c r="M319" s="3134">
        <v>0.50609999999999999</v>
      </c>
    </row>
    <row r="320" spans="1:13">
      <c r="A320" s="3132">
        <v>5.0999999999999996</v>
      </c>
      <c r="B320" s="3133">
        <v>0.73750000000000004</v>
      </c>
      <c r="C320" s="3133">
        <v>0.73750000000000004</v>
      </c>
      <c r="D320" s="3133">
        <v>0.69359999999999999</v>
      </c>
      <c r="E320" s="3133">
        <v>0.69359999999999999</v>
      </c>
      <c r="F320" s="3133">
        <v>0.69359999999999999</v>
      </c>
      <c r="G320" s="3133">
        <v>0.58440000000000003</v>
      </c>
      <c r="H320" s="3133">
        <v>0.58440000000000003</v>
      </c>
      <c r="I320" s="3133">
        <v>0.50329999999999997</v>
      </c>
      <c r="J320" s="3133">
        <v>0.50329999999999997</v>
      </c>
      <c r="K320" s="3133">
        <v>0.50329999999999997</v>
      </c>
      <c r="L320" s="3133">
        <v>0.50329999999999997</v>
      </c>
      <c r="M320" s="3134">
        <v>0.50329999999999997</v>
      </c>
    </row>
    <row r="321" spans="1:13">
      <c r="A321" s="3132">
        <v>5.2</v>
      </c>
      <c r="B321" s="3133">
        <v>0.73560000000000003</v>
      </c>
      <c r="C321" s="3133">
        <v>0.73560000000000003</v>
      </c>
      <c r="D321" s="3133">
        <v>0.69110000000000005</v>
      </c>
      <c r="E321" s="3133">
        <v>0.69110000000000005</v>
      </c>
      <c r="F321" s="3133">
        <v>0.69110000000000005</v>
      </c>
      <c r="G321" s="3133">
        <v>0.58169999999999999</v>
      </c>
      <c r="H321" s="3133">
        <v>0.58169999999999999</v>
      </c>
      <c r="I321" s="3133">
        <v>0.50060000000000004</v>
      </c>
      <c r="J321" s="3133">
        <v>0.50060000000000004</v>
      </c>
      <c r="K321" s="3133">
        <v>0.50060000000000004</v>
      </c>
      <c r="L321" s="3133">
        <v>0.50060000000000004</v>
      </c>
      <c r="M321" s="3134">
        <v>0.50060000000000004</v>
      </c>
    </row>
    <row r="322" spans="1:13">
      <c r="A322" s="3132">
        <v>5.3</v>
      </c>
      <c r="B322" s="3133">
        <v>0.73380000000000001</v>
      </c>
      <c r="C322" s="3133">
        <v>0.73380000000000001</v>
      </c>
      <c r="D322" s="3133">
        <v>0.68869999999999998</v>
      </c>
      <c r="E322" s="3133">
        <v>0.68869999999999998</v>
      </c>
      <c r="F322" s="3133">
        <v>0.68869999999999998</v>
      </c>
      <c r="G322" s="3133">
        <v>0.57909999999999995</v>
      </c>
      <c r="H322" s="3133">
        <v>0.57909999999999995</v>
      </c>
      <c r="I322" s="3133">
        <v>0.49809999999999999</v>
      </c>
      <c r="J322" s="3133">
        <v>0.49809999999999999</v>
      </c>
      <c r="K322" s="3133">
        <v>0.49809999999999999</v>
      </c>
      <c r="L322" s="3133">
        <v>0.49809999999999999</v>
      </c>
      <c r="M322" s="3134">
        <v>0.49809999999999999</v>
      </c>
    </row>
    <row r="323" spans="1:13">
      <c r="A323" s="3132">
        <v>5.4</v>
      </c>
      <c r="B323" s="3133">
        <v>0.73199999999999998</v>
      </c>
      <c r="C323" s="3133">
        <v>0.73199999999999998</v>
      </c>
      <c r="D323" s="3133">
        <v>0.68640000000000001</v>
      </c>
      <c r="E323" s="3133">
        <v>0.68640000000000001</v>
      </c>
      <c r="F323" s="3133">
        <v>0.68640000000000001</v>
      </c>
      <c r="G323" s="3133">
        <v>0.57650000000000001</v>
      </c>
      <c r="H323" s="3133">
        <v>0.57650000000000001</v>
      </c>
      <c r="I323" s="3133">
        <v>0.49559999999999998</v>
      </c>
      <c r="J323" s="3133">
        <v>0.49559999999999998</v>
      </c>
      <c r="K323" s="3133">
        <v>0.49559999999999998</v>
      </c>
      <c r="L323" s="3133">
        <v>0.49559999999999998</v>
      </c>
      <c r="M323" s="3134">
        <v>0.49559999999999998</v>
      </c>
    </row>
    <row r="324" spans="1:13">
      <c r="A324" s="3132">
        <v>5.5</v>
      </c>
      <c r="B324" s="3133">
        <v>0.73009999999999997</v>
      </c>
      <c r="C324" s="3133">
        <v>0.73009999999999997</v>
      </c>
      <c r="D324" s="3133">
        <v>0.68420000000000003</v>
      </c>
      <c r="E324" s="3133">
        <v>0.68420000000000003</v>
      </c>
      <c r="F324" s="3133">
        <v>0.68420000000000003</v>
      </c>
      <c r="G324" s="3133">
        <v>0.57399999999999995</v>
      </c>
      <c r="H324" s="3133">
        <v>0.57399999999999995</v>
      </c>
      <c r="I324" s="3133">
        <v>0.49320000000000003</v>
      </c>
      <c r="J324" s="3133">
        <v>0.49320000000000003</v>
      </c>
      <c r="K324" s="3133">
        <v>0.49320000000000003</v>
      </c>
      <c r="L324" s="3133">
        <v>0.49320000000000003</v>
      </c>
      <c r="M324" s="3134">
        <v>0.49320000000000003</v>
      </c>
    </row>
    <row r="325" spans="1:13">
      <c r="A325" s="3132">
        <v>5.6</v>
      </c>
      <c r="B325" s="3133">
        <v>0.72819999999999996</v>
      </c>
      <c r="C325" s="3133">
        <v>0.72819999999999996</v>
      </c>
      <c r="D325" s="3133">
        <v>0.68200000000000005</v>
      </c>
      <c r="E325" s="3133">
        <v>0.68200000000000005</v>
      </c>
      <c r="F325" s="3133">
        <v>0.68200000000000005</v>
      </c>
      <c r="G325" s="3133">
        <v>0.57150000000000001</v>
      </c>
      <c r="H325" s="3133">
        <v>0.57150000000000001</v>
      </c>
      <c r="I325" s="3133">
        <v>0.49080000000000001</v>
      </c>
      <c r="J325" s="3133">
        <v>0.49080000000000001</v>
      </c>
      <c r="K325" s="3133">
        <v>0.49080000000000001</v>
      </c>
      <c r="L325" s="3133">
        <v>0.49080000000000001</v>
      </c>
      <c r="M325" s="3134">
        <v>0.49080000000000001</v>
      </c>
    </row>
    <row r="326" spans="1:13">
      <c r="A326" s="3135">
        <v>5.7</v>
      </c>
      <c r="B326" s="3133">
        <v>0.72640000000000005</v>
      </c>
      <c r="C326" s="3133">
        <v>0.72640000000000005</v>
      </c>
      <c r="D326" s="3133">
        <v>0.67989999999999995</v>
      </c>
      <c r="E326" s="3133">
        <v>0.67989999999999995</v>
      </c>
      <c r="F326" s="3133">
        <v>0.67989999999999995</v>
      </c>
      <c r="G326" s="3133">
        <v>0.56899999999999995</v>
      </c>
      <c r="H326" s="3133">
        <v>0.56899999999999995</v>
      </c>
      <c r="I326" s="3133">
        <v>0.4884</v>
      </c>
      <c r="J326" s="3133">
        <v>0.4884</v>
      </c>
      <c r="K326" s="3133">
        <v>0.4884</v>
      </c>
      <c r="L326" s="3133">
        <v>0.4884</v>
      </c>
      <c r="M326" s="3134">
        <v>0.4884</v>
      </c>
    </row>
    <row r="327" spans="1:13">
      <c r="A327" s="3132">
        <v>5.8</v>
      </c>
      <c r="B327" s="3133">
        <v>0.72460000000000002</v>
      </c>
      <c r="C327" s="3133">
        <v>0.72460000000000002</v>
      </c>
      <c r="D327" s="3133">
        <v>0.67779999999999996</v>
      </c>
      <c r="E327" s="3133">
        <v>0.67779999999999996</v>
      </c>
      <c r="F327" s="3133">
        <v>0.67779999999999996</v>
      </c>
      <c r="G327" s="3133">
        <v>0.56659999999999999</v>
      </c>
      <c r="H327" s="3133">
        <v>0.56659999999999999</v>
      </c>
      <c r="I327" s="3133">
        <v>0.48609999999999998</v>
      </c>
      <c r="J327" s="3133">
        <v>0.48609999999999998</v>
      </c>
      <c r="K327" s="3133">
        <v>0.48609999999999998</v>
      </c>
      <c r="L327" s="3133">
        <v>0.48609999999999998</v>
      </c>
      <c r="M327" s="3134">
        <v>0.48609999999999998</v>
      </c>
    </row>
    <row r="328" spans="1:13">
      <c r="A328" s="3132">
        <v>5.9</v>
      </c>
      <c r="B328" s="3133">
        <v>0.7228</v>
      </c>
      <c r="C328" s="3133">
        <v>0.7228</v>
      </c>
      <c r="D328" s="3133">
        <v>0.67569999999999997</v>
      </c>
      <c r="E328" s="3133">
        <v>0.67569999999999997</v>
      </c>
      <c r="F328" s="3133">
        <v>0.67569999999999997</v>
      </c>
      <c r="G328" s="3133">
        <v>0.56420000000000003</v>
      </c>
      <c r="H328" s="3133">
        <v>0.56420000000000003</v>
      </c>
      <c r="I328" s="3133">
        <v>0.48380000000000001</v>
      </c>
      <c r="J328" s="3133">
        <v>0.48380000000000001</v>
      </c>
      <c r="K328" s="3133">
        <v>0.48380000000000001</v>
      </c>
      <c r="L328" s="3133">
        <v>0.48380000000000001</v>
      </c>
      <c r="M328" s="3134">
        <v>0.48380000000000001</v>
      </c>
    </row>
    <row r="329" spans="1:13">
      <c r="A329" s="3132">
        <v>6</v>
      </c>
      <c r="B329" s="3133">
        <v>0.72099999999999997</v>
      </c>
      <c r="C329" s="3133">
        <v>0.72099999999999997</v>
      </c>
      <c r="D329" s="3133">
        <v>0.67359999999999998</v>
      </c>
      <c r="E329" s="3133">
        <v>0.67359999999999998</v>
      </c>
      <c r="F329" s="3133">
        <v>0.67359999999999998</v>
      </c>
      <c r="G329" s="3133">
        <v>0.56179999999999997</v>
      </c>
      <c r="H329" s="3133">
        <v>0.56179999999999997</v>
      </c>
      <c r="I329" s="3133">
        <v>0.48159999999999997</v>
      </c>
      <c r="J329" s="3133">
        <v>0.48159999999999997</v>
      </c>
      <c r="K329" s="3133">
        <v>0.48159999999999997</v>
      </c>
      <c r="L329" s="3133">
        <v>0.48159999999999997</v>
      </c>
      <c r="M329" s="3134">
        <v>0.48159999999999997</v>
      </c>
    </row>
    <row r="330" spans="1:13">
      <c r="A330" s="3132">
        <v>6.1</v>
      </c>
      <c r="B330" s="3133">
        <v>0.71930000000000005</v>
      </c>
      <c r="C330" s="3133">
        <v>0.71930000000000005</v>
      </c>
      <c r="D330" s="3133">
        <v>0.67159999999999997</v>
      </c>
      <c r="E330" s="3133">
        <v>0.67159999999999997</v>
      </c>
      <c r="F330" s="3133">
        <v>0.67159999999999997</v>
      </c>
      <c r="G330" s="3133">
        <v>0.55940000000000001</v>
      </c>
      <c r="H330" s="3133">
        <v>0.55940000000000001</v>
      </c>
      <c r="I330" s="3133">
        <v>0.4793</v>
      </c>
      <c r="J330" s="3133">
        <v>0.4793</v>
      </c>
      <c r="K330" s="3133">
        <v>0.4793</v>
      </c>
      <c r="L330" s="3133">
        <v>0.4793</v>
      </c>
      <c r="M330" s="3134">
        <v>0.4793</v>
      </c>
    </row>
    <row r="331" spans="1:13">
      <c r="A331" s="3132">
        <v>6.2</v>
      </c>
      <c r="B331" s="3133">
        <v>0.71760000000000002</v>
      </c>
      <c r="C331" s="3133">
        <v>0.71760000000000002</v>
      </c>
      <c r="D331" s="3133">
        <v>0.66959999999999997</v>
      </c>
      <c r="E331" s="3133">
        <v>0.66959999999999997</v>
      </c>
      <c r="F331" s="3133">
        <v>0.66959999999999997</v>
      </c>
      <c r="G331" s="3133">
        <v>0.55710000000000004</v>
      </c>
      <c r="H331" s="3133">
        <v>0.55710000000000004</v>
      </c>
      <c r="I331" s="3133">
        <v>0.47710000000000002</v>
      </c>
      <c r="J331" s="3133">
        <v>0.47710000000000002</v>
      </c>
      <c r="K331" s="3133">
        <v>0.47710000000000002</v>
      </c>
      <c r="L331" s="3133">
        <v>0.47710000000000002</v>
      </c>
      <c r="M331" s="3134">
        <v>0.47710000000000002</v>
      </c>
    </row>
    <row r="332" spans="1:13">
      <c r="A332" s="3132">
        <v>6.3</v>
      </c>
      <c r="B332" s="3133">
        <v>0.71589999999999998</v>
      </c>
      <c r="C332" s="3133">
        <v>0.71589999999999998</v>
      </c>
      <c r="D332" s="3133">
        <v>0.66759999999999997</v>
      </c>
      <c r="E332" s="3133">
        <v>0.66759999999999997</v>
      </c>
      <c r="F332" s="3133">
        <v>0.66759999999999997</v>
      </c>
      <c r="G332" s="3133">
        <v>0.55479999999999996</v>
      </c>
      <c r="H332" s="3133">
        <v>0.55479999999999996</v>
      </c>
      <c r="I332" s="3133">
        <v>0.47489999999999999</v>
      </c>
      <c r="J332" s="3133">
        <v>0.47489999999999999</v>
      </c>
      <c r="K332" s="3133">
        <v>0.47489999999999999</v>
      </c>
      <c r="L332" s="3133">
        <v>0.47489999999999999</v>
      </c>
      <c r="M332" s="3134">
        <v>0.47489999999999999</v>
      </c>
    </row>
    <row r="333" spans="1:13">
      <c r="A333" s="3132">
        <v>6.4</v>
      </c>
      <c r="B333" s="3133">
        <v>0.71419999999999995</v>
      </c>
      <c r="C333" s="3133">
        <v>0.71419999999999995</v>
      </c>
      <c r="D333" s="3133">
        <v>0.66559999999999997</v>
      </c>
      <c r="E333" s="3133">
        <v>0.66559999999999997</v>
      </c>
      <c r="F333" s="3133">
        <v>0.66559999999999997</v>
      </c>
      <c r="G333" s="3133">
        <v>0.55249999999999999</v>
      </c>
      <c r="H333" s="3133">
        <v>0.55249999999999999</v>
      </c>
      <c r="I333" s="3133">
        <v>0.47270000000000001</v>
      </c>
      <c r="J333" s="3133">
        <v>0.47270000000000001</v>
      </c>
      <c r="K333" s="3133">
        <v>0.47270000000000001</v>
      </c>
      <c r="L333" s="3133">
        <v>0.47270000000000001</v>
      </c>
      <c r="M333" s="3134">
        <v>0.47270000000000001</v>
      </c>
    </row>
    <row r="334" spans="1:13">
      <c r="A334" s="3132">
        <v>6.5</v>
      </c>
      <c r="B334" s="3133">
        <v>0.71250000000000002</v>
      </c>
      <c r="C334" s="3133">
        <v>0.71250000000000002</v>
      </c>
      <c r="D334" s="3133">
        <v>0.66359999999999997</v>
      </c>
      <c r="E334" s="3133">
        <v>0.66359999999999997</v>
      </c>
      <c r="F334" s="3133">
        <v>0.66359999999999997</v>
      </c>
      <c r="G334" s="3133">
        <v>0.55020000000000002</v>
      </c>
      <c r="H334" s="3133">
        <v>0.55020000000000002</v>
      </c>
      <c r="I334" s="3133">
        <v>0.47060000000000002</v>
      </c>
      <c r="J334" s="3133">
        <v>0.47060000000000002</v>
      </c>
      <c r="K334" s="3133">
        <v>0.47060000000000002</v>
      </c>
      <c r="L334" s="3133">
        <v>0.47060000000000002</v>
      </c>
      <c r="M334" s="3134">
        <v>0.47060000000000002</v>
      </c>
    </row>
    <row r="335" spans="1:13">
      <c r="A335" s="3132">
        <v>6.6</v>
      </c>
      <c r="B335" s="3133">
        <v>0.71089999999999998</v>
      </c>
      <c r="C335" s="3133">
        <v>0.71089999999999998</v>
      </c>
      <c r="D335" s="3133">
        <v>0.66159999999999997</v>
      </c>
      <c r="E335" s="3133">
        <v>0.66159999999999997</v>
      </c>
      <c r="F335" s="3133">
        <v>0.66159999999999997</v>
      </c>
      <c r="G335" s="3133">
        <v>0.54800000000000004</v>
      </c>
      <c r="H335" s="3133">
        <v>0.54800000000000004</v>
      </c>
      <c r="I335" s="3133">
        <v>0.46839999999999998</v>
      </c>
      <c r="J335" s="3133">
        <v>0.46839999999999998</v>
      </c>
      <c r="K335" s="3133">
        <v>0.46839999999999998</v>
      </c>
      <c r="L335" s="3133">
        <v>0.46839999999999998</v>
      </c>
      <c r="M335" s="3134">
        <v>0.46839999999999998</v>
      </c>
    </row>
    <row r="336" spans="1:13">
      <c r="A336" s="3132">
        <v>6.7</v>
      </c>
      <c r="B336" s="3133">
        <v>0.70930000000000004</v>
      </c>
      <c r="C336" s="3133">
        <v>0.70930000000000004</v>
      </c>
      <c r="D336" s="3133">
        <v>0.65969999999999995</v>
      </c>
      <c r="E336" s="3133">
        <v>0.65969999999999995</v>
      </c>
      <c r="F336" s="3133">
        <v>0.65969999999999995</v>
      </c>
      <c r="G336" s="3133">
        <v>0.54579999999999995</v>
      </c>
      <c r="H336" s="3133">
        <v>0.54579999999999995</v>
      </c>
      <c r="I336" s="3133">
        <v>0.46629999999999999</v>
      </c>
      <c r="J336" s="3133">
        <v>0.46629999999999999</v>
      </c>
      <c r="K336" s="3133">
        <v>0.46629999999999999</v>
      </c>
      <c r="L336" s="3133">
        <v>0.46629999999999999</v>
      </c>
      <c r="M336" s="3134">
        <v>0.46629999999999999</v>
      </c>
    </row>
    <row r="337" spans="1:13">
      <c r="A337" s="3132">
        <v>6.8</v>
      </c>
      <c r="B337" s="3133">
        <v>0.7077</v>
      </c>
      <c r="C337" s="3133">
        <v>0.7077</v>
      </c>
      <c r="D337" s="3133">
        <v>0.65780000000000005</v>
      </c>
      <c r="E337" s="3133">
        <v>0.65780000000000005</v>
      </c>
      <c r="F337" s="3133">
        <v>0.65780000000000005</v>
      </c>
      <c r="G337" s="3133">
        <v>0.54359999999999997</v>
      </c>
      <c r="H337" s="3133">
        <v>0.54359999999999997</v>
      </c>
      <c r="I337" s="3133">
        <v>0.46410000000000001</v>
      </c>
      <c r="J337" s="3133">
        <v>0.46410000000000001</v>
      </c>
      <c r="K337" s="3133">
        <v>0.46410000000000001</v>
      </c>
      <c r="L337" s="3133">
        <v>0.46410000000000001</v>
      </c>
      <c r="M337" s="3134">
        <v>0.46410000000000001</v>
      </c>
    </row>
    <row r="338" spans="1:13">
      <c r="A338" s="3132">
        <v>6.9</v>
      </c>
      <c r="B338" s="3133">
        <v>0.70609999999999995</v>
      </c>
      <c r="C338" s="3133">
        <v>0.70609999999999995</v>
      </c>
      <c r="D338" s="3133">
        <v>0.65590000000000004</v>
      </c>
      <c r="E338" s="3133">
        <v>0.65590000000000004</v>
      </c>
      <c r="F338" s="3133">
        <v>0.65590000000000004</v>
      </c>
      <c r="G338" s="3133">
        <v>0.54139999999999999</v>
      </c>
      <c r="H338" s="3133">
        <v>0.54139999999999999</v>
      </c>
      <c r="I338" s="3133">
        <v>0.46200000000000002</v>
      </c>
      <c r="J338" s="3133">
        <v>0.46200000000000002</v>
      </c>
      <c r="K338" s="3133">
        <v>0.46200000000000002</v>
      </c>
      <c r="L338" s="3133">
        <v>0.46200000000000002</v>
      </c>
      <c r="M338" s="3134">
        <v>0.46200000000000002</v>
      </c>
    </row>
    <row r="339" spans="1:13">
      <c r="A339" s="3132">
        <v>7</v>
      </c>
      <c r="B339" s="3133">
        <v>0.70450000000000002</v>
      </c>
      <c r="C339" s="3133">
        <v>0.70450000000000002</v>
      </c>
      <c r="D339" s="3133">
        <v>0.65400000000000003</v>
      </c>
      <c r="E339" s="3133">
        <v>0.65400000000000003</v>
      </c>
      <c r="F339" s="3133">
        <v>0.65400000000000003</v>
      </c>
      <c r="G339" s="3133">
        <v>0.53920000000000001</v>
      </c>
      <c r="H339" s="3133">
        <v>0.53920000000000001</v>
      </c>
      <c r="I339" s="3133">
        <v>0.45979999999999999</v>
      </c>
      <c r="J339" s="3133">
        <v>0.45979999999999999</v>
      </c>
      <c r="K339" s="3133">
        <v>0.45979999999999999</v>
      </c>
      <c r="L339" s="3133">
        <v>0.45979999999999999</v>
      </c>
      <c r="M339" s="3134">
        <v>0.45979999999999999</v>
      </c>
    </row>
    <row r="340" spans="1:13">
      <c r="A340" s="3132">
        <v>7.1</v>
      </c>
      <c r="B340" s="3133">
        <v>0.70289999999999997</v>
      </c>
      <c r="C340" s="3133">
        <v>0.70289999999999997</v>
      </c>
      <c r="D340" s="3133">
        <v>0.65210000000000001</v>
      </c>
      <c r="E340" s="3133">
        <v>0.65210000000000001</v>
      </c>
      <c r="F340" s="3133">
        <v>0.65210000000000001</v>
      </c>
      <c r="G340" s="3133">
        <v>0.53710000000000002</v>
      </c>
      <c r="H340" s="3133">
        <v>0.53710000000000002</v>
      </c>
      <c r="I340" s="3133">
        <v>0.45779999999999998</v>
      </c>
      <c r="J340" s="3133">
        <v>0.45779999999999998</v>
      </c>
      <c r="K340" s="3133">
        <v>0.45779999999999998</v>
      </c>
      <c r="L340" s="3133">
        <v>0.45779999999999998</v>
      </c>
      <c r="M340" s="3134">
        <v>0.45779999999999998</v>
      </c>
    </row>
    <row r="341" spans="1:13">
      <c r="A341" s="3132">
        <v>7.2</v>
      </c>
      <c r="B341" s="3133">
        <v>0.70140000000000002</v>
      </c>
      <c r="C341" s="3133">
        <v>0.70140000000000002</v>
      </c>
      <c r="D341" s="3133">
        <v>0.6502</v>
      </c>
      <c r="E341" s="3133">
        <v>0.6502</v>
      </c>
      <c r="F341" s="3133">
        <v>0.6502</v>
      </c>
      <c r="G341" s="3133">
        <v>0.53500000000000003</v>
      </c>
      <c r="H341" s="3133">
        <v>0.53500000000000003</v>
      </c>
      <c r="I341" s="3133">
        <v>0.45569999999999999</v>
      </c>
      <c r="J341" s="3133">
        <v>0.45569999999999999</v>
      </c>
      <c r="K341" s="3133">
        <v>0.45569999999999999</v>
      </c>
      <c r="L341" s="3133">
        <v>0.45569999999999999</v>
      </c>
      <c r="M341" s="3134">
        <v>0.45569999999999999</v>
      </c>
    </row>
    <row r="342" spans="1:13">
      <c r="A342" s="3132">
        <v>7.3</v>
      </c>
      <c r="B342" s="3133">
        <v>0.69989999999999997</v>
      </c>
      <c r="C342" s="3133">
        <v>0.69989999999999997</v>
      </c>
      <c r="D342" s="3133">
        <v>0.64829999999999999</v>
      </c>
      <c r="E342" s="3133">
        <v>0.64829999999999999</v>
      </c>
      <c r="F342" s="3133">
        <v>0.64829999999999999</v>
      </c>
      <c r="G342" s="3133">
        <v>0.53290000000000004</v>
      </c>
      <c r="H342" s="3133">
        <v>0.53290000000000004</v>
      </c>
      <c r="I342" s="3133">
        <v>0.45369999999999999</v>
      </c>
      <c r="J342" s="3133">
        <v>0.45369999999999999</v>
      </c>
      <c r="K342" s="3133">
        <v>0.45369999999999999</v>
      </c>
      <c r="L342" s="3133">
        <v>0.45369999999999999</v>
      </c>
      <c r="M342" s="3134">
        <v>0.45369999999999999</v>
      </c>
    </row>
    <row r="343" spans="1:13">
      <c r="A343" s="3132">
        <v>7.4</v>
      </c>
      <c r="B343" s="3133">
        <v>0.69840000000000002</v>
      </c>
      <c r="C343" s="3133">
        <v>0.69840000000000002</v>
      </c>
      <c r="D343" s="3133">
        <v>0.64649999999999996</v>
      </c>
      <c r="E343" s="3133">
        <v>0.64649999999999996</v>
      </c>
      <c r="F343" s="3133">
        <v>0.64649999999999996</v>
      </c>
      <c r="G343" s="3133">
        <v>0.53080000000000005</v>
      </c>
      <c r="H343" s="3133">
        <v>0.53080000000000005</v>
      </c>
      <c r="I343" s="3133">
        <v>0.4516</v>
      </c>
      <c r="J343" s="3133">
        <v>0.4516</v>
      </c>
      <c r="K343" s="3133">
        <v>0.4516</v>
      </c>
      <c r="L343" s="3133">
        <v>0.4516</v>
      </c>
      <c r="M343" s="3134">
        <v>0.4516</v>
      </c>
    </row>
    <row r="344" spans="1:13">
      <c r="A344" s="3132">
        <v>7.5</v>
      </c>
      <c r="B344" s="3133">
        <v>0.69689999999999996</v>
      </c>
      <c r="C344" s="3133">
        <v>0.69689999999999996</v>
      </c>
      <c r="D344" s="3133">
        <v>0.64470000000000005</v>
      </c>
      <c r="E344" s="3133">
        <v>0.64470000000000005</v>
      </c>
      <c r="F344" s="3133">
        <v>0.64470000000000005</v>
      </c>
      <c r="G344" s="3133">
        <v>0.52869999999999995</v>
      </c>
      <c r="H344" s="3133">
        <v>0.52869999999999995</v>
      </c>
      <c r="I344" s="3133">
        <v>0.44950000000000001</v>
      </c>
      <c r="J344" s="3133">
        <v>0.44950000000000001</v>
      </c>
      <c r="K344" s="3133">
        <v>0.44950000000000001</v>
      </c>
      <c r="L344" s="3133">
        <v>0.44950000000000001</v>
      </c>
      <c r="M344" s="3134">
        <v>0.44950000000000001</v>
      </c>
    </row>
    <row r="345" spans="1:13">
      <c r="A345" s="3132">
        <v>7.6</v>
      </c>
      <c r="B345" s="3133">
        <v>0.69540000000000002</v>
      </c>
      <c r="C345" s="3133">
        <v>0.69540000000000002</v>
      </c>
      <c r="D345" s="3133">
        <v>0.64290000000000003</v>
      </c>
      <c r="E345" s="3133">
        <v>0.64290000000000003</v>
      </c>
      <c r="F345" s="3133">
        <v>0.64290000000000003</v>
      </c>
      <c r="G345" s="3133">
        <v>0.52659999999999996</v>
      </c>
      <c r="H345" s="3133">
        <v>0.52659999999999996</v>
      </c>
      <c r="I345" s="3133">
        <v>0.44750000000000001</v>
      </c>
      <c r="J345" s="3133">
        <v>0.44750000000000001</v>
      </c>
      <c r="K345" s="3133">
        <v>0.44750000000000001</v>
      </c>
      <c r="L345" s="3133">
        <v>0.44750000000000001</v>
      </c>
      <c r="M345" s="3134">
        <v>0.44750000000000001</v>
      </c>
    </row>
    <row r="346" spans="1:13">
      <c r="A346" s="3132">
        <v>7.7</v>
      </c>
      <c r="B346" s="3133">
        <v>0.69389999999999996</v>
      </c>
      <c r="C346" s="3133">
        <v>0.69389999999999996</v>
      </c>
      <c r="D346" s="3133">
        <v>0.6411</v>
      </c>
      <c r="E346" s="3133">
        <v>0.6411</v>
      </c>
      <c r="F346" s="3133">
        <v>0.6411</v>
      </c>
      <c r="G346" s="3133">
        <v>0.52459999999999996</v>
      </c>
      <c r="H346" s="3133">
        <v>0.52459999999999996</v>
      </c>
      <c r="I346" s="3133">
        <v>0.44540000000000002</v>
      </c>
      <c r="J346" s="3133">
        <v>0.44540000000000002</v>
      </c>
      <c r="K346" s="3133">
        <v>0.44540000000000002</v>
      </c>
      <c r="L346" s="3133">
        <v>0.44540000000000002</v>
      </c>
      <c r="M346" s="3134">
        <v>0.44540000000000002</v>
      </c>
    </row>
    <row r="347" spans="1:13">
      <c r="A347" s="3132">
        <v>7.8</v>
      </c>
      <c r="B347" s="3133">
        <v>0.69240000000000002</v>
      </c>
      <c r="C347" s="3133">
        <v>0.69240000000000002</v>
      </c>
      <c r="D347" s="3133">
        <v>0.63929999999999998</v>
      </c>
      <c r="E347" s="3133">
        <v>0.63929999999999998</v>
      </c>
      <c r="F347" s="3133">
        <v>0.63929999999999998</v>
      </c>
      <c r="G347" s="3133">
        <v>0.52259999999999995</v>
      </c>
      <c r="H347" s="3133">
        <v>0.52259999999999995</v>
      </c>
      <c r="I347" s="3133">
        <v>0.44340000000000002</v>
      </c>
      <c r="J347" s="3133">
        <v>0.44340000000000002</v>
      </c>
      <c r="K347" s="3133">
        <v>0.44340000000000002</v>
      </c>
      <c r="L347" s="3133">
        <v>0.44340000000000002</v>
      </c>
      <c r="M347" s="3134">
        <v>0.44340000000000002</v>
      </c>
    </row>
    <row r="348" spans="1:13">
      <c r="A348" s="3132">
        <v>7.9</v>
      </c>
      <c r="B348" s="3133">
        <v>0.69099999999999995</v>
      </c>
      <c r="C348" s="3133">
        <v>0.69099999999999995</v>
      </c>
      <c r="D348" s="3133">
        <v>0.63749999999999996</v>
      </c>
      <c r="E348" s="3133">
        <v>0.63749999999999996</v>
      </c>
      <c r="F348" s="3133">
        <v>0.63749999999999996</v>
      </c>
      <c r="G348" s="3133">
        <v>0.52059999999999995</v>
      </c>
      <c r="H348" s="3133">
        <v>0.52059999999999995</v>
      </c>
      <c r="I348" s="3133">
        <v>0.44130000000000003</v>
      </c>
      <c r="J348" s="3133">
        <v>0.44130000000000003</v>
      </c>
      <c r="K348" s="3133">
        <v>0.44130000000000003</v>
      </c>
      <c r="L348" s="3133">
        <v>0.44130000000000003</v>
      </c>
      <c r="M348" s="3134">
        <v>0.44130000000000003</v>
      </c>
    </row>
    <row r="349" spans="1:13">
      <c r="A349" s="3132">
        <v>8</v>
      </c>
      <c r="B349" s="3133">
        <v>0.68959999999999999</v>
      </c>
      <c r="C349" s="3133">
        <v>0.68959999999999999</v>
      </c>
      <c r="D349" s="3133">
        <v>0.63570000000000004</v>
      </c>
      <c r="E349" s="3133">
        <v>0.63570000000000004</v>
      </c>
      <c r="F349" s="3133">
        <v>0.63570000000000004</v>
      </c>
      <c r="G349" s="3133">
        <v>0.51859999999999995</v>
      </c>
      <c r="H349" s="3133">
        <v>0.51859999999999995</v>
      </c>
      <c r="I349" s="3133">
        <v>0.43919999999999998</v>
      </c>
      <c r="J349" s="3133">
        <v>0.43919999999999998</v>
      </c>
      <c r="K349" s="3133">
        <v>0.43919999999999998</v>
      </c>
      <c r="L349" s="3133">
        <v>0.43919999999999998</v>
      </c>
      <c r="M349" s="3134">
        <v>0.43919999999999998</v>
      </c>
    </row>
    <row r="350" spans="1:13">
      <c r="A350" s="3132">
        <v>8.1</v>
      </c>
      <c r="B350" s="3133">
        <v>0.68820000000000003</v>
      </c>
      <c r="C350" s="3133">
        <v>0.68820000000000003</v>
      </c>
      <c r="D350" s="3133">
        <v>0.63390000000000002</v>
      </c>
      <c r="E350" s="3133">
        <v>0.63390000000000002</v>
      </c>
      <c r="F350" s="3133">
        <v>0.63390000000000002</v>
      </c>
      <c r="G350" s="3133">
        <v>0.51659999999999995</v>
      </c>
      <c r="H350" s="3133">
        <v>0.51659999999999995</v>
      </c>
      <c r="I350" s="3133">
        <v>0.43730000000000002</v>
      </c>
      <c r="J350" s="3133">
        <v>0.43730000000000002</v>
      </c>
      <c r="K350" s="3133">
        <v>0.43730000000000002</v>
      </c>
      <c r="L350" s="3133">
        <v>0.43730000000000002</v>
      </c>
      <c r="M350" s="3134">
        <v>0.43730000000000002</v>
      </c>
    </row>
    <row r="351" spans="1:13">
      <c r="A351" s="3132">
        <v>8.1999999999999993</v>
      </c>
      <c r="B351" s="3133">
        <v>0.68679999999999997</v>
      </c>
      <c r="C351" s="3133">
        <v>0.68679999999999997</v>
      </c>
      <c r="D351" s="3133">
        <v>0.63219999999999998</v>
      </c>
      <c r="E351" s="3133">
        <v>0.63219999999999998</v>
      </c>
      <c r="F351" s="3133">
        <v>0.63219999999999998</v>
      </c>
      <c r="G351" s="3133">
        <v>0.51459999999999995</v>
      </c>
      <c r="H351" s="3133">
        <v>0.51459999999999995</v>
      </c>
      <c r="I351" s="3133">
        <v>0.43530000000000002</v>
      </c>
      <c r="J351" s="3133">
        <v>0.43530000000000002</v>
      </c>
      <c r="K351" s="3133">
        <v>0.43530000000000002</v>
      </c>
      <c r="L351" s="3133">
        <v>0.43530000000000002</v>
      </c>
      <c r="M351" s="3134">
        <v>0.43530000000000002</v>
      </c>
    </row>
    <row r="352" spans="1:13">
      <c r="A352" s="3132">
        <v>8.3000000000000007</v>
      </c>
      <c r="B352" s="3133">
        <v>0.68540000000000001</v>
      </c>
      <c r="C352" s="3133">
        <v>0.68540000000000001</v>
      </c>
      <c r="D352" s="3133">
        <v>0.63049999999999995</v>
      </c>
      <c r="E352" s="3133">
        <v>0.63049999999999995</v>
      </c>
      <c r="F352" s="3133">
        <v>0.63049999999999995</v>
      </c>
      <c r="G352" s="3133">
        <v>0.51259999999999994</v>
      </c>
      <c r="H352" s="3133">
        <v>0.51259999999999994</v>
      </c>
      <c r="I352" s="3133">
        <v>0.43330000000000002</v>
      </c>
      <c r="J352" s="3133">
        <v>0.43330000000000002</v>
      </c>
      <c r="K352" s="3133">
        <v>0.43330000000000002</v>
      </c>
      <c r="L352" s="3133">
        <v>0.43330000000000002</v>
      </c>
      <c r="M352" s="3134">
        <v>0.43330000000000002</v>
      </c>
    </row>
    <row r="353" spans="1:13">
      <c r="A353" s="3132">
        <v>8.4</v>
      </c>
      <c r="B353" s="3133">
        <v>0.68400000000000005</v>
      </c>
      <c r="C353" s="3133">
        <v>0.68400000000000005</v>
      </c>
      <c r="D353" s="3133">
        <v>0.62880000000000003</v>
      </c>
      <c r="E353" s="3133">
        <v>0.62880000000000003</v>
      </c>
      <c r="F353" s="3133">
        <v>0.62880000000000003</v>
      </c>
      <c r="G353" s="3133">
        <v>0.51070000000000004</v>
      </c>
      <c r="H353" s="3133">
        <v>0.51070000000000004</v>
      </c>
      <c r="I353" s="3133">
        <v>0.43130000000000002</v>
      </c>
      <c r="J353" s="3133">
        <v>0.43130000000000002</v>
      </c>
      <c r="K353" s="3133">
        <v>0.43130000000000002</v>
      </c>
      <c r="L353" s="3133">
        <v>0.43130000000000002</v>
      </c>
      <c r="M353" s="3134">
        <v>0.43130000000000002</v>
      </c>
    </row>
    <row r="354" spans="1:13">
      <c r="A354" s="3132">
        <v>8.5</v>
      </c>
      <c r="B354" s="3133">
        <v>0.68259999999999998</v>
      </c>
      <c r="C354" s="3133">
        <v>0.68259999999999998</v>
      </c>
      <c r="D354" s="3133">
        <v>0.62709999999999999</v>
      </c>
      <c r="E354" s="3133">
        <v>0.62709999999999999</v>
      </c>
      <c r="F354" s="3133">
        <v>0.62709999999999999</v>
      </c>
      <c r="G354" s="3133">
        <v>0.50880000000000003</v>
      </c>
      <c r="H354" s="3133">
        <v>0.50880000000000003</v>
      </c>
      <c r="I354" s="3133">
        <v>0.4294</v>
      </c>
      <c r="J354" s="3133">
        <v>0.4294</v>
      </c>
      <c r="K354" s="3133">
        <v>0.4294</v>
      </c>
      <c r="L354" s="3133">
        <v>0.4294</v>
      </c>
      <c r="M354" s="3134">
        <v>0.4294</v>
      </c>
    </row>
    <row r="355" spans="1:13">
      <c r="A355" s="3132">
        <v>8.6</v>
      </c>
      <c r="B355" s="3133">
        <v>0.68120000000000003</v>
      </c>
      <c r="C355" s="3133">
        <v>0.68120000000000003</v>
      </c>
      <c r="D355" s="3133">
        <v>0.62539999999999996</v>
      </c>
      <c r="E355" s="3133">
        <v>0.62539999999999996</v>
      </c>
      <c r="F355" s="3133">
        <v>0.62539999999999996</v>
      </c>
      <c r="G355" s="3133">
        <v>0.50690000000000002</v>
      </c>
      <c r="H355" s="3133">
        <v>0.50690000000000002</v>
      </c>
      <c r="I355" s="3133">
        <v>0.4274</v>
      </c>
      <c r="J355" s="3133">
        <v>0.4274</v>
      </c>
      <c r="K355" s="3133">
        <v>0.4274</v>
      </c>
      <c r="L355" s="3133">
        <v>0.4274</v>
      </c>
      <c r="M355" s="3134">
        <v>0.4274</v>
      </c>
    </row>
    <row r="356" spans="1:13">
      <c r="A356" s="3132">
        <v>8.6999999999999993</v>
      </c>
      <c r="B356" s="3133">
        <v>0.67989999999999995</v>
      </c>
      <c r="C356" s="3133">
        <v>0.67989999999999995</v>
      </c>
      <c r="D356" s="3133">
        <v>0.62370000000000003</v>
      </c>
      <c r="E356" s="3133">
        <v>0.62370000000000003</v>
      </c>
      <c r="F356" s="3133">
        <v>0.62370000000000003</v>
      </c>
      <c r="G356" s="3133">
        <v>0.505</v>
      </c>
      <c r="H356" s="3133">
        <v>0.505</v>
      </c>
      <c r="I356" s="3133">
        <v>0.4254</v>
      </c>
      <c r="J356" s="3133">
        <v>0.4254</v>
      </c>
      <c r="K356" s="3133">
        <v>0.4254</v>
      </c>
      <c r="L356" s="3133">
        <v>0.4254</v>
      </c>
      <c r="M356" s="3134">
        <v>0.4254</v>
      </c>
    </row>
    <row r="357" spans="1:13">
      <c r="A357" s="3132">
        <v>8.8000000000000007</v>
      </c>
      <c r="B357" s="3133">
        <v>0.67859999999999998</v>
      </c>
      <c r="C357" s="3133">
        <v>0.67859999999999998</v>
      </c>
      <c r="D357" s="3133">
        <v>0.622</v>
      </c>
      <c r="E357" s="3133">
        <v>0.622</v>
      </c>
      <c r="F357" s="3133">
        <v>0.622</v>
      </c>
      <c r="G357" s="3133">
        <v>0.50309999999999999</v>
      </c>
      <c r="H357" s="3133">
        <v>0.50309999999999999</v>
      </c>
      <c r="I357" s="3133">
        <v>0.4234</v>
      </c>
      <c r="J357" s="3133">
        <v>0.4234</v>
      </c>
      <c r="K357" s="3133">
        <v>0.4234</v>
      </c>
      <c r="L357" s="3133">
        <v>0.4234</v>
      </c>
      <c r="M357" s="3134">
        <v>0.4234</v>
      </c>
    </row>
    <row r="358" spans="1:13">
      <c r="A358" s="3132">
        <v>8.9</v>
      </c>
      <c r="B358" s="3133">
        <v>0.67730000000000001</v>
      </c>
      <c r="C358" s="3133">
        <v>0.67730000000000001</v>
      </c>
      <c r="D358" s="3133">
        <v>0.62029999999999996</v>
      </c>
      <c r="E358" s="3133">
        <v>0.62029999999999996</v>
      </c>
      <c r="F358" s="3133">
        <v>0.62029999999999996</v>
      </c>
      <c r="G358" s="3133">
        <v>0.50119999999999998</v>
      </c>
      <c r="H358" s="3133">
        <v>0.50119999999999998</v>
      </c>
      <c r="I358" s="3133">
        <v>0.42149999999999999</v>
      </c>
      <c r="J358" s="3133">
        <v>0.42149999999999999</v>
      </c>
      <c r="K358" s="3133">
        <v>0.42149999999999999</v>
      </c>
      <c r="L358" s="3133">
        <v>0.42149999999999999</v>
      </c>
      <c r="M358" s="3134">
        <v>0.42149999999999999</v>
      </c>
    </row>
    <row r="359" spans="1:13">
      <c r="A359" s="3135">
        <v>9</v>
      </c>
      <c r="B359" s="3133">
        <v>0.67600000000000005</v>
      </c>
      <c r="C359" s="3133">
        <v>0.67600000000000005</v>
      </c>
      <c r="D359" s="3133">
        <v>0.61870000000000003</v>
      </c>
      <c r="E359" s="3133">
        <v>0.61870000000000003</v>
      </c>
      <c r="F359" s="3133">
        <v>0.61870000000000003</v>
      </c>
      <c r="G359" s="3133">
        <v>0.49930000000000002</v>
      </c>
      <c r="H359" s="3133">
        <v>0.49930000000000002</v>
      </c>
      <c r="I359" s="3133">
        <v>0.41949999999999998</v>
      </c>
      <c r="J359" s="3133">
        <v>0.41949999999999998</v>
      </c>
      <c r="K359" s="3133">
        <v>0.41949999999999998</v>
      </c>
      <c r="L359" s="3133">
        <v>0.41949999999999998</v>
      </c>
      <c r="M359" s="3134">
        <v>0.41949999999999998</v>
      </c>
    </row>
    <row r="360" spans="1:13">
      <c r="A360" s="3135">
        <v>9.1</v>
      </c>
      <c r="B360" s="3133">
        <v>0.67469999999999997</v>
      </c>
      <c r="C360" s="3133">
        <v>0.67469999999999997</v>
      </c>
      <c r="D360" s="3133">
        <v>0.61709999999999998</v>
      </c>
      <c r="E360" s="3133">
        <v>0.61709999999999998</v>
      </c>
      <c r="F360" s="3133">
        <v>0.61709999999999998</v>
      </c>
      <c r="G360" s="3133">
        <v>0.49740000000000001</v>
      </c>
      <c r="H360" s="3133">
        <v>0.49740000000000001</v>
      </c>
      <c r="I360" s="3133">
        <v>0.41760000000000003</v>
      </c>
      <c r="J360" s="3133">
        <v>0.41760000000000003</v>
      </c>
      <c r="K360" s="3133">
        <v>0.41760000000000003</v>
      </c>
      <c r="L360" s="3133">
        <v>0.41760000000000003</v>
      </c>
      <c r="M360" s="3134">
        <v>0.41760000000000003</v>
      </c>
    </row>
    <row r="361" spans="1:13">
      <c r="A361" s="3135">
        <v>9.1999999999999993</v>
      </c>
      <c r="B361" s="3133">
        <v>0.6734</v>
      </c>
      <c r="C361" s="3133">
        <v>0.6734</v>
      </c>
      <c r="D361" s="3133">
        <v>0.61550000000000005</v>
      </c>
      <c r="E361" s="3133">
        <v>0.61550000000000005</v>
      </c>
      <c r="F361" s="3133">
        <v>0.61550000000000005</v>
      </c>
      <c r="G361" s="3133">
        <v>0.49559999999999998</v>
      </c>
      <c r="H361" s="3133">
        <v>0.49559999999999998</v>
      </c>
      <c r="I361" s="3133">
        <v>0.41570000000000001</v>
      </c>
      <c r="J361" s="3133">
        <v>0.41570000000000001</v>
      </c>
      <c r="K361" s="3133">
        <v>0.41570000000000001</v>
      </c>
      <c r="L361" s="3133">
        <v>0.41570000000000001</v>
      </c>
      <c r="M361" s="3134">
        <v>0.41570000000000001</v>
      </c>
    </row>
    <row r="362" spans="1:13">
      <c r="A362" s="3135">
        <v>9.3000000000000007</v>
      </c>
      <c r="B362" s="3133">
        <v>0.67210000000000003</v>
      </c>
      <c r="C362" s="3133">
        <v>0.67210000000000003</v>
      </c>
      <c r="D362" s="3133">
        <v>0.6139</v>
      </c>
      <c r="E362" s="3133">
        <v>0.6139</v>
      </c>
      <c r="F362" s="3133">
        <v>0.6139</v>
      </c>
      <c r="G362" s="3133">
        <v>0.49380000000000002</v>
      </c>
      <c r="H362" s="3133">
        <v>0.49380000000000002</v>
      </c>
      <c r="I362" s="3133">
        <v>0.4138</v>
      </c>
      <c r="J362" s="3133">
        <v>0.4138</v>
      </c>
      <c r="K362" s="3133">
        <v>0.4138</v>
      </c>
      <c r="L362" s="3133">
        <v>0.4138</v>
      </c>
      <c r="M362" s="3134">
        <v>0.4138</v>
      </c>
    </row>
    <row r="363" spans="1:13">
      <c r="A363" s="3135">
        <v>9.4</v>
      </c>
      <c r="B363" s="3133">
        <v>0.67079999999999995</v>
      </c>
      <c r="C363" s="3133">
        <v>0.67079999999999995</v>
      </c>
      <c r="D363" s="3133">
        <v>0.61229999999999996</v>
      </c>
      <c r="E363" s="3133">
        <v>0.61229999999999996</v>
      </c>
      <c r="F363" s="3133">
        <v>0.61229999999999996</v>
      </c>
      <c r="G363" s="3133">
        <v>0.49199999999999999</v>
      </c>
      <c r="H363" s="3133">
        <v>0.49199999999999999</v>
      </c>
      <c r="I363" s="3133">
        <v>0.41189999999999999</v>
      </c>
      <c r="J363" s="3133">
        <v>0.41189999999999999</v>
      </c>
      <c r="K363" s="3133">
        <v>0.41189999999999999</v>
      </c>
      <c r="L363" s="3133">
        <v>0.41189999999999999</v>
      </c>
      <c r="M363" s="3134">
        <v>0.41189999999999999</v>
      </c>
    </row>
    <row r="364" spans="1:13">
      <c r="A364" s="3135">
        <v>9.5</v>
      </c>
      <c r="B364" s="3133">
        <v>0.66959999999999997</v>
      </c>
      <c r="C364" s="3133">
        <v>0.66959999999999997</v>
      </c>
      <c r="D364" s="3133">
        <v>0.61070000000000002</v>
      </c>
      <c r="E364" s="3133">
        <v>0.61070000000000002</v>
      </c>
      <c r="F364" s="3133">
        <v>0.61070000000000002</v>
      </c>
      <c r="G364" s="3133">
        <v>0.49020000000000002</v>
      </c>
      <c r="H364" s="3133">
        <v>0.49020000000000002</v>
      </c>
      <c r="I364" s="3133">
        <v>0.41</v>
      </c>
      <c r="J364" s="3133">
        <v>0.41</v>
      </c>
      <c r="K364" s="3133">
        <v>0.41</v>
      </c>
      <c r="L364" s="3133">
        <v>0.41</v>
      </c>
      <c r="M364" s="3134">
        <v>0.41</v>
      </c>
    </row>
    <row r="365" spans="1:13">
      <c r="A365" s="3135">
        <v>9.6</v>
      </c>
      <c r="B365" s="3133">
        <v>0.66839999999999999</v>
      </c>
      <c r="C365" s="3133">
        <v>0.66839999999999999</v>
      </c>
      <c r="D365" s="3133">
        <v>0.60909999999999997</v>
      </c>
      <c r="E365" s="3133">
        <v>0.60909999999999997</v>
      </c>
      <c r="F365" s="3133">
        <v>0.60909999999999997</v>
      </c>
      <c r="G365" s="3133">
        <v>0.4884</v>
      </c>
      <c r="H365" s="3133">
        <v>0.4884</v>
      </c>
      <c r="I365" s="3133">
        <v>0.40810000000000002</v>
      </c>
      <c r="J365" s="3133">
        <v>0.40810000000000002</v>
      </c>
      <c r="K365" s="3133">
        <v>0.40810000000000002</v>
      </c>
      <c r="L365" s="3133">
        <v>0.40810000000000002</v>
      </c>
      <c r="M365" s="3134">
        <v>0.40810000000000002</v>
      </c>
    </row>
    <row r="366" spans="1:13">
      <c r="A366" s="3135">
        <v>9.6999999999999993</v>
      </c>
      <c r="B366" s="3133">
        <v>0.66720000000000002</v>
      </c>
      <c r="C366" s="3133">
        <v>0.66720000000000002</v>
      </c>
      <c r="D366" s="3133">
        <v>0.60750000000000004</v>
      </c>
      <c r="E366" s="3133">
        <v>0.60750000000000004</v>
      </c>
      <c r="F366" s="3133">
        <v>0.60750000000000004</v>
      </c>
      <c r="G366" s="3133">
        <v>0.48659999999999998</v>
      </c>
      <c r="H366" s="3133">
        <v>0.48659999999999998</v>
      </c>
      <c r="I366" s="3133">
        <v>0.40620000000000001</v>
      </c>
      <c r="J366" s="3133">
        <v>0.40620000000000001</v>
      </c>
      <c r="K366" s="3133">
        <v>0.40620000000000001</v>
      </c>
      <c r="L366" s="3133">
        <v>0.40620000000000001</v>
      </c>
      <c r="M366" s="3134">
        <v>0.40620000000000001</v>
      </c>
    </row>
    <row r="367" spans="1:13">
      <c r="A367" s="3135">
        <v>9.8000000000000007</v>
      </c>
      <c r="B367" s="3133">
        <v>0.66600000000000004</v>
      </c>
      <c r="C367" s="3133">
        <v>0.66600000000000004</v>
      </c>
      <c r="D367" s="3133">
        <v>0.60599999999999998</v>
      </c>
      <c r="E367" s="3133">
        <v>0.60599999999999998</v>
      </c>
      <c r="F367" s="3133">
        <v>0.60599999999999998</v>
      </c>
      <c r="G367" s="3133">
        <v>0.48480000000000001</v>
      </c>
      <c r="H367" s="3133">
        <v>0.48480000000000001</v>
      </c>
      <c r="I367" s="3133">
        <v>0.40429999999999999</v>
      </c>
      <c r="J367" s="3133">
        <v>0.40429999999999999</v>
      </c>
      <c r="K367" s="3133">
        <v>0.40429999999999999</v>
      </c>
      <c r="L367" s="3133">
        <v>0.40429999999999999</v>
      </c>
      <c r="M367" s="3134">
        <v>0.40429999999999999</v>
      </c>
    </row>
    <row r="368" spans="1:13" ht="14.25" thickBot="1">
      <c r="A368" s="3136">
        <v>9.9</v>
      </c>
      <c r="B368" s="3137">
        <v>0.66479999999999995</v>
      </c>
      <c r="C368" s="3137">
        <v>0.66479999999999995</v>
      </c>
      <c r="D368" s="3137">
        <v>0.60450000000000004</v>
      </c>
      <c r="E368" s="3137">
        <v>0.60450000000000004</v>
      </c>
      <c r="F368" s="3137">
        <v>0.60450000000000004</v>
      </c>
      <c r="G368" s="3137">
        <v>0.48299999999999998</v>
      </c>
      <c r="H368" s="3137">
        <v>0.48299999999999998</v>
      </c>
      <c r="I368" s="3137">
        <v>0.40239999999999998</v>
      </c>
      <c r="J368" s="3137">
        <v>0.40239999999999998</v>
      </c>
      <c r="K368" s="3137">
        <v>0.40239999999999998</v>
      </c>
      <c r="L368" s="3137">
        <v>0.40239999999999998</v>
      </c>
      <c r="M368" s="3138">
        <v>0.40239999999999998</v>
      </c>
    </row>
    <row r="369" spans="1:20" ht="15" thickBot="1">
      <c r="A369" s="3126" t="s">
        <v>2806</v>
      </c>
      <c r="B369" s="3139"/>
      <c r="C369" s="3139"/>
      <c r="D369" s="3139"/>
      <c r="E369" s="3139"/>
      <c r="F369" s="3139"/>
      <c r="G369" s="3139"/>
      <c r="H369" s="3139"/>
      <c r="I369" s="3139"/>
      <c r="J369" s="3139"/>
      <c r="K369" s="3139"/>
      <c r="L369" s="3139"/>
      <c r="M369" s="3139"/>
    </row>
    <row r="370" spans="1:20">
      <c r="A370" s="3127" t="s">
        <v>2802</v>
      </c>
      <c r="B370" s="3128" t="s">
        <v>2598</v>
      </c>
      <c r="C370" s="3128" t="s">
        <v>2599</v>
      </c>
      <c r="D370" s="3128" t="s">
        <v>2600</v>
      </c>
      <c r="E370" s="3128" t="s">
        <v>2601</v>
      </c>
      <c r="F370" s="3128" t="s">
        <v>2602</v>
      </c>
      <c r="G370" s="3128" t="s">
        <v>2603</v>
      </c>
      <c r="H370" s="3129" t="s">
        <v>2604</v>
      </c>
      <c r="I370" s="3129" t="s">
        <v>2605</v>
      </c>
      <c r="J370" s="3130" t="s">
        <v>2606</v>
      </c>
      <c r="K370" s="3130" t="s">
        <v>2607</v>
      </c>
      <c r="L370" s="3130" t="s">
        <v>2608</v>
      </c>
      <c r="M370" s="3131" t="s">
        <v>2609</v>
      </c>
      <c r="N370" s="750">
        <f>SUMPRODUCT((A371:A460=ROUNDDOWN(基准地价修正!G3,1))*(B370:M370=基准地价修正!G2)*(B371:M460))</f>
        <v>0.94320000000000004</v>
      </c>
      <c r="Q370" s="3141" t="s">
        <v>2807</v>
      </c>
      <c r="R370" s="3141" t="s">
        <v>2808</v>
      </c>
      <c r="S370" s="3141" t="s">
        <v>2809</v>
      </c>
      <c r="T370" s="3141" t="s">
        <v>2810</v>
      </c>
    </row>
    <row r="371" spans="1:20">
      <c r="A371" s="3132">
        <v>1</v>
      </c>
      <c r="B371" s="3133">
        <v>1.1839999999999999</v>
      </c>
      <c r="C371" s="3133">
        <v>1.1839999999999999</v>
      </c>
      <c r="D371" s="3133">
        <v>1.1565000000000001</v>
      </c>
      <c r="E371" s="3133">
        <v>1.1565000000000001</v>
      </c>
      <c r="F371" s="3133">
        <v>1.1565000000000001</v>
      </c>
      <c r="G371" s="3133">
        <v>1.1565000000000001</v>
      </c>
      <c r="H371" s="3133">
        <v>1.1565000000000001</v>
      </c>
      <c r="I371" s="3133">
        <v>1.1198999999999999</v>
      </c>
      <c r="J371" s="3133">
        <v>1.1198999999999999</v>
      </c>
      <c r="K371" s="3133">
        <v>1.1198999999999999</v>
      </c>
      <c r="L371" s="3133">
        <v>1.1198999999999999</v>
      </c>
      <c r="M371" s="3134">
        <v>1.1198999999999999</v>
      </c>
      <c r="Q371" s="3141">
        <v>10</v>
      </c>
      <c r="R371" s="3141">
        <f>ROUND(0.9404-0.0106*Q371,4)</f>
        <v>0.83440000000000003</v>
      </c>
      <c r="S371" s="3141">
        <f>ROUND(0.8955-0.0135*Q371,4)</f>
        <v>0.76049999999999995</v>
      </c>
      <c r="T371" s="3141">
        <f>ROUND(0.7632-0.0166*Q371,4)</f>
        <v>0.59719999999999995</v>
      </c>
    </row>
    <row r="372" spans="1:20">
      <c r="A372" s="3132">
        <v>1.1000000000000001</v>
      </c>
      <c r="B372" s="3133">
        <v>1.1658999999999999</v>
      </c>
      <c r="C372" s="3133">
        <v>1.1658999999999999</v>
      </c>
      <c r="D372" s="3133">
        <v>1.1364000000000001</v>
      </c>
      <c r="E372" s="3133">
        <v>1.1364000000000001</v>
      </c>
      <c r="F372" s="3133">
        <v>1.1364000000000001</v>
      </c>
      <c r="G372" s="3133">
        <v>1.1364000000000001</v>
      </c>
      <c r="H372" s="3133">
        <v>1.1364000000000001</v>
      </c>
      <c r="I372" s="3133">
        <v>1.0931</v>
      </c>
      <c r="J372" s="3133">
        <v>1.0931</v>
      </c>
      <c r="K372" s="3133">
        <v>1.0931</v>
      </c>
      <c r="L372" s="3133">
        <v>1.0931</v>
      </c>
      <c r="M372" s="3134">
        <v>1.0931</v>
      </c>
    </row>
    <row r="373" spans="1:20">
      <c r="A373" s="3132">
        <v>1.2</v>
      </c>
      <c r="B373" s="3133">
        <v>1.1489</v>
      </c>
      <c r="C373" s="3133">
        <v>1.1489</v>
      </c>
      <c r="D373" s="3133">
        <v>1.1174999999999999</v>
      </c>
      <c r="E373" s="3133">
        <v>1.1174999999999999</v>
      </c>
      <c r="F373" s="3133">
        <v>1.1174999999999999</v>
      </c>
      <c r="G373" s="3133">
        <v>1.1174999999999999</v>
      </c>
      <c r="H373" s="3133">
        <v>1.1174999999999999</v>
      </c>
      <c r="I373" s="3133">
        <v>1.0678000000000001</v>
      </c>
      <c r="J373" s="3133">
        <v>1.0678000000000001</v>
      </c>
      <c r="K373" s="3133">
        <v>1.0678000000000001</v>
      </c>
      <c r="L373" s="3133">
        <v>1.0678000000000001</v>
      </c>
      <c r="M373" s="3134">
        <v>1.0678000000000001</v>
      </c>
    </row>
    <row r="374" spans="1:20">
      <c r="A374" s="3132">
        <v>1.3</v>
      </c>
      <c r="B374" s="3133">
        <v>1.1328</v>
      </c>
      <c r="C374" s="3133">
        <v>1.1328</v>
      </c>
      <c r="D374" s="3133">
        <v>1.0995999999999999</v>
      </c>
      <c r="E374" s="3133">
        <v>1.0995999999999999</v>
      </c>
      <c r="F374" s="3133">
        <v>1.0995999999999999</v>
      </c>
      <c r="G374" s="3133">
        <v>1.0995999999999999</v>
      </c>
      <c r="H374" s="3133">
        <v>1.0995999999999999</v>
      </c>
      <c r="I374" s="3133">
        <v>1.044</v>
      </c>
      <c r="J374" s="3133">
        <v>1.044</v>
      </c>
      <c r="K374" s="3133">
        <v>1.044</v>
      </c>
      <c r="L374" s="3133">
        <v>1.044</v>
      </c>
      <c r="M374" s="3134">
        <v>1.044</v>
      </c>
    </row>
    <row r="375" spans="1:20">
      <c r="A375" s="3132">
        <v>1.4</v>
      </c>
      <c r="B375" s="3133">
        <v>1.1175999999999999</v>
      </c>
      <c r="C375" s="3133">
        <v>1.1175999999999999</v>
      </c>
      <c r="D375" s="3133">
        <v>1.0827</v>
      </c>
      <c r="E375" s="3133">
        <v>1.0827</v>
      </c>
      <c r="F375" s="3133">
        <v>1.0827</v>
      </c>
      <c r="G375" s="3133">
        <v>1.0827</v>
      </c>
      <c r="H375" s="3133">
        <v>1.0827</v>
      </c>
      <c r="I375" s="3133">
        <v>1.0214000000000001</v>
      </c>
      <c r="J375" s="3133">
        <v>1.0214000000000001</v>
      </c>
      <c r="K375" s="3133">
        <v>1.0214000000000001</v>
      </c>
      <c r="L375" s="3133">
        <v>1.0214000000000001</v>
      </c>
      <c r="M375" s="3134">
        <v>1.0214000000000001</v>
      </c>
    </row>
    <row r="376" spans="1:20">
      <c r="A376" s="3132">
        <v>1.5</v>
      </c>
      <c r="B376" s="3133">
        <v>1.1032999999999999</v>
      </c>
      <c r="C376" s="3133">
        <v>1.1032999999999999</v>
      </c>
      <c r="D376" s="3133">
        <v>1.0668</v>
      </c>
      <c r="E376" s="3133">
        <v>1.0668</v>
      </c>
      <c r="F376" s="3133">
        <v>1.0668</v>
      </c>
      <c r="G376" s="3133">
        <v>1.0668</v>
      </c>
      <c r="H376" s="3133">
        <v>1.0668</v>
      </c>
      <c r="I376" s="3133">
        <v>1</v>
      </c>
      <c r="J376" s="3133">
        <v>1</v>
      </c>
      <c r="K376" s="3133">
        <v>1</v>
      </c>
      <c r="L376" s="3133">
        <v>1</v>
      </c>
      <c r="M376" s="3134">
        <v>1</v>
      </c>
    </row>
    <row r="377" spans="1:20">
      <c r="A377" s="3132">
        <v>1.6</v>
      </c>
      <c r="B377" s="3133">
        <v>1.0899000000000001</v>
      </c>
      <c r="C377" s="3133">
        <v>1.0899000000000001</v>
      </c>
      <c r="D377" s="3133">
        <v>1.0517000000000001</v>
      </c>
      <c r="E377" s="3133">
        <v>1.0517000000000001</v>
      </c>
      <c r="F377" s="3133">
        <v>1.0517000000000001</v>
      </c>
      <c r="G377" s="3133">
        <v>1.0517000000000001</v>
      </c>
      <c r="H377" s="3133">
        <v>1.0517000000000001</v>
      </c>
      <c r="I377" s="3133">
        <v>0.97989999999999999</v>
      </c>
      <c r="J377" s="3133">
        <v>0.97989999999999999</v>
      </c>
      <c r="K377" s="3133">
        <v>0.97989999999999999</v>
      </c>
      <c r="L377" s="3133">
        <v>0.97989999999999999</v>
      </c>
      <c r="M377" s="3134">
        <v>0.97989999999999999</v>
      </c>
    </row>
    <row r="378" spans="1:20">
      <c r="A378" s="3132">
        <v>1.7</v>
      </c>
      <c r="B378" s="3133">
        <v>1.0771999999999999</v>
      </c>
      <c r="C378" s="3133">
        <v>1.0771999999999999</v>
      </c>
      <c r="D378" s="3133">
        <v>1.0376000000000001</v>
      </c>
      <c r="E378" s="3133">
        <v>1.0376000000000001</v>
      </c>
      <c r="F378" s="3133">
        <v>1.0376000000000001</v>
      </c>
      <c r="G378" s="3133">
        <v>1.0376000000000001</v>
      </c>
      <c r="H378" s="3133">
        <v>1.0376000000000001</v>
      </c>
      <c r="I378" s="3133">
        <v>0.96089999999999998</v>
      </c>
      <c r="J378" s="3133">
        <v>0.96089999999999998</v>
      </c>
      <c r="K378" s="3133">
        <v>0.96089999999999998</v>
      </c>
      <c r="L378" s="3133">
        <v>0.96089999999999998</v>
      </c>
      <c r="M378" s="3134">
        <v>0.96089999999999998</v>
      </c>
    </row>
    <row r="379" spans="1:20">
      <c r="A379" s="3132">
        <v>1.8</v>
      </c>
      <c r="B379" s="3133">
        <v>1.0652999999999999</v>
      </c>
      <c r="C379" s="3133">
        <v>1.0652999999999999</v>
      </c>
      <c r="D379" s="3133">
        <v>1.0243</v>
      </c>
      <c r="E379" s="3133">
        <v>1.0243</v>
      </c>
      <c r="F379" s="3133">
        <v>1.0243</v>
      </c>
      <c r="G379" s="3133">
        <v>1.0243</v>
      </c>
      <c r="H379" s="3133">
        <v>1.0243</v>
      </c>
      <c r="I379" s="3133">
        <v>0.94299999999999995</v>
      </c>
      <c r="J379" s="3133">
        <v>0.94299999999999995</v>
      </c>
      <c r="K379" s="3133">
        <v>0.94299999999999995</v>
      </c>
      <c r="L379" s="3133">
        <v>0.94299999999999995</v>
      </c>
      <c r="M379" s="3134">
        <v>0.94299999999999995</v>
      </c>
    </row>
    <row r="380" spans="1:20">
      <c r="A380" s="3132">
        <v>1.9</v>
      </c>
      <c r="B380" s="3133">
        <v>1.054</v>
      </c>
      <c r="C380" s="3133">
        <v>1.054</v>
      </c>
      <c r="D380" s="3133">
        <v>1.0118</v>
      </c>
      <c r="E380" s="3133">
        <v>1.0118</v>
      </c>
      <c r="F380" s="3133">
        <v>1.0118</v>
      </c>
      <c r="G380" s="3133">
        <v>1.0118</v>
      </c>
      <c r="H380" s="3133">
        <v>1.0118</v>
      </c>
      <c r="I380" s="3133">
        <v>0.92620000000000002</v>
      </c>
      <c r="J380" s="3133">
        <v>0.92620000000000002</v>
      </c>
      <c r="K380" s="3133">
        <v>0.92620000000000002</v>
      </c>
      <c r="L380" s="3133">
        <v>0.92620000000000002</v>
      </c>
      <c r="M380" s="3134">
        <v>0.92620000000000002</v>
      </c>
    </row>
    <row r="381" spans="1:20">
      <c r="A381" s="3132">
        <v>2</v>
      </c>
      <c r="B381" s="3133">
        <v>1.0435000000000001</v>
      </c>
      <c r="C381" s="3133">
        <v>1.0435000000000001</v>
      </c>
      <c r="D381" s="3133">
        <v>1</v>
      </c>
      <c r="E381" s="3133">
        <v>1</v>
      </c>
      <c r="F381" s="3133">
        <v>1</v>
      </c>
      <c r="G381" s="3133">
        <v>1</v>
      </c>
      <c r="H381" s="3133">
        <v>1</v>
      </c>
      <c r="I381" s="3133">
        <v>0.9103</v>
      </c>
      <c r="J381" s="3133">
        <v>0.9103</v>
      </c>
      <c r="K381" s="3133">
        <v>0.9103</v>
      </c>
      <c r="L381" s="3133">
        <v>0.9103</v>
      </c>
      <c r="M381" s="3134">
        <v>0.9103</v>
      </c>
    </row>
    <row r="382" spans="1:20">
      <c r="A382" s="3135">
        <v>2.1</v>
      </c>
      <c r="B382" s="3133">
        <v>1.0336000000000001</v>
      </c>
      <c r="C382" s="3133">
        <v>1.0336000000000001</v>
      </c>
      <c r="D382" s="3133">
        <v>0.98899999999999999</v>
      </c>
      <c r="E382" s="3133">
        <v>0.98899999999999999</v>
      </c>
      <c r="F382" s="3133">
        <v>0.98899999999999999</v>
      </c>
      <c r="G382" s="3133">
        <v>0.98899999999999999</v>
      </c>
      <c r="H382" s="3133">
        <v>0.98899999999999999</v>
      </c>
      <c r="I382" s="3133">
        <v>0.89539999999999997</v>
      </c>
      <c r="J382" s="3133">
        <v>0.89539999999999997</v>
      </c>
      <c r="K382" s="3133">
        <v>0.89539999999999997</v>
      </c>
      <c r="L382" s="3133">
        <v>0.89539999999999997</v>
      </c>
      <c r="M382" s="3134">
        <v>0.89539999999999997</v>
      </c>
    </row>
    <row r="383" spans="1:20">
      <c r="A383" s="3135">
        <v>2.2000000000000002</v>
      </c>
      <c r="B383" s="3133">
        <v>1.0243</v>
      </c>
      <c r="C383" s="3133">
        <v>1.0243</v>
      </c>
      <c r="D383" s="3133">
        <v>0.97860000000000003</v>
      </c>
      <c r="E383" s="3133">
        <v>0.97860000000000003</v>
      </c>
      <c r="F383" s="3133">
        <v>0.97860000000000003</v>
      </c>
      <c r="G383" s="3133">
        <v>0.97860000000000003</v>
      </c>
      <c r="H383" s="3133">
        <v>0.97860000000000003</v>
      </c>
      <c r="I383" s="3133">
        <v>0.88139999999999996</v>
      </c>
      <c r="J383" s="3133">
        <v>0.88139999999999996</v>
      </c>
      <c r="K383" s="3133">
        <v>0.88139999999999996</v>
      </c>
      <c r="L383" s="3133">
        <v>0.88139999999999996</v>
      </c>
      <c r="M383" s="3134">
        <v>0.88139999999999996</v>
      </c>
    </row>
    <row r="384" spans="1:20">
      <c r="A384" s="3135">
        <v>2.2999999999999998</v>
      </c>
      <c r="B384" s="3133">
        <v>1.0157</v>
      </c>
      <c r="C384" s="3133">
        <v>1.0157</v>
      </c>
      <c r="D384" s="3133">
        <v>0.96889999999999998</v>
      </c>
      <c r="E384" s="3133">
        <v>0.96889999999999998</v>
      </c>
      <c r="F384" s="3133">
        <v>0.96889999999999998</v>
      </c>
      <c r="G384" s="3133">
        <v>0.96889999999999998</v>
      </c>
      <c r="H384" s="3133">
        <v>0.96889999999999998</v>
      </c>
      <c r="I384" s="3133">
        <v>0.86819999999999997</v>
      </c>
      <c r="J384" s="3133">
        <v>0.86819999999999997</v>
      </c>
      <c r="K384" s="3133">
        <v>0.86819999999999997</v>
      </c>
      <c r="L384" s="3133">
        <v>0.86819999999999997</v>
      </c>
      <c r="M384" s="3134">
        <v>0.86819999999999997</v>
      </c>
    </row>
    <row r="385" spans="1:13">
      <c r="A385" s="3135">
        <v>2.4</v>
      </c>
      <c r="B385" s="3133">
        <v>1.0076000000000001</v>
      </c>
      <c r="C385" s="3133">
        <v>1.0076000000000001</v>
      </c>
      <c r="D385" s="3133">
        <v>0.95979999999999999</v>
      </c>
      <c r="E385" s="3133">
        <v>0.95979999999999999</v>
      </c>
      <c r="F385" s="3133">
        <v>0.95979999999999999</v>
      </c>
      <c r="G385" s="3133">
        <v>0.95979999999999999</v>
      </c>
      <c r="H385" s="3133">
        <v>0.95979999999999999</v>
      </c>
      <c r="I385" s="3133">
        <v>0.85580000000000001</v>
      </c>
      <c r="J385" s="3133">
        <v>0.85580000000000001</v>
      </c>
      <c r="K385" s="3133">
        <v>0.85580000000000001</v>
      </c>
      <c r="L385" s="3133">
        <v>0.85580000000000001</v>
      </c>
      <c r="M385" s="3134">
        <v>0.85580000000000001</v>
      </c>
    </row>
    <row r="386" spans="1:13">
      <c r="A386" s="3135">
        <v>2.5</v>
      </c>
      <c r="B386" s="3133">
        <v>1</v>
      </c>
      <c r="C386" s="3133">
        <v>1</v>
      </c>
      <c r="D386" s="3133">
        <v>0.95120000000000005</v>
      </c>
      <c r="E386" s="3133">
        <v>0.95120000000000005</v>
      </c>
      <c r="F386" s="3133">
        <v>0.95120000000000005</v>
      </c>
      <c r="G386" s="3133">
        <v>0.95120000000000005</v>
      </c>
      <c r="H386" s="3133">
        <v>0.95120000000000005</v>
      </c>
      <c r="I386" s="3133">
        <v>0.84419999999999995</v>
      </c>
      <c r="J386" s="3133">
        <v>0.84419999999999995</v>
      </c>
      <c r="K386" s="3133">
        <v>0.84419999999999995</v>
      </c>
      <c r="L386" s="3133">
        <v>0.84419999999999995</v>
      </c>
      <c r="M386" s="3134">
        <v>0.84419999999999995</v>
      </c>
    </row>
    <row r="387" spans="1:13">
      <c r="A387" s="3135">
        <v>2.6</v>
      </c>
      <c r="B387" s="3133">
        <v>0.9929</v>
      </c>
      <c r="C387" s="3133">
        <v>0.9929</v>
      </c>
      <c r="D387" s="3133">
        <v>0.94320000000000004</v>
      </c>
      <c r="E387" s="3133">
        <v>0.94320000000000004</v>
      </c>
      <c r="F387" s="3133">
        <v>0.94320000000000004</v>
      </c>
      <c r="G387" s="3133">
        <v>0.94320000000000004</v>
      </c>
      <c r="H387" s="3133">
        <v>0.94320000000000004</v>
      </c>
      <c r="I387" s="3133">
        <v>0.83330000000000004</v>
      </c>
      <c r="J387" s="3133">
        <v>0.83330000000000004</v>
      </c>
      <c r="K387" s="3133">
        <v>0.83330000000000004</v>
      </c>
      <c r="L387" s="3133">
        <v>0.83330000000000004</v>
      </c>
      <c r="M387" s="3134">
        <v>0.83330000000000004</v>
      </c>
    </row>
    <row r="388" spans="1:13">
      <c r="A388" s="3135">
        <v>2.7</v>
      </c>
      <c r="B388" s="3133">
        <v>0.98629999999999995</v>
      </c>
      <c r="C388" s="3133">
        <v>0.98629999999999995</v>
      </c>
      <c r="D388" s="3133">
        <v>0.93569999999999998</v>
      </c>
      <c r="E388" s="3133">
        <v>0.93569999999999998</v>
      </c>
      <c r="F388" s="3133">
        <v>0.93569999999999998</v>
      </c>
      <c r="G388" s="3133">
        <v>0.93569999999999998</v>
      </c>
      <c r="H388" s="3133">
        <v>0.93569999999999998</v>
      </c>
      <c r="I388" s="3133">
        <v>0.82320000000000004</v>
      </c>
      <c r="J388" s="3133">
        <v>0.82320000000000004</v>
      </c>
      <c r="K388" s="3133">
        <v>0.82320000000000004</v>
      </c>
      <c r="L388" s="3133">
        <v>0.82320000000000004</v>
      </c>
      <c r="M388" s="3134">
        <v>0.82320000000000004</v>
      </c>
    </row>
    <row r="389" spans="1:13">
      <c r="A389" s="3135">
        <v>2.8</v>
      </c>
      <c r="B389" s="3133">
        <v>0.98009999999999997</v>
      </c>
      <c r="C389" s="3133">
        <v>0.98009999999999997</v>
      </c>
      <c r="D389" s="3133">
        <v>0.92879999999999996</v>
      </c>
      <c r="E389" s="3133">
        <v>0.92879999999999996</v>
      </c>
      <c r="F389" s="3133">
        <v>0.92879999999999996</v>
      </c>
      <c r="G389" s="3133">
        <v>0.92879999999999996</v>
      </c>
      <c r="H389" s="3133">
        <v>0.92879999999999996</v>
      </c>
      <c r="I389" s="3133">
        <v>0.81359999999999999</v>
      </c>
      <c r="J389" s="3133">
        <v>0.81359999999999999</v>
      </c>
      <c r="K389" s="3133">
        <v>0.81359999999999999</v>
      </c>
      <c r="L389" s="3133">
        <v>0.81359999999999999</v>
      </c>
      <c r="M389" s="3134">
        <v>0.81359999999999999</v>
      </c>
    </row>
    <row r="390" spans="1:13">
      <c r="A390" s="3135">
        <v>2.9</v>
      </c>
      <c r="B390" s="3133">
        <v>0.97430000000000005</v>
      </c>
      <c r="C390" s="3133">
        <v>0.97430000000000005</v>
      </c>
      <c r="D390" s="3133">
        <v>0.92220000000000002</v>
      </c>
      <c r="E390" s="3133">
        <v>0.92220000000000002</v>
      </c>
      <c r="F390" s="3133">
        <v>0.92220000000000002</v>
      </c>
      <c r="G390" s="3133">
        <v>0.92220000000000002</v>
      </c>
      <c r="H390" s="3133">
        <v>0.92220000000000002</v>
      </c>
      <c r="I390" s="3133">
        <v>0.80459999999999998</v>
      </c>
      <c r="J390" s="3133">
        <v>0.80459999999999998</v>
      </c>
      <c r="K390" s="3133">
        <v>0.80459999999999998</v>
      </c>
      <c r="L390" s="3133">
        <v>0.80459999999999998</v>
      </c>
      <c r="M390" s="3134">
        <v>0.80459999999999998</v>
      </c>
    </row>
    <row r="391" spans="1:13">
      <c r="A391" s="3135">
        <v>3</v>
      </c>
      <c r="B391" s="3133">
        <v>0.96889999999999998</v>
      </c>
      <c r="C391" s="3133">
        <v>0.96889999999999998</v>
      </c>
      <c r="D391" s="3133">
        <v>0.91610000000000003</v>
      </c>
      <c r="E391" s="3133">
        <v>0.91610000000000003</v>
      </c>
      <c r="F391" s="3133">
        <v>0.91610000000000003</v>
      </c>
      <c r="G391" s="3133">
        <v>0.91610000000000003</v>
      </c>
      <c r="H391" s="3133">
        <v>0.91610000000000003</v>
      </c>
      <c r="I391" s="3133">
        <v>0.79620000000000002</v>
      </c>
      <c r="J391" s="3133">
        <v>0.79620000000000002</v>
      </c>
      <c r="K391" s="3133">
        <v>0.79620000000000002</v>
      </c>
      <c r="L391" s="3133">
        <v>0.79620000000000002</v>
      </c>
      <c r="M391" s="3134">
        <v>0.79620000000000002</v>
      </c>
    </row>
    <row r="392" spans="1:13">
      <c r="A392" s="3135">
        <v>3.1</v>
      </c>
      <c r="B392" s="3133">
        <v>0.96389999999999998</v>
      </c>
      <c r="C392" s="3133">
        <v>0.96389999999999998</v>
      </c>
      <c r="D392" s="3133">
        <v>0.91039999999999999</v>
      </c>
      <c r="E392" s="3133">
        <v>0.91039999999999999</v>
      </c>
      <c r="F392" s="3133">
        <v>0.91039999999999999</v>
      </c>
      <c r="G392" s="3133">
        <v>0.91039999999999999</v>
      </c>
      <c r="H392" s="3133">
        <v>0.91039999999999999</v>
      </c>
      <c r="I392" s="3133">
        <v>0.7883</v>
      </c>
      <c r="J392" s="3133">
        <v>0.7883</v>
      </c>
      <c r="K392" s="3133">
        <v>0.7883</v>
      </c>
      <c r="L392" s="3133">
        <v>0.7883</v>
      </c>
      <c r="M392" s="3134">
        <v>0.7883</v>
      </c>
    </row>
    <row r="393" spans="1:13">
      <c r="A393" s="3135">
        <v>3.2</v>
      </c>
      <c r="B393" s="3133">
        <v>0.95930000000000004</v>
      </c>
      <c r="C393" s="3133">
        <v>0.95930000000000004</v>
      </c>
      <c r="D393" s="3133">
        <v>0.9052</v>
      </c>
      <c r="E393" s="3133">
        <v>0.9052</v>
      </c>
      <c r="F393" s="3133">
        <v>0.9052</v>
      </c>
      <c r="G393" s="3133">
        <v>0.9052</v>
      </c>
      <c r="H393" s="3133">
        <v>0.9052</v>
      </c>
      <c r="I393" s="3133">
        <v>0.78090000000000004</v>
      </c>
      <c r="J393" s="3133">
        <v>0.78090000000000004</v>
      </c>
      <c r="K393" s="3133">
        <v>0.78090000000000004</v>
      </c>
      <c r="L393" s="3133">
        <v>0.78090000000000004</v>
      </c>
      <c r="M393" s="3134">
        <v>0.78090000000000004</v>
      </c>
    </row>
    <row r="394" spans="1:13">
      <c r="A394" s="3135">
        <v>3.3</v>
      </c>
      <c r="B394" s="3133">
        <v>0.95489999999999997</v>
      </c>
      <c r="C394" s="3133">
        <v>0.95489999999999997</v>
      </c>
      <c r="D394" s="3133">
        <v>0.9002</v>
      </c>
      <c r="E394" s="3133">
        <v>0.9002</v>
      </c>
      <c r="F394" s="3133">
        <v>0.9002</v>
      </c>
      <c r="G394" s="3133">
        <v>0.9002</v>
      </c>
      <c r="H394" s="3133">
        <v>0.9002</v>
      </c>
      <c r="I394" s="3133">
        <v>0.77410000000000001</v>
      </c>
      <c r="J394" s="3133">
        <v>0.77410000000000001</v>
      </c>
      <c r="K394" s="3133">
        <v>0.77410000000000001</v>
      </c>
      <c r="L394" s="3133">
        <v>0.77410000000000001</v>
      </c>
      <c r="M394" s="3134">
        <v>0.77410000000000001</v>
      </c>
    </row>
    <row r="395" spans="1:13">
      <c r="A395" s="3135">
        <v>3.4</v>
      </c>
      <c r="B395" s="3133">
        <v>0.95089999999999997</v>
      </c>
      <c r="C395" s="3133">
        <v>0.95089999999999997</v>
      </c>
      <c r="D395" s="3133">
        <v>0.89559999999999995</v>
      </c>
      <c r="E395" s="3133">
        <v>0.89559999999999995</v>
      </c>
      <c r="F395" s="3133">
        <v>0.89559999999999995</v>
      </c>
      <c r="G395" s="3133">
        <v>0.89559999999999995</v>
      </c>
      <c r="H395" s="3133">
        <v>0.89559999999999995</v>
      </c>
      <c r="I395" s="3133">
        <v>0.76759999999999995</v>
      </c>
      <c r="J395" s="3133">
        <v>0.76759999999999995</v>
      </c>
      <c r="K395" s="3133">
        <v>0.76759999999999995</v>
      </c>
      <c r="L395" s="3133">
        <v>0.76759999999999995</v>
      </c>
      <c r="M395" s="3134">
        <v>0.76759999999999995</v>
      </c>
    </row>
    <row r="396" spans="1:13">
      <c r="A396" s="3135">
        <v>3.5</v>
      </c>
      <c r="B396" s="3133">
        <v>0.94710000000000005</v>
      </c>
      <c r="C396" s="3133">
        <v>0.94710000000000005</v>
      </c>
      <c r="D396" s="3133">
        <v>0.89129999999999998</v>
      </c>
      <c r="E396" s="3133">
        <v>0.89129999999999998</v>
      </c>
      <c r="F396" s="3133">
        <v>0.89129999999999998</v>
      </c>
      <c r="G396" s="3133">
        <v>0.89129999999999998</v>
      </c>
      <c r="H396" s="3133">
        <v>0.89129999999999998</v>
      </c>
      <c r="I396" s="3133">
        <v>0.76160000000000005</v>
      </c>
      <c r="J396" s="3133">
        <v>0.76160000000000005</v>
      </c>
      <c r="K396" s="3133">
        <v>0.76160000000000005</v>
      </c>
      <c r="L396" s="3133">
        <v>0.76160000000000005</v>
      </c>
      <c r="M396" s="3134">
        <v>0.76160000000000005</v>
      </c>
    </row>
    <row r="397" spans="1:13">
      <c r="A397" s="3135">
        <v>3.6</v>
      </c>
      <c r="B397" s="3133">
        <v>0.94359999999999999</v>
      </c>
      <c r="C397" s="3133">
        <v>0.94359999999999999</v>
      </c>
      <c r="D397" s="3133">
        <v>0.88729999999999998</v>
      </c>
      <c r="E397" s="3133">
        <v>0.88729999999999998</v>
      </c>
      <c r="F397" s="3133">
        <v>0.88729999999999998</v>
      </c>
      <c r="G397" s="3133">
        <v>0.88729999999999998</v>
      </c>
      <c r="H397" s="3133">
        <v>0.88729999999999998</v>
      </c>
      <c r="I397" s="3133">
        <v>0.75590000000000002</v>
      </c>
      <c r="J397" s="3133">
        <v>0.75590000000000002</v>
      </c>
      <c r="K397" s="3133">
        <v>0.75590000000000002</v>
      </c>
      <c r="L397" s="3133">
        <v>0.75590000000000002</v>
      </c>
      <c r="M397" s="3134">
        <v>0.75590000000000002</v>
      </c>
    </row>
    <row r="398" spans="1:13">
      <c r="A398" s="3135">
        <v>3.7</v>
      </c>
      <c r="B398" s="3133">
        <v>0.94040000000000001</v>
      </c>
      <c r="C398" s="3133">
        <v>0.94040000000000001</v>
      </c>
      <c r="D398" s="3133">
        <v>0.88349999999999995</v>
      </c>
      <c r="E398" s="3133">
        <v>0.88349999999999995</v>
      </c>
      <c r="F398" s="3133">
        <v>0.88349999999999995</v>
      </c>
      <c r="G398" s="3133">
        <v>0.88349999999999995</v>
      </c>
      <c r="H398" s="3133">
        <v>0.88349999999999995</v>
      </c>
      <c r="I398" s="3133">
        <v>0.75070000000000003</v>
      </c>
      <c r="J398" s="3133">
        <v>0.75070000000000003</v>
      </c>
      <c r="K398" s="3133">
        <v>0.75070000000000003</v>
      </c>
      <c r="L398" s="3133">
        <v>0.75070000000000003</v>
      </c>
      <c r="M398" s="3134">
        <v>0.75070000000000003</v>
      </c>
    </row>
    <row r="399" spans="1:13">
      <c r="A399" s="3135">
        <v>3.8</v>
      </c>
      <c r="B399" s="3133">
        <v>0.93740000000000001</v>
      </c>
      <c r="C399" s="3133">
        <v>0.93740000000000001</v>
      </c>
      <c r="D399" s="3133">
        <v>0.88009999999999999</v>
      </c>
      <c r="E399" s="3133">
        <v>0.88009999999999999</v>
      </c>
      <c r="F399" s="3133">
        <v>0.88009999999999999</v>
      </c>
      <c r="G399" s="3133">
        <v>0.88009999999999999</v>
      </c>
      <c r="H399" s="3133">
        <v>0.88009999999999999</v>
      </c>
      <c r="I399" s="3133">
        <v>0.74570000000000003</v>
      </c>
      <c r="J399" s="3133">
        <v>0.74570000000000003</v>
      </c>
      <c r="K399" s="3133">
        <v>0.74570000000000003</v>
      </c>
      <c r="L399" s="3133">
        <v>0.74570000000000003</v>
      </c>
      <c r="M399" s="3134">
        <v>0.74570000000000003</v>
      </c>
    </row>
    <row r="400" spans="1:13">
      <c r="A400" s="3135">
        <v>3.9</v>
      </c>
      <c r="B400" s="3133">
        <v>0.93459999999999999</v>
      </c>
      <c r="C400" s="3133">
        <v>0.93459999999999999</v>
      </c>
      <c r="D400" s="3133">
        <v>0.87680000000000002</v>
      </c>
      <c r="E400" s="3133">
        <v>0.87680000000000002</v>
      </c>
      <c r="F400" s="3133">
        <v>0.87680000000000002</v>
      </c>
      <c r="G400" s="3133">
        <v>0.87680000000000002</v>
      </c>
      <c r="H400" s="3133">
        <v>0.87680000000000002</v>
      </c>
      <c r="I400" s="3133">
        <v>0.74109999999999998</v>
      </c>
      <c r="J400" s="3133">
        <v>0.74109999999999998</v>
      </c>
      <c r="K400" s="3133">
        <v>0.74109999999999998</v>
      </c>
      <c r="L400" s="3133">
        <v>0.74109999999999998</v>
      </c>
      <c r="M400" s="3134">
        <v>0.74109999999999998</v>
      </c>
    </row>
    <row r="401" spans="1:13">
      <c r="A401" s="3135">
        <v>4</v>
      </c>
      <c r="B401" s="3133">
        <v>0.93179999999999996</v>
      </c>
      <c r="C401" s="3133">
        <v>0.93179999999999996</v>
      </c>
      <c r="D401" s="3133">
        <v>0.87380000000000002</v>
      </c>
      <c r="E401" s="3133">
        <v>0.87380000000000002</v>
      </c>
      <c r="F401" s="3133">
        <v>0.87380000000000002</v>
      </c>
      <c r="G401" s="3133">
        <v>0.87380000000000002</v>
      </c>
      <c r="H401" s="3133">
        <v>0.87380000000000002</v>
      </c>
      <c r="I401" s="3133">
        <v>0.73680000000000001</v>
      </c>
      <c r="J401" s="3133">
        <v>0.73680000000000001</v>
      </c>
      <c r="K401" s="3133">
        <v>0.73680000000000001</v>
      </c>
      <c r="L401" s="3133">
        <v>0.73680000000000001</v>
      </c>
      <c r="M401" s="3134">
        <v>0.73680000000000001</v>
      </c>
    </row>
    <row r="402" spans="1:13">
      <c r="A402" s="3135">
        <v>4.0999999999999996</v>
      </c>
      <c r="B402" s="3133">
        <v>0.92920000000000003</v>
      </c>
      <c r="C402" s="3133">
        <v>0.92920000000000003</v>
      </c>
      <c r="D402" s="3133">
        <v>0.87090000000000001</v>
      </c>
      <c r="E402" s="3133">
        <v>0.87090000000000001</v>
      </c>
      <c r="F402" s="3133">
        <v>0.87090000000000001</v>
      </c>
      <c r="G402" s="3133">
        <v>0.87090000000000001</v>
      </c>
      <c r="H402" s="3133">
        <v>0.87090000000000001</v>
      </c>
      <c r="I402" s="3133">
        <v>0.73270000000000002</v>
      </c>
      <c r="J402" s="3133">
        <v>0.73270000000000002</v>
      </c>
      <c r="K402" s="3133">
        <v>0.73270000000000002</v>
      </c>
      <c r="L402" s="3133">
        <v>0.73270000000000002</v>
      </c>
      <c r="M402" s="3134">
        <v>0.73270000000000002</v>
      </c>
    </row>
    <row r="403" spans="1:13">
      <c r="A403" s="3135">
        <v>4.2</v>
      </c>
      <c r="B403" s="3133">
        <v>0.92659999999999998</v>
      </c>
      <c r="C403" s="3133">
        <v>0.92659999999999998</v>
      </c>
      <c r="D403" s="3133">
        <v>0.86819999999999997</v>
      </c>
      <c r="E403" s="3133">
        <v>0.86819999999999997</v>
      </c>
      <c r="F403" s="3133">
        <v>0.86819999999999997</v>
      </c>
      <c r="G403" s="3133">
        <v>0.86819999999999997</v>
      </c>
      <c r="H403" s="3133">
        <v>0.86819999999999997</v>
      </c>
      <c r="I403" s="3133">
        <v>0.7288</v>
      </c>
      <c r="J403" s="3133">
        <v>0.7288</v>
      </c>
      <c r="K403" s="3133">
        <v>0.7288</v>
      </c>
      <c r="L403" s="3133">
        <v>0.7288</v>
      </c>
      <c r="M403" s="3134">
        <v>0.7288</v>
      </c>
    </row>
    <row r="404" spans="1:13">
      <c r="A404" s="3135">
        <v>4.3</v>
      </c>
      <c r="B404" s="3133">
        <v>0.92410000000000003</v>
      </c>
      <c r="C404" s="3133">
        <v>0.92410000000000003</v>
      </c>
      <c r="D404" s="3133">
        <v>0.86550000000000005</v>
      </c>
      <c r="E404" s="3133">
        <v>0.86550000000000005</v>
      </c>
      <c r="F404" s="3133">
        <v>0.86550000000000005</v>
      </c>
      <c r="G404" s="3133">
        <v>0.86550000000000005</v>
      </c>
      <c r="H404" s="3133">
        <v>0.86550000000000005</v>
      </c>
      <c r="I404" s="3133">
        <v>0.72509999999999997</v>
      </c>
      <c r="J404" s="3133">
        <v>0.72509999999999997</v>
      </c>
      <c r="K404" s="3133">
        <v>0.72509999999999997</v>
      </c>
      <c r="L404" s="3133">
        <v>0.72509999999999997</v>
      </c>
      <c r="M404" s="3134">
        <v>0.72509999999999997</v>
      </c>
    </row>
    <row r="405" spans="1:13">
      <c r="A405" s="3135">
        <v>4.4000000000000004</v>
      </c>
      <c r="B405" s="3133">
        <v>0.92179999999999995</v>
      </c>
      <c r="C405" s="3133">
        <v>0.92179999999999995</v>
      </c>
      <c r="D405" s="3133">
        <v>0.8629</v>
      </c>
      <c r="E405" s="3133">
        <v>0.8629</v>
      </c>
      <c r="F405" s="3133">
        <v>0.8629</v>
      </c>
      <c r="G405" s="3133">
        <v>0.8629</v>
      </c>
      <c r="H405" s="3133">
        <v>0.8629</v>
      </c>
      <c r="I405" s="3133">
        <v>0.72150000000000003</v>
      </c>
      <c r="J405" s="3133">
        <v>0.72150000000000003</v>
      </c>
      <c r="K405" s="3133">
        <v>0.72150000000000003</v>
      </c>
      <c r="L405" s="3133">
        <v>0.72150000000000003</v>
      </c>
      <c r="M405" s="3134">
        <v>0.72150000000000003</v>
      </c>
    </row>
    <row r="406" spans="1:13">
      <c r="A406" s="3135">
        <v>4.5</v>
      </c>
      <c r="B406" s="3133">
        <v>0.91949999999999998</v>
      </c>
      <c r="C406" s="3133">
        <v>0.91949999999999998</v>
      </c>
      <c r="D406" s="3133">
        <v>0.86050000000000004</v>
      </c>
      <c r="E406" s="3133">
        <v>0.86050000000000004</v>
      </c>
      <c r="F406" s="3133">
        <v>0.86050000000000004</v>
      </c>
      <c r="G406" s="3133">
        <v>0.86050000000000004</v>
      </c>
      <c r="H406" s="3133">
        <v>0.86050000000000004</v>
      </c>
      <c r="I406" s="3133">
        <v>0.71819999999999995</v>
      </c>
      <c r="J406" s="3133">
        <v>0.71819999999999995</v>
      </c>
      <c r="K406" s="3133">
        <v>0.71819999999999995</v>
      </c>
      <c r="L406" s="3133">
        <v>0.71819999999999995</v>
      </c>
      <c r="M406" s="3134">
        <v>0.71819999999999995</v>
      </c>
    </row>
    <row r="407" spans="1:13">
      <c r="A407" s="3135">
        <v>4.5999999999999996</v>
      </c>
      <c r="B407" s="3133">
        <v>0.9173</v>
      </c>
      <c r="C407" s="3133">
        <v>0.9173</v>
      </c>
      <c r="D407" s="3133">
        <v>0.85809999999999997</v>
      </c>
      <c r="E407" s="3133">
        <v>0.85809999999999997</v>
      </c>
      <c r="F407" s="3133">
        <v>0.85809999999999997</v>
      </c>
      <c r="G407" s="3133">
        <v>0.85809999999999997</v>
      </c>
      <c r="H407" s="3133">
        <v>0.85809999999999997</v>
      </c>
      <c r="I407" s="3133">
        <v>0.71499999999999997</v>
      </c>
      <c r="J407" s="3133">
        <v>0.71499999999999997</v>
      </c>
      <c r="K407" s="3133">
        <v>0.71499999999999997</v>
      </c>
      <c r="L407" s="3133">
        <v>0.71499999999999997</v>
      </c>
      <c r="M407" s="3134">
        <v>0.71499999999999997</v>
      </c>
    </row>
    <row r="408" spans="1:13">
      <c r="A408" s="3135">
        <v>4.7</v>
      </c>
      <c r="B408" s="3133">
        <v>0.91520000000000001</v>
      </c>
      <c r="C408" s="3133">
        <v>0.91520000000000001</v>
      </c>
      <c r="D408" s="3133">
        <v>0.85570000000000002</v>
      </c>
      <c r="E408" s="3133">
        <v>0.85570000000000002</v>
      </c>
      <c r="F408" s="3133">
        <v>0.85570000000000002</v>
      </c>
      <c r="G408" s="3133">
        <v>0.85570000000000002</v>
      </c>
      <c r="H408" s="3133">
        <v>0.85570000000000002</v>
      </c>
      <c r="I408" s="3133">
        <v>0.71199999999999997</v>
      </c>
      <c r="J408" s="3133">
        <v>0.71199999999999997</v>
      </c>
      <c r="K408" s="3133">
        <v>0.71199999999999997</v>
      </c>
      <c r="L408" s="3133">
        <v>0.71199999999999997</v>
      </c>
      <c r="M408" s="3134">
        <v>0.71199999999999997</v>
      </c>
    </row>
    <row r="409" spans="1:13">
      <c r="A409" s="3135">
        <v>4.8</v>
      </c>
      <c r="B409" s="3133">
        <v>0.91310000000000002</v>
      </c>
      <c r="C409" s="3133">
        <v>0.91310000000000002</v>
      </c>
      <c r="D409" s="3133">
        <v>0.85340000000000005</v>
      </c>
      <c r="E409" s="3133">
        <v>0.85340000000000005</v>
      </c>
      <c r="F409" s="3133">
        <v>0.85340000000000005</v>
      </c>
      <c r="G409" s="3133">
        <v>0.85340000000000005</v>
      </c>
      <c r="H409" s="3133">
        <v>0.85340000000000005</v>
      </c>
      <c r="I409" s="3133">
        <v>0.70909999999999995</v>
      </c>
      <c r="J409" s="3133">
        <v>0.70909999999999995</v>
      </c>
      <c r="K409" s="3133">
        <v>0.70909999999999995</v>
      </c>
      <c r="L409" s="3133">
        <v>0.70909999999999995</v>
      </c>
      <c r="M409" s="3134">
        <v>0.70909999999999995</v>
      </c>
    </row>
    <row r="410" spans="1:13">
      <c r="A410" s="3135">
        <v>4.9000000000000004</v>
      </c>
      <c r="B410" s="3133">
        <v>0.91120000000000001</v>
      </c>
      <c r="C410" s="3133">
        <v>0.91120000000000001</v>
      </c>
      <c r="D410" s="3133">
        <v>0.85109999999999997</v>
      </c>
      <c r="E410" s="3133">
        <v>0.85109999999999997</v>
      </c>
      <c r="F410" s="3133">
        <v>0.85109999999999997</v>
      </c>
      <c r="G410" s="3133">
        <v>0.85109999999999997</v>
      </c>
      <c r="H410" s="3133">
        <v>0.85109999999999997</v>
      </c>
      <c r="I410" s="3133">
        <v>0.70620000000000005</v>
      </c>
      <c r="J410" s="3133">
        <v>0.70620000000000005</v>
      </c>
      <c r="K410" s="3133">
        <v>0.70620000000000005</v>
      </c>
      <c r="L410" s="3133">
        <v>0.70620000000000005</v>
      </c>
      <c r="M410" s="3134">
        <v>0.70620000000000005</v>
      </c>
    </row>
    <row r="411" spans="1:13">
      <c r="A411" s="3135">
        <v>5</v>
      </c>
      <c r="B411" s="3133">
        <v>0.90920000000000001</v>
      </c>
      <c r="C411" s="3133">
        <v>0.90920000000000001</v>
      </c>
      <c r="D411" s="3133">
        <v>0.84889999999999999</v>
      </c>
      <c r="E411" s="3133">
        <v>0.84889999999999999</v>
      </c>
      <c r="F411" s="3133">
        <v>0.84889999999999999</v>
      </c>
      <c r="G411" s="3133">
        <v>0.84889999999999999</v>
      </c>
      <c r="H411" s="3133">
        <v>0.84889999999999999</v>
      </c>
      <c r="I411" s="3133">
        <v>0.70350000000000001</v>
      </c>
      <c r="J411" s="3133">
        <v>0.70350000000000001</v>
      </c>
      <c r="K411" s="3133">
        <v>0.70350000000000001</v>
      </c>
      <c r="L411" s="3133">
        <v>0.70350000000000001</v>
      </c>
      <c r="M411" s="3134">
        <v>0.70350000000000001</v>
      </c>
    </row>
    <row r="412" spans="1:13">
      <c r="A412" s="3132">
        <v>5.0999999999999996</v>
      </c>
      <c r="B412" s="3133">
        <v>0.90720000000000001</v>
      </c>
      <c r="C412" s="3133">
        <v>0.90720000000000001</v>
      </c>
      <c r="D412" s="3133">
        <v>0.84670000000000001</v>
      </c>
      <c r="E412" s="3133">
        <v>0.84670000000000001</v>
      </c>
      <c r="F412" s="3133">
        <v>0.84670000000000001</v>
      </c>
      <c r="G412" s="3133">
        <v>0.84670000000000001</v>
      </c>
      <c r="H412" s="3133">
        <v>0.84670000000000001</v>
      </c>
      <c r="I412" s="3133">
        <v>0.70089999999999997</v>
      </c>
      <c r="J412" s="3133">
        <v>0.70089999999999997</v>
      </c>
      <c r="K412" s="3133">
        <v>0.70089999999999997</v>
      </c>
      <c r="L412" s="3133">
        <v>0.70089999999999997</v>
      </c>
      <c r="M412" s="3134">
        <v>0.70089999999999997</v>
      </c>
    </row>
    <row r="413" spans="1:13">
      <c r="A413" s="3132">
        <v>5.2</v>
      </c>
      <c r="B413" s="3133">
        <v>0.90529999999999999</v>
      </c>
      <c r="C413" s="3133">
        <v>0.90529999999999999</v>
      </c>
      <c r="D413" s="3133">
        <v>0.84450000000000003</v>
      </c>
      <c r="E413" s="3133">
        <v>0.84450000000000003</v>
      </c>
      <c r="F413" s="3133">
        <v>0.84450000000000003</v>
      </c>
      <c r="G413" s="3133">
        <v>0.84450000000000003</v>
      </c>
      <c r="H413" s="3133">
        <v>0.84450000000000003</v>
      </c>
      <c r="I413" s="3133">
        <v>0.69820000000000004</v>
      </c>
      <c r="J413" s="3133">
        <v>0.69820000000000004</v>
      </c>
      <c r="K413" s="3133">
        <v>0.69820000000000004</v>
      </c>
      <c r="L413" s="3133">
        <v>0.69820000000000004</v>
      </c>
      <c r="M413" s="3134">
        <v>0.69820000000000004</v>
      </c>
    </row>
    <row r="414" spans="1:13">
      <c r="A414" s="3132">
        <v>5.3</v>
      </c>
      <c r="B414" s="3133">
        <v>0.90339999999999998</v>
      </c>
      <c r="C414" s="3133">
        <v>0.90339999999999998</v>
      </c>
      <c r="D414" s="3133">
        <v>0.84230000000000005</v>
      </c>
      <c r="E414" s="3133">
        <v>0.84230000000000005</v>
      </c>
      <c r="F414" s="3133">
        <v>0.84230000000000005</v>
      </c>
      <c r="G414" s="3133">
        <v>0.84230000000000005</v>
      </c>
      <c r="H414" s="3133">
        <v>0.84230000000000005</v>
      </c>
      <c r="I414" s="3133">
        <v>0.69569999999999999</v>
      </c>
      <c r="J414" s="3133">
        <v>0.69569999999999999</v>
      </c>
      <c r="K414" s="3133">
        <v>0.69569999999999999</v>
      </c>
      <c r="L414" s="3133">
        <v>0.69569999999999999</v>
      </c>
      <c r="M414" s="3134">
        <v>0.69569999999999999</v>
      </c>
    </row>
    <row r="415" spans="1:13">
      <c r="A415" s="3132">
        <v>5.4</v>
      </c>
      <c r="B415" s="3133">
        <v>0.90149999999999997</v>
      </c>
      <c r="C415" s="3133">
        <v>0.90149999999999997</v>
      </c>
      <c r="D415" s="3133">
        <v>0.84019999999999995</v>
      </c>
      <c r="E415" s="3133">
        <v>0.84019999999999995</v>
      </c>
      <c r="F415" s="3133">
        <v>0.84019999999999995</v>
      </c>
      <c r="G415" s="3133">
        <v>0.84019999999999995</v>
      </c>
      <c r="H415" s="3133">
        <v>0.84019999999999995</v>
      </c>
      <c r="I415" s="3133">
        <v>0.69310000000000005</v>
      </c>
      <c r="J415" s="3133">
        <v>0.69310000000000005</v>
      </c>
      <c r="K415" s="3133">
        <v>0.69310000000000005</v>
      </c>
      <c r="L415" s="3133">
        <v>0.69310000000000005</v>
      </c>
      <c r="M415" s="3134">
        <v>0.69310000000000005</v>
      </c>
    </row>
    <row r="416" spans="1:13">
      <c r="A416" s="3132">
        <v>5.5</v>
      </c>
      <c r="B416" s="3133">
        <v>0.89959999999999996</v>
      </c>
      <c r="C416" s="3133">
        <v>0.89959999999999996</v>
      </c>
      <c r="D416" s="3133">
        <v>0.83809999999999996</v>
      </c>
      <c r="E416" s="3133">
        <v>0.83809999999999996</v>
      </c>
      <c r="F416" s="3133">
        <v>0.83809999999999996</v>
      </c>
      <c r="G416" s="3133">
        <v>0.83809999999999996</v>
      </c>
      <c r="H416" s="3133">
        <v>0.83809999999999996</v>
      </c>
      <c r="I416" s="3133">
        <v>0.69059999999999999</v>
      </c>
      <c r="J416" s="3133">
        <v>0.69059999999999999</v>
      </c>
      <c r="K416" s="3133">
        <v>0.69059999999999999</v>
      </c>
      <c r="L416" s="3133">
        <v>0.69059999999999999</v>
      </c>
      <c r="M416" s="3134">
        <v>0.69059999999999999</v>
      </c>
    </row>
    <row r="417" spans="1:13">
      <c r="A417" s="3132">
        <v>5.6</v>
      </c>
      <c r="B417" s="3133">
        <v>0.89780000000000004</v>
      </c>
      <c r="C417" s="3133">
        <v>0.89780000000000004</v>
      </c>
      <c r="D417" s="3133">
        <v>0.83599999999999997</v>
      </c>
      <c r="E417" s="3133">
        <v>0.83599999999999997</v>
      </c>
      <c r="F417" s="3133">
        <v>0.83599999999999997</v>
      </c>
      <c r="G417" s="3133">
        <v>0.83599999999999997</v>
      </c>
      <c r="H417" s="3133">
        <v>0.83599999999999997</v>
      </c>
      <c r="I417" s="3133">
        <v>0.68810000000000004</v>
      </c>
      <c r="J417" s="3133">
        <v>0.68810000000000004</v>
      </c>
      <c r="K417" s="3133">
        <v>0.68810000000000004</v>
      </c>
      <c r="L417" s="3133">
        <v>0.68810000000000004</v>
      </c>
      <c r="M417" s="3134">
        <v>0.68810000000000004</v>
      </c>
    </row>
    <row r="418" spans="1:13">
      <c r="A418" s="3135">
        <v>5.7</v>
      </c>
      <c r="B418" s="3133">
        <v>0.89600000000000002</v>
      </c>
      <c r="C418" s="3133">
        <v>0.89600000000000002</v>
      </c>
      <c r="D418" s="3133">
        <v>0.83389999999999997</v>
      </c>
      <c r="E418" s="3133">
        <v>0.83389999999999997</v>
      </c>
      <c r="F418" s="3133">
        <v>0.83389999999999997</v>
      </c>
      <c r="G418" s="3133">
        <v>0.83389999999999997</v>
      </c>
      <c r="H418" s="3133">
        <v>0.83389999999999997</v>
      </c>
      <c r="I418" s="3133">
        <v>0.68569999999999998</v>
      </c>
      <c r="J418" s="3133">
        <v>0.68569999999999998</v>
      </c>
      <c r="K418" s="3133">
        <v>0.68569999999999998</v>
      </c>
      <c r="L418" s="3133">
        <v>0.68569999999999998</v>
      </c>
      <c r="M418" s="3134">
        <v>0.68569999999999998</v>
      </c>
    </row>
    <row r="419" spans="1:13">
      <c r="A419" s="3132">
        <v>5.8</v>
      </c>
      <c r="B419" s="3133">
        <v>0.89419999999999999</v>
      </c>
      <c r="C419" s="3133">
        <v>0.89419999999999999</v>
      </c>
      <c r="D419" s="3133">
        <v>0.83189999999999997</v>
      </c>
      <c r="E419" s="3133">
        <v>0.83189999999999997</v>
      </c>
      <c r="F419" s="3133">
        <v>0.83189999999999997</v>
      </c>
      <c r="G419" s="3133">
        <v>0.83189999999999997</v>
      </c>
      <c r="H419" s="3133">
        <v>0.83189999999999997</v>
      </c>
      <c r="I419" s="3133">
        <v>0.68320000000000003</v>
      </c>
      <c r="J419" s="3133">
        <v>0.68320000000000003</v>
      </c>
      <c r="K419" s="3133">
        <v>0.68320000000000003</v>
      </c>
      <c r="L419" s="3133">
        <v>0.68320000000000003</v>
      </c>
      <c r="M419" s="3134">
        <v>0.68320000000000003</v>
      </c>
    </row>
    <row r="420" spans="1:13">
      <c r="A420" s="3132">
        <v>5.9</v>
      </c>
      <c r="B420" s="3133">
        <v>0.89239999999999997</v>
      </c>
      <c r="C420" s="3133">
        <v>0.89239999999999997</v>
      </c>
      <c r="D420" s="3133">
        <v>0.82989999999999997</v>
      </c>
      <c r="E420" s="3133">
        <v>0.82989999999999997</v>
      </c>
      <c r="F420" s="3133">
        <v>0.82989999999999997</v>
      </c>
      <c r="G420" s="3133">
        <v>0.82989999999999997</v>
      </c>
      <c r="H420" s="3133">
        <v>0.82989999999999997</v>
      </c>
      <c r="I420" s="3133">
        <v>0.68069999999999997</v>
      </c>
      <c r="J420" s="3133">
        <v>0.68069999999999997</v>
      </c>
      <c r="K420" s="3133">
        <v>0.68069999999999997</v>
      </c>
      <c r="L420" s="3133">
        <v>0.68069999999999997</v>
      </c>
      <c r="M420" s="3134">
        <v>0.68069999999999997</v>
      </c>
    </row>
    <row r="421" spans="1:13">
      <c r="A421" s="3132">
        <v>6</v>
      </c>
      <c r="B421" s="3133">
        <v>0.89070000000000005</v>
      </c>
      <c r="C421" s="3133">
        <v>0.89070000000000005</v>
      </c>
      <c r="D421" s="3133">
        <v>0.82789999999999997</v>
      </c>
      <c r="E421" s="3133">
        <v>0.82789999999999997</v>
      </c>
      <c r="F421" s="3133">
        <v>0.82789999999999997</v>
      </c>
      <c r="G421" s="3133">
        <v>0.82789999999999997</v>
      </c>
      <c r="H421" s="3133">
        <v>0.82789999999999997</v>
      </c>
      <c r="I421" s="3133">
        <v>0.6784</v>
      </c>
      <c r="J421" s="3133">
        <v>0.6784</v>
      </c>
      <c r="K421" s="3133">
        <v>0.6784</v>
      </c>
      <c r="L421" s="3133">
        <v>0.6784</v>
      </c>
      <c r="M421" s="3134">
        <v>0.6784</v>
      </c>
    </row>
    <row r="422" spans="1:13">
      <c r="A422" s="3132">
        <v>6.1</v>
      </c>
      <c r="B422" s="3133">
        <v>0.88900000000000001</v>
      </c>
      <c r="C422" s="3133">
        <v>0.88900000000000001</v>
      </c>
      <c r="D422" s="3133">
        <v>0.82589999999999997</v>
      </c>
      <c r="E422" s="3133">
        <v>0.82589999999999997</v>
      </c>
      <c r="F422" s="3133">
        <v>0.82589999999999997</v>
      </c>
      <c r="G422" s="3133">
        <v>0.82589999999999997</v>
      </c>
      <c r="H422" s="3133">
        <v>0.82589999999999997</v>
      </c>
      <c r="I422" s="3133">
        <v>0.67600000000000005</v>
      </c>
      <c r="J422" s="3133">
        <v>0.67600000000000005</v>
      </c>
      <c r="K422" s="3133">
        <v>0.67600000000000005</v>
      </c>
      <c r="L422" s="3133">
        <v>0.67600000000000005</v>
      </c>
      <c r="M422" s="3134">
        <v>0.67600000000000005</v>
      </c>
    </row>
    <row r="423" spans="1:13">
      <c r="A423" s="3132">
        <v>6.2</v>
      </c>
      <c r="B423" s="3133">
        <v>0.88729999999999998</v>
      </c>
      <c r="C423" s="3133">
        <v>0.88729999999999998</v>
      </c>
      <c r="D423" s="3133">
        <v>0.82389999999999997</v>
      </c>
      <c r="E423" s="3133">
        <v>0.82389999999999997</v>
      </c>
      <c r="F423" s="3133">
        <v>0.82389999999999997</v>
      </c>
      <c r="G423" s="3133">
        <v>0.82389999999999997</v>
      </c>
      <c r="H423" s="3133">
        <v>0.82389999999999997</v>
      </c>
      <c r="I423" s="3133">
        <v>0.67359999999999998</v>
      </c>
      <c r="J423" s="3133">
        <v>0.67359999999999998</v>
      </c>
      <c r="K423" s="3133">
        <v>0.67359999999999998</v>
      </c>
      <c r="L423" s="3133">
        <v>0.67359999999999998</v>
      </c>
      <c r="M423" s="3134">
        <v>0.67359999999999998</v>
      </c>
    </row>
    <row r="424" spans="1:13">
      <c r="A424" s="3132">
        <v>6.3</v>
      </c>
      <c r="B424" s="3133">
        <v>0.88560000000000005</v>
      </c>
      <c r="C424" s="3133">
        <v>0.88560000000000005</v>
      </c>
      <c r="D424" s="3133">
        <v>0.82189999999999996</v>
      </c>
      <c r="E424" s="3133">
        <v>0.82189999999999996</v>
      </c>
      <c r="F424" s="3133">
        <v>0.82189999999999996</v>
      </c>
      <c r="G424" s="3133">
        <v>0.82189999999999996</v>
      </c>
      <c r="H424" s="3133">
        <v>0.82189999999999996</v>
      </c>
      <c r="I424" s="3133">
        <v>0.67130000000000001</v>
      </c>
      <c r="J424" s="3133">
        <v>0.67130000000000001</v>
      </c>
      <c r="K424" s="3133">
        <v>0.67130000000000001</v>
      </c>
      <c r="L424" s="3133">
        <v>0.67130000000000001</v>
      </c>
      <c r="M424" s="3134">
        <v>0.67130000000000001</v>
      </c>
    </row>
    <row r="425" spans="1:13">
      <c r="A425" s="3132">
        <v>6.4</v>
      </c>
      <c r="B425" s="3133">
        <v>0.88390000000000002</v>
      </c>
      <c r="C425" s="3133">
        <v>0.88390000000000002</v>
      </c>
      <c r="D425" s="3133">
        <v>0.82</v>
      </c>
      <c r="E425" s="3133">
        <v>0.82</v>
      </c>
      <c r="F425" s="3133">
        <v>0.82</v>
      </c>
      <c r="G425" s="3133">
        <v>0.82</v>
      </c>
      <c r="H425" s="3133">
        <v>0.82</v>
      </c>
      <c r="I425" s="3133">
        <v>0.66890000000000005</v>
      </c>
      <c r="J425" s="3133">
        <v>0.66890000000000005</v>
      </c>
      <c r="K425" s="3133">
        <v>0.66890000000000005</v>
      </c>
      <c r="L425" s="3133">
        <v>0.66890000000000005</v>
      </c>
      <c r="M425" s="3134">
        <v>0.66890000000000005</v>
      </c>
    </row>
    <row r="426" spans="1:13">
      <c r="A426" s="3132">
        <v>6.5</v>
      </c>
      <c r="B426" s="3133">
        <v>0.88229999999999997</v>
      </c>
      <c r="C426" s="3133">
        <v>0.88229999999999997</v>
      </c>
      <c r="D426" s="3133">
        <v>0.81810000000000005</v>
      </c>
      <c r="E426" s="3133">
        <v>0.81810000000000005</v>
      </c>
      <c r="F426" s="3133">
        <v>0.81810000000000005</v>
      </c>
      <c r="G426" s="3133">
        <v>0.81810000000000005</v>
      </c>
      <c r="H426" s="3133">
        <v>0.81810000000000005</v>
      </c>
      <c r="I426" s="3133">
        <v>0.66659999999999997</v>
      </c>
      <c r="J426" s="3133">
        <v>0.66659999999999997</v>
      </c>
      <c r="K426" s="3133">
        <v>0.66659999999999997</v>
      </c>
      <c r="L426" s="3133">
        <v>0.66659999999999997</v>
      </c>
      <c r="M426" s="3134">
        <v>0.66659999999999997</v>
      </c>
    </row>
    <row r="427" spans="1:13">
      <c r="A427" s="3132">
        <v>6.6</v>
      </c>
      <c r="B427" s="3133">
        <v>0.88070000000000004</v>
      </c>
      <c r="C427" s="3133">
        <v>0.88070000000000004</v>
      </c>
      <c r="D427" s="3133">
        <v>0.81620000000000004</v>
      </c>
      <c r="E427" s="3133">
        <v>0.81620000000000004</v>
      </c>
      <c r="F427" s="3133">
        <v>0.81620000000000004</v>
      </c>
      <c r="G427" s="3133">
        <v>0.81620000000000004</v>
      </c>
      <c r="H427" s="3133">
        <v>0.81620000000000004</v>
      </c>
      <c r="I427" s="3133">
        <v>0.66439999999999999</v>
      </c>
      <c r="J427" s="3133">
        <v>0.66439999999999999</v>
      </c>
      <c r="K427" s="3133">
        <v>0.66439999999999999</v>
      </c>
      <c r="L427" s="3133">
        <v>0.66439999999999999</v>
      </c>
      <c r="M427" s="3134">
        <v>0.66439999999999999</v>
      </c>
    </row>
    <row r="428" spans="1:13">
      <c r="A428" s="3132">
        <v>6.7</v>
      </c>
      <c r="B428" s="3133">
        <v>0.879</v>
      </c>
      <c r="C428" s="3133">
        <v>0.879</v>
      </c>
      <c r="D428" s="3133">
        <v>0.81430000000000002</v>
      </c>
      <c r="E428" s="3133">
        <v>0.81430000000000002</v>
      </c>
      <c r="F428" s="3133">
        <v>0.81430000000000002</v>
      </c>
      <c r="G428" s="3133">
        <v>0.81430000000000002</v>
      </c>
      <c r="H428" s="3133">
        <v>0.81430000000000002</v>
      </c>
      <c r="I428" s="3133">
        <v>0.66210000000000002</v>
      </c>
      <c r="J428" s="3133">
        <v>0.66210000000000002</v>
      </c>
      <c r="K428" s="3133">
        <v>0.66210000000000002</v>
      </c>
      <c r="L428" s="3133">
        <v>0.66210000000000002</v>
      </c>
      <c r="M428" s="3134">
        <v>0.66210000000000002</v>
      </c>
    </row>
    <row r="429" spans="1:13">
      <c r="A429" s="3132">
        <v>6.8</v>
      </c>
      <c r="B429" s="3133">
        <v>0.87739999999999996</v>
      </c>
      <c r="C429" s="3133">
        <v>0.87739999999999996</v>
      </c>
      <c r="D429" s="3133">
        <v>0.81240000000000001</v>
      </c>
      <c r="E429" s="3133">
        <v>0.81240000000000001</v>
      </c>
      <c r="F429" s="3133">
        <v>0.81240000000000001</v>
      </c>
      <c r="G429" s="3133">
        <v>0.81240000000000001</v>
      </c>
      <c r="H429" s="3133">
        <v>0.81240000000000001</v>
      </c>
      <c r="I429" s="3133">
        <v>0.65980000000000005</v>
      </c>
      <c r="J429" s="3133">
        <v>0.65980000000000005</v>
      </c>
      <c r="K429" s="3133">
        <v>0.65980000000000005</v>
      </c>
      <c r="L429" s="3133">
        <v>0.65980000000000005</v>
      </c>
      <c r="M429" s="3134">
        <v>0.65980000000000005</v>
      </c>
    </row>
    <row r="430" spans="1:13">
      <c r="A430" s="3132">
        <v>6.9</v>
      </c>
      <c r="B430" s="3133">
        <v>0.87580000000000002</v>
      </c>
      <c r="C430" s="3133">
        <v>0.87580000000000002</v>
      </c>
      <c r="D430" s="3133">
        <v>0.8105</v>
      </c>
      <c r="E430" s="3133">
        <v>0.8105</v>
      </c>
      <c r="F430" s="3133">
        <v>0.8105</v>
      </c>
      <c r="G430" s="3133">
        <v>0.8105</v>
      </c>
      <c r="H430" s="3133">
        <v>0.8105</v>
      </c>
      <c r="I430" s="3133">
        <v>0.65749999999999997</v>
      </c>
      <c r="J430" s="3133">
        <v>0.65749999999999997</v>
      </c>
      <c r="K430" s="3133">
        <v>0.65749999999999997</v>
      </c>
      <c r="L430" s="3133">
        <v>0.65749999999999997</v>
      </c>
      <c r="M430" s="3134">
        <v>0.65749999999999997</v>
      </c>
    </row>
    <row r="431" spans="1:13">
      <c r="A431" s="3132">
        <v>7</v>
      </c>
      <c r="B431" s="3133">
        <v>0.87419999999999998</v>
      </c>
      <c r="C431" s="3133">
        <v>0.87419999999999998</v>
      </c>
      <c r="D431" s="3133">
        <v>0.80869999999999997</v>
      </c>
      <c r="E431" s="3133">
        <v>0.80869999999999997</v>
      </c>
      <c r="F431" s="3133">
        <v>0.80869999999999997</v>
      </c>
      <c r="G431" s="3133">
        <v>0.80869999999999997</v>
      </c>
      <c r="H431" s="3133">
        <v>0.80869999999999997</v>
      </c>
      <c r="I431" s="3133">
        <v>0.65529999999999999</v>
      </c>
      <c r="J431" s="3133">
        <v>0.65529999999999999</v>
      </c>
      <c r="K431" s="3133">
        <v>0.65529999999999999</v>
      </c>
      <c r="L431" s="3133">
        <v>0.65529999999999999</v>
      </c>
      <c r="M431" s="3134">
        <v>0.65529999999999999</v>
      </c>
    </row>
    <row r="432" spans="1:13">
      <c r="A432" s="3132">
        <v>7.1</v>
      </c>
      <c r="B432" s="3133">
        <v>0.87270000000000003</v>
      </c>
      <c r="C432" s="3133">
        <v>0.87270000000000003</v>
      </c>
      <c r="D432" s="3133">
        <v>0.80689999999999995</v>
      </c>
      <c r="E432" s="3133">
        <v>0.80689999999999995</v>
      </c>
      <c r="F432" s="3133">
        <v>0.80689999999999995</v>
      </c>
      <c r="G432" s="3133">
        <v>0.80689999999999995</v>
      </c>
      <c r="H432" s="3133">
        <v>0.80689999999999995</v>
      </c>
      <c r="I432" s="3133">
        <v>0.6532</v>
      </c>
      <c r="J432" s="3133">
        <v>0.6532</v>
      </c>
      <c r="K432" s="3133">
        <v>0.6532</v>
      </c>
      <c r="L432" s="3133">
        <v>0.6532</v>
      </c>
      <c r="M432" s="3134">
        <v>0.6532</v>
      </c>
    </row>
    <row r="433" spans="1:13">
      <c r="A433" s="3132">
        <v>7.2</v>
      </c>
      <c r="B433" s="3133">
        <v>0.87119999999999997</v>
      </c>
      <c r="C433" s="3133">
        <v>0.87119999999999997</v>
      </c>
      <c r="D433" s="3133">
        <v>0.80510000000000004</v>
      </c>
      <c r="E433" s="3133">
        <v>0.80510000000000004</v>
      </c>
      <c r="F433" s="3133">
        <v>0.80510000000000004</v>
      </c>
      <c r="G433" s="3133">
        <v>0.80510000000000004</v>
      </c>
      <c r="H433" s="3133">
        <v>0.80510000000000004</v>
      </c>
      <c r="I433" s="3133">
        <v>0.65100000000000002</v>
      </c>
      <c r="J433" s="3133">
        <v>0.65100000000000002</v>
      </c>
      <c r="K433" s="3133">
        <v>0.65100000000000002</v>
      </c>
      <c r="L433" s="3133">
        <v>0.65100000000000002</v>
      </c>
      <c r="M433" s="3134">
        <v>0.65100000000000002</v>
      </c>
    </row>
    <row r="434" spans="1:13">
      <c r="A434" s="3132">
        <v>7.3</v>
      </c>
      <c r="B434" s="3133">
        <v>0.86970000000000003</v>
      </c>
      <c r="C434" s="3133">
        <v>0.86970000000000003</v>
      </c>
      <c r="D434" s="3133">
        <v>0.80330000000000001</v>
      </c>
      <c r="E434" s="3133">
        <v>0.80330000000000001</v>
      </c>
      <c r="F434" s="3133">
        <v>0.80330000000000001</v>
      </c>
      <c r="G434" s="3133">
        <v>0.80330000000000001</v>
      </c>
      <c r="H434" s="3133">
        <v>0.80330000000000001</v>
      </c>
      <c r="I434" s="3133">
        <v>0.64880000000000004</v>
      </c>
      <c r="J434" s="3133">
        <v>0.64880000000000004</v>
      </c>
      <c r="K434" s="3133">
        <v>0.64880000000000004</v>
      </c>
      <c r="L434" s="3133">
        <v>0.64880000000000004</v>
      </c>
      <c r="M434" s="3134">
        <v>0.64880000000000004</v>
      </c>
    </row>
    <row r="435" spans="1:13">
      <c r="A435" s="3132">
        <v>7.4</v>
      </c>
      <c r="B435" s="3133">
        <v>0.86819999999999997</v>
      </c>
      <c r="C435" s="3133">
        <v>0.86819999999999997</v>
      </c>
      <c r="D435" s="3133">
        <v>0.80149999999999999</v>
      </c>
      <c r="E435" s="3133">
        <v>0.80149999999999999</v>
      </c>
      <c r="F435" s="3133">
        <v>0.80149999999999999</v>
      </c>
      <c r="G435" s="3133">
        <v>0.80149999999999999</v>
      </c>
      <c r="H435" s="3133">
        <v>0.80149999999999999</v>
      </c>
      <c r="I435" s="3133">
        <v>0.64659999999999995</v>
      </c>
      <c r="J435" s="3133">
        <v>0.64659999999999995</v>
      </c>
      <c r="K435" s="3133">
        <v>0.64659999999999995</v>
      </c>
      <c r="L435" s="3133">
        <v>0.64659999999999995</v>
      </c>
      <c r="M435" s="3134">
        <v>0.64659999999999995</v>
      </c>
    </row>
    <row r="436" spans="1:13">
      <c r="A436" s="3132">
        <v>7.5</v>
      </c>
      <c r="B436" s="3133">
        <v>0.86660000000000004</v>
      </c>
      <c r="C436" s="3133">
        <v>0.86660000000000004</v>
      </c>
      <c r="D436" s="3133">
        <v>0.79969999999999997</v>
      </c>
      <c r="E436" s="3133">
        <v>0.79969999999999997</v>
      </c>
      <c r="F436" s="3133">
        <v>0.79969999999999997</v>
      </c>
      <c r="G436" s="3133">
        <v>0.79969999999999997</v>
      </c>
      <c r="H436" s="3133">
        <v>0.79969999999999997</v>
      </c>
      <c r="I436" s="3133">
        <v>0.64449999999999996</v>
      </c>
      <c r="J436" s="3133">
        <v>0.64449999999999996</v>
      </c>
      <c r="K436" s="3133">
        <v>0.64449999999999996</v>
      </c>
      <c r="L436" s="3133">
        <v>0.64449999999999996</v>
      </c>
      <c r="M436" s="3134">
        <v>0.64449999999999996</v>
      </c>
    </row>
    <row r="437" spans="1:13">
      <c r="A437" s="3132">
        <v>7.6</v>
      </c>
      <c r="B437" s="3133">
        <v>0.86509999999999998</v>
      </c>
      <c r="C437" s="3133">
        <v>0.86509999999999998</v>
      </c>
      <c r="D437" s="3133">
        <v>0.79800000000000004</v>
      </c>
      <c r="E437" s="3133">
        <v>0.79800000000000004</v>
      </c>
      <c r="F437" s="3133">
        <v>0.79800000000000004</v>
      </c>
      <c r="G437" s="3133">
        <v>0.79800000000000004</v>
      </c>
      <c r="H437" s="3133">
        <v>0.79800000000000004</v>
      </c>
      <c r="I437" s="3133">
        <v>0.64239999999999997</v>
      </c>
      <c r="J437" s="3133">
        <v>0.64239999999999997</v>
      </c>
      <c r="K437" s="3133">
        <v>0.64239999999999997</v>
      </c>
      <c r="L437" s="3133">
        <v>0.64239999999999997</v>
      </c>
      <c r="M437" s="3134">
        <v>0.64239999999999997</v>
      </c>
    </row>
    <row r="438" spans="1:13">
      <c r="A438" s="3132">
        <v>7.7</v>
      </c>
      <c r="B438" s="3133">
        <v>0.86370000000000002</v>
      </c>
      <c r="C438" s="3133">
        <v>0.86370000000000002</v>
      </c>
      <c r="D438" s="3133">
        <v>0.79630000000000001</v>
      </c>
      <c r="E438" s="3133">
        <v>0.79630000000000001</v>
      </c>
      <c r="F438" s="3133">
        <v>0.79630000000000001</v>
      </c>
      <c r="G438" s="3133">
        <v>0.79630000000000001</v>
      </c>
      <c r="H438" s="3133">
        <v>0.79630000000000001</v>
      </c>
      <c r="I438" s="3133">
        <v>0.64029999999999998</v>
      </c>
      <c r="J438" s="3133">
        <v>0.64029999999999998</v>
      </c>
      <c r="K438" s="3133">
        <v>0.64029999999999998</v>
      </c>
      <c r="L438" s="3133">
        <v>0.64029999999999998</v>
      </c>
      <c r="M438" s="3134">
        <v>0.64029999999999998</v>
      </c>
    </row>
    <row r="439" spans="1:13">
      <c r="A439" s="3132">
        <v>7.8</v>
      </c>
      <c r="B439" s="3133">
        <v>0.86229999999999996</v>
      </c>
      <c r="C439" s="3133">
        <v>0.86229999999999996</v>
      </c>
      <c r="D439" s="3133">
        <v>0.79449999999999998</v>
      </c>
      <c r="E439" s="3133">
        <v>0.79449999999999998</v>
      </c>
      <c r="F439" s="3133">
        <v>0.79449999999999998</v>
      </c>
      <c r="G439" s="3133">
        <v>0.79449999999999998</v>
      </c>
      <c r="H439" s="3133">
        <v>0.79449999999999998</v>
      </c>
      <c r="I439" s="3133">
        <v>0.63819999999999999</v>
      </c>
      <c r="J439" s="3133">
        <v>0.63819999999999999</v>
      </c>
      <c r="K439" s="3133">
        <v>0.63819999999999999</v>
      </c>
      <c r="L439" s="3133">
        <v>0.63819999999999999</v>
      </c>
      <c r="M439" s="3134">
        <v>0.63819999999999999</v>
      </c>
    </row>
    <row r="440" spans="1:13">
      <c r="A440" s="3132">
        <v>7.9</v>
      </c>
      <c r="B440" s="3133">
        <v>0.8609</v>
      </c>
      <c r="C440" s="3133">
        <v>0.8609</v>
      </c>
      <c r="D440" s="3133">
        <v>0.79279999999999995</v>
      </c>
      <c r="E440" s="3133">
        <v>0.79279999999999995</v>
      </c>
      <c r="F440" s="3133">
        <v>0.79279999999999995</v>
      </c>
      <c r="G440" s="3133">
        <v>0.79279999999999995</v>
      </c>
      <c r="H440" s="3133">
        <v>0.79279999999999995</v>
      </c>
      <c r="I440" s="3133">
        <v>0.6361</v>
      </c>
      <c r="J440" s="3133">
        <v>0.6361</v>
      </c>
      <c r="K440" s="3133">
        <v>0.6361</v>
      </c>
      <c r="L440" s="3133">
        <v>0.6361</v>
      </c>
      <c r="M440" s="3134">
        <v>0.6361</v>
      </c>
    </row>
    <row r="441" spans="1:13">
      <c r="A441" s="3132">
        <v>8</v>
      </c>
      <c r="B441" s="3133">
        <v>0.85940000000000005</v>
      </c>
      <c r="C441" s="3133">
        <v>0.85940000000000005</v>
      </c>
      <c r="D441" s="3133">
        <v>0.79110000000000003</v>
      </c>
      <c r="E441" s="3133">
        <v>0.79110000000000003</v>
      </c>
      <c r="F441" s="3133">
        <v>0.79110000000000003</v>
      </c>
      <c r="G441" s="3133">
        <v>0.79110000000000003</v>
      </c>
      <c r="H441" s="3133">
        <v>0.79110000000000003</v>
      </c>
      <c r="I441" s="3133">
        <v>0.6341</v>
      </c>
      <c r="J441" s="3133">
        <v>0.6341</v>
      </c>
      <c r="K441" s="3133">
        <v>0.6341</v>
      </c>
      <c r="L441" s="3133">
        <v>0.6341</v>
      </c>
      <c r="M441" s="3134">
        <v>0.6341</v>
      </c>
    </row>
    <row r="442" spans="1:13">
      <c r="A442" s="3132">
        <v>8.1</v>
      </c>
      <c r="B442" s="3133">
        <v>0.85799999999999998</v>
      </c>
      <c r="C442" s="3133">
        <v>0.85799999999999998</v>
      </c>
      <c r="D442" s="3133">
        <v>0.78939999999999999</v>
      </c>
      <c r="E442" s="3133">
        <v>0.78939999999999999</v>
      </c>
      <c r="F442" s="3133">
        <v>0.78939999999999999</v>
      </c>
      <c r="G442" s="3133">
        <v>0.78939999999999999</v>
      </c>
      <c r="H442" s="3133">
        <v>0.78939999999999999</v>
      </c>
      <c r="I442" s="3133">
        <v>0.6321</v>
      </c>
      <c r="J442" s="3133">
        <v>0.6321</v>
      </c>
      <c r="K442" s="3133">
        <v>0.6321</v>
      </c>
      <c r="L442" s="3133">
        <v>0.6321</v>
      </c>
      <c r="M442" s="3134">
        <v>0.6321</v>
      </c>
    </row>
    <row r="443" spans="1:13">
      <c r="A443" s="3132">
        <v>8.1999999999999993</v>
      </c>
      <c r="B443" s="3133">
        <v>0.85660000000000003</v>
      </c>
      <c r="C443" s="3133">
        <v>0.85660000000000003</v>
      </c>
      <c r="D443" s="3133">
        <v>0.78779999999999994</v>
      </c>
      <c r="E443" s="3133">
        <v>0.78779999999999994</v>
      </c>
      <c r="F443" s="3133">
        <v>0.78779999999999994</v>
      </c>
      <c r="G443" s="3133">
        <v>0.78779999999999994</v>
      </c>
      <c r="H443" s="3133">
        <v>0.78779999999999994</v>
      </c>
      <c r="I443" s="3133">
        <v>0.63009999999999999</v>
      </c>
      <c r="J443" s="3133">
        <v>0.63009999999999999</v>
      </c>
      <c r="K443" s="3133">
        <v>0.63009999999999999</v>
      </c>
      <c r="L443" s="3133">
        <v>0.63009999999999999</v>
      </c>
      <c r="M443" s="3134">
        <v>0.63009999999999999</v>
      </c>
    </row>
    <row r="444" spans="1:13">
      <c r="A444" s="3132">
        <v>8.3000000000000007</v>
      </c>
      <c r="B444" s="3133">
        <v>0.85529999999999995</v>
      </c>
      <c r="C444" s="3133">
        <v>0.85529999999999995</v>
      </c>
      <c r="D444" s="3133">
        <v>0.78620000000000001</v>
      </c>
      <c r="E444" s="3133">
        <v>0.78620000000000001</v>
      </c>
      <c r="F444" s="3133">
        <v>0.78620000000000001</v>
      </c>
      <c r="G444" s="3133">
        <v>0.78620000000000001</v>
      </c>
      <c r="H444" s="3133">
        <v>0.78620000000000001</v>
      </c>
      <c r="I444" s="3133">
        <v>0.62809999999999999</v>
      </c>
      <c r="J444" s="3133">
        <v>0.62809999999999999</v>
      </c>
      <c r="K444" s="3133">
        <v>0.62809999999999999</v>
      </c>
      <c r="L444" s="3133">
        <v>0.62809999999999999</v>
      </c>
      <c r="M444" s="3134">
        <v>0.62809999999999999</v>
      </c>
    </row>
    <row r="445" spans="1:13">
      <c r="A445" s="3132">
        <v>8.4</v>
      </c>
      <c r="B445" s="3133">
        <v>0.85389999999999999</v>
      </c>
      <c r="C445" s="3133">
        <v>0.85389999999999999</v>
      </c>
      <c r="D445" s="3133">
        <v>0.78459999999999996</v>
      </c>
      <c r="E445" s="3133">
        <v>0.78459999999999996</v>
      </c>
      <c r="F445" s="3133">
        <v>0.78459999999999996</v>
      </c>
      <c r="G445" s="3133">
        <v>0.78459999999999996</v>
      </c>
      <c r="H445" s="3133">
        <v>0.78459999999999996</v>
      </c>
      <c r="I445" s="3133">
        <v>0.62609999999999999</v>
      </c>
      <c r="J445" s="3133">
        <v>0.62609999999999999</v>
      </c>
      <c r="K445" s="3133">
        <v>0.62609999999999999</v>
      </c>
      <c r="L445" s="3133">
        <v>0.62609999999999999</v>
      </c>
      <c r="M445" s="3134">
        <v>0.62609999999999999</v>
      </c>
    </row>
    <row r="446" spans="1:13">
      <c r="A446" s="3132">
        <v>8.5</v>
      </c>
      <c r="B446" s="3133">
        <v>0.85260000000000002</v>
      </c>
      <c r="C446" s="3133">
        <v>0.85260000000000002</v>
      </c>
      <c r="D446" s="3133">
        <v>0.78290000000000004</v>
      </c>
      <c r="E446" s="3133">
        <v>0.78290000000000004</v>
      </c>
      <c r="F446" s="3133">
        <v>0.78290000000000004</v>
      </c>
      <c r="G446" s="3133">
        <v>0.78290000000000004</v>
      </c>
      <c r="H446" s="3133">
        <v>0.78290000000000004</v>
      </c>
      <c r="I446" s="3133">
        <v>0.62419999999999998</v>
      </c>
      <c r="J446" s="3133">
        <v>0.62419999999999998</v>
      </c>
      <c r="K446" s="3133">
        <v>0.62419999999999998</v>
      </c>
      <c r="L446" s="3133">
        <v>0.62419999999999998</v>
      </c>
      <c r="M446" s="3134">
        <v>0.62419999999999998</v>
      </c>
    </row>
    <row r="447" spans="1:13">
      <c r="A447" s="3132">
        <v>8.6</v>
      </c>
      <c r="B447" s="3133">
        <v>0.85129999999999995</v>
      </c>
      <c r="C447" s="3133">
        <v>0.85129999999999995</v>
      </c>
      <c r="D447" s="3133">
        <v>0.78129999999999999</v>
      </c>
      <c r="E447" s="3133">
        <v>0.78129999999999999</v>
      </c>
      <c r="F447" s="3133">
        <v>0.78129999999999999</v>
      </c>
      <c r="G447" s="3133">
        <v>0.78129999999999999</v>
      </c>
      <c r="H447" s="3133">
        <v>0.78129999999999999</v>
      </c>
      <c r="I447" s="3133">
        <v>0.62229999999999996</v>
      </c>
      <c r="J447" s="3133">
        <v>0.62229999999999996</v>
      </c>
      <c r="K447" s="3133">
        <v>0.62229999999999996</v>
      </c>
      <c r="L447" s="3133">
        <v>0.62229999999999996</v>
      </c>
      <c r="M447" s="3134">
        <v>0.62229999999999996</v>
      </c>
    </row>
    <row r="448" spans="1:13">
      <c r="A448" s="3132">
        <v>8.6999999999999993</v>
      </c>
      <c r="B448" s="3133">
        <v>0.85</v>
      </c>
      <c r="C448" s="3133">
        <v>0.85</v>
      </c>
      <c r="D448" s="3133">
        <v>0.77969999999999995</v>
      </c>
      <c r="E448" s="3133">
        <v>0.77969999999999995</v>
      </c>
      <c r="F448" s="3133">
        <v>0.77969999999999995</v>
      </c>
      <c r="G448" s="3133">
        <v>0.77969999999999995</v>
      </c>
      <c r="H448" s="3133">
        <v>0.77969999999999995</v>
      </c>
      <c r="I448" s="3133">
        <v>0.62039999999999995</v>
      </c>
      <c r="J448" s="3133">
        <v>0.62039999999999995</v>
      </c>
      <c r="K448" s="3133">
        <v>0.62039999999999995</v>
      </c>
      <c r="L448" s="3133">
        <v>0.62039999999999995</v>
      </c>
      <c r="M448" s="3134">
        <v>0.62039999999999995</v>
      </c>
    </row>
    <row r="449" spans="1:13">
      <c r="A449" s="3132">
        <v>8.8000000000000007</v>
      </c>
      <c r="B449" s="3133">
        <v>0.84860000000000002</v>
      </c>
      <c r="C449" s="3133">
        <v>0.84860000000000002</v>
      </c>
      <c r="D449" s="3133">
        <v>0.7782</v>
      </c>
      <c r="E449" s="3133">
        <v>0.7782</v>
      </c>
      <c r="F449" s="3133">
        <v>0.7782</v>
      </c>
      <c r="G449" s="3133">
        <v>0.7782</v>
      </c>
      <c r="H449" s="3133">
        <v>0.7782</v>
      </c>
      <c r="I449" s="3133">
        <v>0.61850000000000005</v>
      </c>
      <c r="J449" s="3133">
        <v>0.61850000000000005</v>
      </c>
      <c r="K449" s="3133">
        <v>0.61850000000000005</v>
      </c>
      <c r="L449" s="3133">
        <v>0.61850000000000005</v>
      </c>
      <c r="M449" s="3134">
        <v>0.61850000000000005</v>
      </c>
    </row>
    <row r="450" spans="1:13">
      <c r="A450" s="3132">
        <v>8.9</v>
      </c>
      <c r="B450" s="3133">
        <v>0.84740000000000004</v>
      </c>
      <c r="C450" s="3133">
        <v>0.84740000000000004</v>
      </c>
      <c r="D450" s="3133">
        <v>0.77669999999999995</v>
      </c>
      <c r="E450" s="3133">
        <v>0.77669999999999995</v>
      </c>
      <c r="F450" s="3133">
        <v>0.77669999999999995</v>
      </c>
      <c r="G450" s="3133">
        <v>0.77669999999999995</v>
      </c>
      <c r="H450" s="3133">
        <v>0.77669999999999995</v>
      </c>
      <c r="I450" s="3133">
        <v>0.61670000000000003</v>
      </c>
      <c r="J450" s="3133">
        <v>0.61670000000000003</v>
      </c>
      <c r="K450" s="3133">
        <v>0.61670000000000003</v>
      </c>
      <c r="L450" s="3133">
        <v>0.61670000000000003</v>
      </c>
      <c r="M450" s="3134">
        <v>0.61670000000000003</v>
      </c>
    </row>
    <row r="451" spans="1:13">
      <c r="A451" s="3135">
        <v>9</v>
      </c>
      <c r="B451" s="3133">
        <v>0.84619999999999995</v>
      </c>
      <c r="C451" s="3133">
        <v>0.84619999999999995</v>
      </c>
      <c r="D451" s="3133">
        <v>0.77510000000000001</v>
      </c>
      <c r="E451" s="3133">
        <v>0.77510000000000001</v>
      </c>
      <c r="F451" s="3133">
        <v>0.77510000000000001</v>
      </c>
      <c r="G451" s="3133">
        <v>0.77510000000000001</v>
      </c>
      <c r="H451" s="3133">
        <v>0.77510000000000001</v>
      </c>
      <c r="I451" s="3133">
        <v>0.61480000000000001</v>
      </c>
      <c r="J451" s="3133">
        <v>0.61480000000000001</v>
      </c>
      <c r="K451" s="3133">
        <v>0.61480000000000001</v>
      </c>
      <c r="L451" s="3133">
        <v>0.61480000000000001</v>
      </c>
      <c r="M451" s="3134">
        <v>0.61480000000000001</v>
      </c>
    </row>
    <row r="452" spans="1:13">
      <c r="A452" s="3135">
        <v>9.1</v>
      </c>
      <c r="B452" s="3133">
        <v>0.84499999999999997</v>
      </c>
      <c r="C452" s="3133">
        <v>0.84499999999999997</v>
      </c>
      <c r="D452" s="3133">
        <v>0.77359999999999995</v>
      </c>
      <c r="E452" s="3133">
        <v>0.77359999999999995</v>
      </c>
      <c r="F452" s="3133">
        <v>0.77359999999999995</v>
      </c>
      <c r="G452" s="3133">
        <v>0.77359999999999995</v>
      </c>
      <c r="H452" s="3133">
        <v>0.77359999999999995</v>
      </c>
      <c r="I452" s="3133">
        <v>0.61299999999999999</v>
      </c>
      <c r="J452" s="3133">
        <v>0.61299999999999999</v>
      </c>
      <c r="K452" s="3133">
        <v>0.61299999999999999</v>
      </c>
      <c r="L452" s="3133">
        <v>0.61299999999999999</v>
      </c>
      <c r="M452" s="3134">
        <v>0.61299999999999999</v>
      </c>
    </row>
    <row r="453" spans="1:13">
      <c r="A453" s="3135">
        <v>9.1999999999999993</v>
      </c>
      <c r="B453" s="3133">
        <v>0.84370000000000001</v>
      </c>
      <c r="C453" s="3133">
        <v>0.84370000000000001</v>
      </c>
      <c r="D453" s="3133">
        <v>0.77210000000000001</v>
      </c>
      <c r="E453" s="3133">
        <v>0.77210000000000001</v>
      </c>
      <c r="F453" s="3133">
        <v>0.77210000000000001</v>
      </c>
      <c r="G453" s="3133">
        <v>0.77210000000000001</v>
      </c>
      <c r="H453" s="3133">
        <v>0.77210000000000001</v>
      </c>
      <c r="I453" s="3133">
        <v>0.61119999999999997</v>
      </c>
      <c r="J453" s="3133">
        <v>0.61119999999999997</v>
      </c>
      <c r="K453" s="3133">
        <v>0.61119999999999997</v>
      </c>
      <c r="L453" s="3133">
        <v>0.61119999999999997</v>
      </c>
      <c r="M453" s="3134">
        <v>0.61119999999999997</v>
      </c>
    </row>
    <row r="454" spans="1:13">
      <c r="A454" s="3135">
        <v>9.3000000000000007</v>
      </c>
      <c r="B454" s="3133">
        <v>0.84250000000000003</v>
      </c>
      <c r="C454" s="3133">
        <v>0.84250000000000003</v>
      </c>
      <c r="D454" s="3133">
        <v>0.77059999999999995</v>
      </c>
      <c r="E454" s="3133">
        <v>0.77059999999999995</v>
      </c>
      <c r="F454" s="3133">
        <v>0.77059999999999995</v>
      </c>
      <c r="G454" s="3133">
        <v>0.77059999999999995</v>
      </c>
      <c r="H454" s="3133">
        <v>0.77059999999999995</v>
      </c>
      <c r="I454" s="3133">
        <v>0.60940000000000005</v>
      </c>
      <c r="J454" s="3133">
        <v>0.60940000000000005</v>
      </c>
      <c r="K454" s="3133">
        <v>0.60940000000000005</v>
      </c>
      <c r="L454" s="3133">
        <v>0.60940000000000005</v>
      </c>
      <c r="M454" s="3134">
        <v>0.60940000000000005</v>
      </c>
    </row>
    <row r="455" spans="1:13">
      <c r="A455" s="3135">
        <v>9.4</v>
      </c>
      <c r="B455" s="3133">
        <v>0.84130000000000005</v>
      </c>
      <c r="C455" s="3133">
        <v>0.84130000000000005</v>
      </c>
      <c r="D455" s="3133">
        <v>0.76900000000000002</v>
      </c>
      <c r="E455" s="3133">
        <v>0.76900000000000002</v>
      </c>
      <c r="F455" s="3133">
        <v>0.76900000000000002</v>
      </c>
      <c r="G455" s="3133">
        <v>0.76900000000000002</v>
      </c>
      <c r="H455" s="3133">
        <v>0.76900000000000002</v>
      </c>
      <c r="I455" s="3133">
        <v>0.60760000000000003</v>
      </c>
      <c r="J455" s="3133">
        <v>0.60760000000000003</v>
      </c>
      <c r="K455" s="3133">
        <v>0.60760000000000003</v>
      </c>
      <c r="L455" s="3133">
        <v>0.60760000000000003</v>
      </c>
      <c r="M455" s="3134">
        <v>0.60760000000000003</v>
      </c>
    </row>
    <row r="456" spans="1:13">
      <c r="A456" s="3135">
        <v>9.5</v>
      </c>
      <c r="B456" s="3133">
        <v>0.84009999999999996</v>
      </c>
      <c r="C456" s="3133">
        <v>0.84009999999999996</v>
      </c>
      <c r="D456" s="3133">
        <v>0.76759999999999995</v>
      </c>
      <c r="E456" s="3133">
        <v>0.76759999999999995</v>
      </c>
      <c r="F456" s="3133">
        <v>0.76759999999999995</v>
      </c>
      <c r="G456" s="3133">
        <v>0.76759999999999995</v>
      </c>
      <c r="H456" s="3133">
        <v>0.76759999999999995</v>
      </c>
      <c r="I456" s="3133">
        <v>0.60580000000000001</v>
      </c>
      <c r="J456" s="3133">
        <v>0.60580000000000001</v>
      </c>
      <c r="K456" s="3133">
        <v>0.60580000000000001</v>
      </c>
      <c r="L456" s="3133">
        <v>0.60580000000000001</v>
      </c>
      <c r="M456" s="3134">
        <v>0.60580000000000001</v>
      </c>
    </row>
    <row r="457" spans="1:13">
      <c r="A457" s="3135">
        <v>9.6</v>
      </c>
      <c r="B457" s="3133">
        <v>0.83899999999999997</v>
      </c>
      <c r="C457" s="3133">
        <v>0.83899999999999997</v>
      </c>
      <c r="D457" s="3133">
        <v>0.76619999999999999</v>
      </c>
      <c r="E457" s="3133">
        <v>0.76619999999999999</v>
      </c>
      <c r="F457" s="3133">
        <v>0.76619999999999999</v>
      </c>
      <c r="G457" s="3133">
        <v>0.76619999999999999</v>
      </c>
      <c r="H457" s="3133">
        <v>0.76619999999999999</v>
      </c>
      <c r="I457" s="3133">
        <v>0.60409999999999997</v>
      </c>
      <c r="J457" s="3133">
        <v>0.60409999999999997</v>
      </c>
      <c r="K457" s="3133">
        <v>0.60409999999999997</v>
      </c>
      <c r="L457" s="3133">
        <v>0.60409999999999997</v>
      </c>
      <c r="M457" s="3134">
        <v>0.60409999999999997</v>
      </c>
    </row>
    <row r="458" spans="1:13">
      <c r="A458" s="3135">
        <v>9.6999999999999993</v>
      </c>
      <c r="B458" s="3133">
        <v>0.83779999999999999</v>
      </c>
      <c r="C458" s="3133">
        <v>0.83779999999999999</v>
      </c>
      <c r="D458" s="3133">
        <v>0.76480000000000004</v>
      </c>
      <c r="E458" s="3133">
        <v>0.76480000000000004</v>
      </c>
      <c r="F458" s="3133">
        <v>0.76480000000000004</v>
      </c>
      <c r="G458" s="3133">
        <v>0.76480000000000004</v>
      </c>
      <c r="H458" s="3133">
        <v>0.76480000000000004</v>
      </c>
      <c r="I458" s="3133">
        <v>0.60240000000000005</v>
      </c>
      <c r="J458" s="3133">
        <v>0.60240000000000005</v>
      </c>
      <c r="K458" s="3133">
        <v>0.60240000000000005</v>
      </c>
      <c r="L458" s="3133">
        <v>0.60240000000000005</v>
      </c>
      <c r="M458" s="3134">
        <v>0.60240000000000005</v>
      </c>
    </row>
    <row r="459" spans="1:13">
      <c r="A459" s="3135">
        <v>9.8000000000000007</v>
      </c>
      <c r="B459" s="3133">
        <v>0.8367</v>
      </c>
      <c r="C459" s="3133">
        <v>0.8367</v>
      </c>
      <c r="D459" s="3133">
        <v>0.76329999999999998</v>
      </c>
      <c r="E459" s="3133">
        <v>0.76329999999999998</v>
      </c>
      <c r="F459" s="3133">
        <v>0.76329999999999998</v>
      </c>
      <c r="G459" s="3133">
        <v>0.76329999999999998</v>
      </c>
      <c r="H459" s="3133">
        <v>0.76329999999999998</v>
      </c>
      <c r="I459" s="3133">
        <v>0.60060000000000002</v>
      </c>
      <c r="J459" s="3133">
        <v>0.60060000000000002</v>
      </c>
      <c r="K459" s="3133">
        <v>0.60060000000000002</v>
      </c>
      <c r="L459" s="3133">
        <v>0.60060000000000002</v>
      </c>
      <c r="M459" s="3134">
        <v>0.60060000000000002</v>
      </c>
    </row>
    <row r="460" spans="1:13" ht="14.25" thickBot="1">
      <c r="A460" s="3136">
        <v>9.9</v>
      </c>
      <c r="B460" s="3137">
        <v>0.83560000000000001</v>
      </c>
      <c r="C460" s="3137">
        <v>0.83560000000000001</v>
      </c>
      <c r="D460" s="3137">
        <v>0.76190000000000002</v>
      </c>
      <c r="E460" s="3137">
        <v>0.76190000000000002</v>
      </c>
      <c r="F460" s="3137">
        <v>0.76190000000000002</v>
      </c>
      <c r="G460" s="3137">
        <v>0.76190000000000002</v>
      </c>
      <c r="H460" s="3137">
        <v>0.76190000000000002</v>
      </c>
      <c r="I460" s="3137">
        <v>0.59889999999999999</v>
      </c>
      <c r="J460" s="3137">
        <v>0.59889999999999999</v>
      </c>
      <c r="K460" s="3137">
        <v>0.59889999999999999</v>
      </c>
      <c r="L460" s="3137">
        <v>0.59889999999999999</v>
      </c>
      <c r="M460" s="3138">
        <v>0.59889999999999999</v>
      </c>
    </row>
  </sheetData>
  <sheetProtection password="CEE9" sheet="1" objects="1" scenarios="1" formatCells="0" formatColumns="0" formatRows="0"/>
  <phoneticPr fontId="76"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64165</v>
      </c>
      <c r="C2" s="2" t="s">
        <v>106</v>
      </c>
      <c r="D2" s="199"/>
      <c r="E2" s="199"/>
      <c r="F2" s="199"/>
      <c r="G2" s="199"/>
    </row>
    <row r="3" spans="1:7" s="200" customFormat="1" ht="18" customHeight="1" thickBot="1">
      <c r="A3" s="203" t="s">
        <v>58</v>
      </c>
      <c r="B3" s="204">
        <f ca="1">ROUND(B2*10000/'数据-汇总表'!E3,0)</f>
        <v>12573</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160</v>
      </c>
      <c r="F9" s="221"/>
      <c r="G9" s="226"/>
    </row>
    <row r="10" spans="1:7" s="214" customFormat="1" ht="13.5" customHeight="1">
      <c r="A10" s="779" t="s">
        <v>356</v>
      </c>
      <c r="B10" s="224" t="s">
        <v>67</v>
      </c>
      <c r="C10" s="225">
        <f>ROUND(D10*E10/10000,0)</f>
        <v>1021</v>
      </c>
      <c r="D10" s="845">
        <f>'数据-汇总表'!E6</f>
        <v>51034.460000000006</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1021</v>
      </c>
      <c r="D19" s="849">
        <f>'数据-汇总表'!E3</f>
        <v>51034.460000000006</v>
      </c>
      <c r="E19" s="211">
        <f>'数据-取费表'!B31</f>
        <v>200</v>
      </c>
      <c r="F19" s="231"/>
      <c r="G19" s="1" t="s">
        <v>436</v>
      </c>
    </row>
    <row r="20" spans="1:7" s="214" customFormat="1" ht="13.5" customHeight="1">
      <c r="A20" s="777" t="s">
        <v>419</v>
      </c>
      <c r="B20" s="210" t="s">
        <v>77</v>
      </c>
      <c r="C20" s="232">
        <f>ROUND((C5+C19)*F20,0)</f>
        <v>433</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1851</v>
      </c>
      <c r="D22" s="235">
        <f ca="1">C26</f>
        <v>8.0000000000000004E-4</v>
      </c>
      <c r="E22" s="236" t="s">
        <v>99</v>
      </c>
      <c r="F22" s="237">
        <f ca="1">'数据-取费表'!B40</f>
        <v>4.1499999999999995E-2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1746</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87</v>
      </c>
      <c r="D24" s="238"/>
      <c r="E24" s="238"/>
      <c r="F24" s="239"/>
      <c r="G24" s="240" t="s">
        <v>82</v>
      </c>
    </row>
    <row r="25" spans="1:7" s="214" customFormat="1" ht="24">
      <c r="A25" s="780" t="s">
        <v>348</v>
      </c>
      <c r="B25" s="215" t="s">
        <v>420</v>
      </c>
      <c r="C25" s="1105">
        <f ca="1">ROUND(IF('数据-取费表'!B22&lt;=1,C20*F22*'数据-取费表'!B23/2,C20*(POWER((1+F22),'数据-取费表'!B23/2)-1)),0)</f>
        <v>18</v>
      </c>
      <c r="D25" s="238"/>
      <c r="E25" s="241"/>
      <c r="F25" s="239"/>
      <c r="G25" s="242" t="s">
        <v>83</v>
      </c>
    </row>
    <row r="26" spans="1:7" s="214" customFormat="1">
      <c r="A26" s="780" t="s">
        <v>350</v>
      </c>
      <c r="B26" s="215" t="s">
        <v>422</v>
      </c>
      <c r="C26" s="238">
        <f ca="1">ROUND(IF('数据-取费表'!B22&lt;=1,F21*F22*'数据-取费表'!B23/2,F21*(POWER((1+F22),'数据-取费表'!B23/2)-1)),4)</f>
        <v>8.0000000000000004E-4</v>
      </c>
      <c r="D26" s="238"/>
      <c r="E26" s="241"/>
      <c r="F26" s="239"/>
      <c r="G26" s="243"/>
    </row>
    <row r="27" spans="1:7" s="214" customFormat="1" ht="24.75">
      <c r="A27" s="777" t="s">
        <v>342</v>
      </c>
      <c r="B27" s="244" t="s">
        <v>85</v>
      </c>
      <c r="C27" s="245">
        <f>C28</f>
        <v>3972</v>
      </c>
      <c r="D27" s="235">
        <f>C29</f>
        <v>3.5999999999999999E-3</v>
      </c>
      <c r="E27" s="236" t="s">
        <v>99</v>
      </c>
      <c r="F27" s="246">
        <f>'数据-取费表'!Q16</f>
        <v>0.18</v>
      </c>
      <c r="G27" s="247" t="s">
        <v>431</v>
      </c>
    </row>
    <row r="28" spans="1:7" s="214" customFormat="1" ht="13.5" customHeight="1">
      <c r="A28" s="780" t="s">
        <v>349</v>
      </c>
      <c r="B28" s="248" t="s">
        <v>424</v>
      </c>
      <c r="C28" s="249">
        <f>ROUND((C5+C19+C20)*F27*'数据-取费表'!B21/'数据-取费表'!B20,0)</f>
        <v>3972</v>
      </c>
      <c r="D28" s="235"/>
      <c r="E28" s="236"/>
      <c r="F28" s="246"/>
      <c r="G28" s="247"/>
    </row>
    <row r="29" spans="1:7" s="214" customFormat="1" ht="13.5" customHeight="1">
      <c r="A29" s="780" t="s">
        <v>347</v>
      </c>
      <c r="B29" s="248" t="s">
        <v>425</v>
      </c>
      <c r="C29" s="238">
        <f>ROUND(C21*F27*'数据-取费表'!B21/'数据-取费表'!B20,4)</f>
        <v>3.5999999999999999E-3</v>
      </c>
      <c r="D29" s="235"/>
      <c r="E29" s="236"/>
      <c r="F29" s="246"/>
      <c r="G29" s="247"/>
    </row>
    <row r="30" spans="1:7" s="214" customFormat="1" ht="13.5" customHeight="1">
      <c r="A30" s="777"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30237</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28539</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25838</v>
      </c>
      <c r="D34" s="217"/>
      <c r="E34" s="220"/>
      <c r="F34" s="257">
        <f>IF('数据-取费表'!B24=0,1,'数据-取费表'!N16)</f>
        <v>1</v>
      </c>
      <c r="G34" s="219" t="s">
        <v>89</v>
      </c>
    </row>
    <row r="35" spans="1:7" ht="13.5" customHeight="1">
      <c r="A35" s="780" t="s">
        <v>351</v>
      </c>
      <c r="B35" s="215" t="s">
        <v>33</v>
      </c>
      <c r="C35" s="220">
        <f>ROUND(C34*F35,0)</f>
        <v>1292</v>
      </c>
      <c r="D35" s="220"/>
      <c r="E35" s="220"/>
      <c r="F35" s="259">
        <f>'数据-取费表'!B33</f>
        <v>0.05</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0.05</v>
      </c>
      <c r="G36" s="260" t="s">
        <v>35</v>
      </c>
    </row>
    <row r="37" spans="1:7" s="258" customFormat="1" ht="13.5" customHeight="1">
      <c r="A37" s="780" t="s">
        <v>353</v>
      </c>
      <c r="B37" s="215" t="s">
        <v>91</v>
      </c>
      <c r="C37" s="249">
        <f>ROUND(E37*D37*F34/10000,0)</f>
        <v>1021</v>
      </c>
      <c r="D37" s="217">
        <f>'数据-汇总表'!E3</f>
        <v>51034.460000000006</v>
      </c>
      <c r="E37" s="249">
        <f>'数据-取费表'!B35</f>
        <v>200</v>
      </c>
      <c r="F37" s="259"/>
      <c r="G37" s="261" t="s">
        <v>92</v>
      </c>
    </row>
    <row r="38" spans="1:7" ht="13.5" customHeight="1">
      <c r="A38" s="780" t="s">
        <v>354</v>
      </c>
      <c r="B38" s="215" t="s">
        <v>36</v>
      </c>
      <c r="C38" s="220">
        <f>ROUND(C34*F38,0)</f>
        <v>388</v>
      </c>
      <c r="D38" s="220"/>
      <c r="E38" s="220"/>
      <c r="F38" s="259">
        <f>'数据-取费表'!B36</f>
        <v>1.4999999999999999E-2</v>
      </c>
      <c r="G38" s="219" t="s">
        <v>90</v>
      </c>
    </row>
    <row r="39" spans="1:7" s="214" customFormat="1" ht="13.5" customHeight="1">
      <c r="A39" s="777" t="s">
        <v>338</v>
      </c>
      <c r="B39" s="210" t="s">
        <v>77</v>
      </c>
      <c r="C39" s="232">
        <f>ROUND(C33*F20,0)</f>
        <v>571</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1208</v>
      </c>
      <c r="D41" s="235">
        <f ca="1">C44</f>
        <v>8.0000000000000004E-4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1184</v>
      </c>
      <c r="D42" s="238"/>
      <c r="E42" s="238"/>
      <c r="F42" s="239"/>
      <c r="G42" s="3744" t="s">
        <v>94</v>
      </c>
    </row>
    <row r="43" spans="1:7" ht="13.5" customHeight="1">
      <c r="A43" s="780" t="s">
        <v>347</v>
      </c>
      <c r="B43" s="215" t="s">
        <v>426</v>
      </c>
      <c r="C43" s="238">
        <f ca="1">ROUND(IF('数据-取费表'!B22&lt;=1,C39*F22*'数据-取费表'!B21/2,C39*(POWER((1+F22),'数据-取费表'!B21/2)-1)),0)</f>
        <v>24</v>
      </c>
      <c r="D43" s="238"/>
      <c r="E43" s="238"/>
      <c r="F43" s="239"/>
      <c r="G43" s="3745"/>
    </row>
    <row r="44" spans="1:7" ht="13.5" customHeight="1">
      <c r="A44" s="780" t="s">
        <v>348</v>
      </c>
      <c r="B44" s="215" t="s">
        <v>428</v>
      </c>
      <c r="C44" s="238">
        <f ca="1">ROUND(IF('数据-取费表'!B22&lt;=1,C40*F22*'数据-取费表'!B21/2,C40*(POWER((1+F22),'数据-取费表'!B21/2)-1)),4)</f>
        <v>8.0000000000000004E-4</v>
      </c>
      <c r="D44" s="238"/>
      <c r="E44" s="238"/>
      <c r="F44" s="239"/>
      <c r="G44" s="3746"/>
    </row>
    <row r="45" spans="1:7" s="214" customFormat="1" ht="13.5" customHeight="1">
      <c r="A45" s="777" t="s">
        <v>341</v>
      </c>
      <c r="B45" s="244" t="s">
        <v>85</v>
      </c>
      <c r="C45" s="245">
        <f>C46</f>
        <v>5240</v>
      </c>
      <c r="D45" s="235">
        <f>C47</f>
        <v>3.5999999999999999E-3</v>
      </c>
      <c r="E45" s="236" t="s">
        <v>102</v>
      </c>
      <c r="F45" s="246"/>
      <c r="G45" s="247" t="s">
        <v>434</v>
      </c>
    </row>
    <row r="46" spans="1:7" s="214" customFormat="1" ht="13.5" customHeight="1">
      <c r="A46" s="780" t="s">
        <v>349</v>
      </c>
      <c r="B46" s="248" t="s">
        <v>427</v>
      </c>
      <c r="C46" s="249">
        <f>ROUND((C33+C39)*F27,0)</f>
        <v>5240</v>
      </c>
      <c r="D46" s="263"/>
      <c r="E46" s="236"/>
      <c r="F46" s="246"/>
      <c r="G46" s="247"/>
    </row>
    <row r="47" spans="1:7" s="214" customFormat="1" ht="13.5" customHeight="1">
      <c r="A47" s="780" t="s">
        <v>347</v>
      </c>
      <c r="B47" s="248" t="s">
        <v>429</v>
      </c>
      <c r="C47" s="238">
        <f>ROUND(C40*F27,4)</f>
        <v>3.5999999999999999E-3</v>
      </c>
      <c r="D47" s="263"/>
      <c r="E47" s="236"/>
      <c r="F47" s="246"/>
      <c r="G47" s="247"/>
    </row>
    <row r="48" spans="1:7" s="214" customFormat="1" ht="13.5" customHeight="1">
      <c r="A48" s="777" t="s">
        <v>342</v>
      </c>
      <c r="B48" s="210" t="s">
        <v>95</v>
      </c>
      <c r="C48" s="262">
        <f>F30</f>
        <v>5.6000000000000001E-2</v>
      </c>
      <c r="D48" s="236" t="s">
        <v>103</v>
      </c>
      <c r="E48" s="232"/>
      <c r="F48" s="237"/>
      <c r="G48" s="234" t="s">
        <v>96</v>
      </c>
    </row>
    <row r="49" spans="1:7" ht="16.5" customHeight="1">
      <c r="A49" s="777" t="s">
        <v>343</v>
      </c>
      <c r="B49" s="210" t="s">
        <v>104</v>
      </c>
      <c r="C49" s="232">
        <f ca="1">ROUND((C33+C39+C41+C45)/(1-C40-D41-D45-C48/(1+'数据-取费表'!B42)),0)</f>
        <v>38555</v>
      </c>
      <c r="D49" s="232"/>
      <c r="E49" s="232"/>
      <c r="F49" s="264"/>
      <c r="G49" s="234" t="s">
        <v>435</v>
      </c>
    </row>
    <row r="50" spans="1:7" s="258" customFormat="1" ht="24">
      <c r="A50" s="777" t="s">
        <v>344</v>
      </c>
      <c r="B50" s="210" t="s">
        <v>97</v>
      </c>
      <c r="C50" s="232"/>
      <c r="D50" s="232"/>
      <c r="E50" s="232"/>
      <c r="F50" s="264">
        <f>IF('数据-取费表'!B24=0,'数据-取费表'!N16,1)</f>
        <v>0.88</v>
      </c>
      <c r="G50" s="247" t="s">
        <v>98</v>
      </c>
    </row>
    <row r="51" spans="1:7" ht="16.5" customHeight="1">
      <c r="A51" s="777" t="s">
        <v>345</v>
      </c>
      <c r="B51" s="210" t="s">
        <v>105</v>
      </c>
      <c r="C51" s="232">
        <f ca="1">ROUND(C49*F50,0)</f>
        <v>33928</v>
      </c>
      <c r="D51" s="232"/>
      <c r="E51" s="232"/>
      <c r="F51" s="264"/>
      <c r="G51" s="234" t="s">
        <v>37</v>
      </c>
    </row>
    <row r="52" spans="1:7" s="208" customFormat="1" ht="16.5" thickBot="1">
      <c r="A52" s="265" t="s">
        <v>38</v>
      </c>
      <c r="B52" s="266"/>
      <c r="C52" s="267">
        <f ca="1">C31+C51</f>
        <v>64165</v>
      </c>
      <c r="D52" s="266"/>
      <c r="E52" s="266"/>
      <c r="F52" s="266"/>
      <c r="G52" s="268"/>
    </row>
    <row r="55" spans="1:7" ht="15">
      <c r="B55" s="270" t="s">
        <v>39</v>
      </c>
      <c r="C55" s="271"/>
    </row>
    <row r="56" spans="1:7">
      <c r="B56" s="273" t="s">
        <v>40</v>
      </c>
      <c r="C56" s="274">
        <f ca="1">ROUND(C51/C52,3)</f>
        <v>0.52900000000000003</v>
      </c>
    </row>
    <row r="57" spans="1:7">
      <c r="B57" s="273" t="s">
        <v>41</v>
      </c>
      <c r="C57" s="275">
        <f ca="1">1-C56</f>
        <v>0.47099999999999997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F15" sqref="F15"/>
    </sheetView>
  </sheetViews>
  <sheetFormatPr defaultColWidth="8.875" defaultRowHeight="11.25"/>
  <cols>
    <col min="1" max="1" width="9.625" style="3225" customWidth="1"/>
    <col min="2" max="2" width="18.625" style="3225" customWidth="1"/>
    <col min="3" max="6" width="10.25" style="3225" customWidth="1"/>
    <col min="7" max="7" width="10.5" style="3225" bestFit="1" customWidth="1"/>
    <col min="8" max="8" width="8.875" style="3221"/>
    <col min="9" max="9" width="13.375" style="3221" customWidth="1"/>
    <col min="10" max="13" width="13.375" style="3225" customWidth="1"/>
    <col min="14" max="14" width="18.25" style="3225" customWidth="1"/>
    <col min="15" max="17" width="15.125" style="3225" customWidth="1"/>
    <col min="18" max="20" width="11.5" style="3225" customWidth="1"/>
    <col min="21" max="16384" width="8.875" style="3225"/>
  </cols>
  <sheetData>
    <row r="1" spans="1:20" ht="12" thickBot="1">
      <c r="A1" s="3885" t="s">
        <v>2846</v>
      </c>
      <c r="B1" s="3885"/>
      <c r="C1" s="3885"/>
      <c r="D1" s="3885"/>
      <c r="E1" s="3885"/>
      <c r="F1" s="3885"/>
      <c r="G1" s="3886"/>
      <c r="I1" s="3222" t="s">
        <v>2847</v>
      </c>
      <c r="J1" s="3223" t="s">
        <v>2848</v>
      </c>
      <c r="K1" s="3223" t="s">
        <v>2849</v>
      </c>
      <c r="L1" s="3223" t="s">
        <v>2850</v>
      </c>
      <c r="M1" s="3223" t="s">
        <v>2851</v>
      </c>
      <c r="N1" s="3223" t="s">
        <v>2852</v>
      </c>
      <c r="O1" s="3223" t="s">
        <v>2853</v>
      </c>
      <c r="P1" s="3223" t="s">
        <v>2854</v>
      </c>
      <c r="Q1" s="3223" t="s">
        <v>2855</v>
      </c>
      <c r="R1" s="3223" t="s">
        <v>2856</v>
      </c>
      <c r="S1" s="3223" t="s">
        <v>2857</v>
      </c>
      <c r="T1" s="3224" t="s">
        <v>2858</v>
      </c>
    </row>
    <row r="2" spans="1:20" ht="12" thickBot="1">
      <c r="A2" s="3226" t="s">
        <v>2859</v>
      </c>
      <c r="B2" s="3226"/>
      <c r="C2" s="3226"/>
      <c r="D2" s="3226"/>
      <c r="E2" s="3226"/>
      <c r="F2" s="3226"/>
      <c r="G2" s="3227" t="s">
        <v>2860</v>
      </c>
      <c r="I2" s="3228" t="s">
        <v>2861</v>
      </c>
      <c r="J2" s="3228" t="s">
        <v>2862</v>
      </c>
      <c r="K2" s="3228" t="s">
        <v>2863</v>
      </c>
      <c r="L2" s="3228" t="s">
        <v>2864</v>
      </c>
      <c r="M2" s="3228" t="s">
        <v>2865</v>
      </c>
      <c r="N2" s="3228" t="s">
        <v>2866</v>
      </c>
      <c r="O2" s="3228" t="s">
        <v>2867</v>
      </c>
      <c r="P2" s="3228" t="s">
        <v>2868</v>
      </c>
      <c r="Q2" s="3228" t="s">
        <v>2869</v>
      </c>
      <c r="R2" s="3228" t="s">
        <v>2870</v>
      </c>
      <c r="S2" s="3228" t="s">
        <v>2871</v>
      </c>
      <c r="T2" s="3228" t="s">
        <v>2872</v>
      </c>
    </row>
    <row r="3" spans="1:20" s="3234" customFormat="1">
      <c r="A3" s="3883" t="s">
        <v>2873</v>
      </c>
      <c r="B3" s="3229"/>
      <c r="C3" s="3230" t="s">
        <v>2814</v>
      </c>
      <c r="D3" s="3230" t="s">
        <v>2874</v>
      </c>
      <c r="E3" s="3230" t="s">
        <v>2816</v>
      </c>
      <c r="F3" s="3230" t="s">
        <v>2875</v>
      </c>
      <c r="G3" s="3230" t="s">
        <v>2634</v>
      </c>
      <c r="H3" s="3231"/>
      <c r="I3" s="3232" t="s">
        <v>2876</v>
      </c>
      <c r="J3" s="3233" t="s">
        <v>128</v>
      </c>
      <c r="K3" s="3233" t="s">
        <v>129</v>
      </c>
      <c r="L3" s="3232" t="s">
        <v>130</v>
      </c>
      <c r="M3" s="3232" t="s">
        <v>131</v>
      </c>
      <c r="N3" s="3232" t="s">
        <v>132</v>
      </c>
      <c r="O3" s="3232" t="s">
        <v>133</v>
      </c>
      <c r="P3" s="3232" t="s">
        <v>134</v>
      </c>
      <c r="Q3" s="3232" t="s">
        <v>135</v>
      </c>
      <c r="R3" s="3232" t="s">
        <v>136</v>
      </c>
      <c r="S3" s="3232" t="s">
        <v>2877</v>
      </c>
      <c r="T3" s="3232" t="s">
        <v>2878</v>
      </c>
    </row>
    <row r="4" spans="1:20" s="3234" customFormat="1" ht="12" thickBot="1">
      <c r="A4" s="3884"/>
      <c r="B4" s="3235" t="s">
        <v>2879</v>
      </c>
      <c r="C4" s="3235" t="s">
        <v>2880</v>
      </c>
      <c r="D4" s="3235" t="s">
        <v>2880</v>
      </c>
      <c r="E4" s="3235" t="s">
        <v>2880</v>
      </c>
      <c r="F4" s="3236" t="s">
        <v>2880</v>
      </c>
      <c r="G4" s="3236" t="s">
        <v>2880</v>
      </c>
      <c r="H4" s="3231"/>
      <c r="I4" s="3233" t="s">
        <v>137</v>
      </c>
      <c r="J4" s="3233" t="s">
        <v>111</v>
      </c>
      <c r="K4" s="3233" t="s">
        <v>138</v>
      </c>
      <c r="L4" s="3232" t="s">
        <v>139</v>
      </c>
      <c r="M4" s="3232" t="s">
        <v>140</v>
      </c>
      <c r="N4" s="3232" t="s">
        <v>141</v>
      </c>
      <c r="O4" s="3232" t="s">
        <v>142</v>
      </c>
      <c r="P4" s="3232" t="s">
        <v>143</v>
      </c>
      <c r="Q4" s="3232" t="s">
        <v>2881</v>
      </c>
      <c r="R4" s="3232" t="s">
        <v>2882</v>
      </c>
      <c r="S4" s="3232" t="s">
        <v>2883</v>
      </c>
      <c r="T4" s="3232" t="s">
        <v>2884</v>
      </c>
    </row>
    <row r="5" spans="1:20">
      <c r="A5" s="3237" t="s">
        <v>2847</v>
      </c>
      <c r="B5" s="3228" t="s">
        <v>2861</v>
      </c>
      <c r="C5" s="3228">
        <v>34550</v>
      </c>
      <c r="D5" s="3228">
        <v>34470</v>
      </c>
      <c r="E5" s="3228">
        <v>34330</v>
      </c>
      <c r="F5" s="3228">
        <v>13400</v>
      </c>
      <c r="G5" s="3228">
        <v>25450</v>
      </c>
      <c r="H5" s="3231"/>
      <c r="I5" s="3232" t="s">
        <v>145</v>
      </c>
      <c r="J5" s="3233" t="s">
        <v>146</v>
      </c>
      <c r="K5" s="3233" t="s">
        <v>147</v>
      </c>
      <c r="L5" s="3232" t="s">
        <v>148</v>
      </c>
      <c r="M5" s="3232" t="s">
        <v>149</v>
      </c>
      <c r="N5" s="3232" t="s">
        <v>150</v>
      </c>
      <c r="O5" s="3232" t="s">
        <v>151</v>
      </c>
      <c r="P5" s="3232" t="s">
        <v>152</v>
      </c>
      <c r="Q5" s="3232" t="s">
        <v>2885</v>
      </c>
      <c r="R5" s="3232" t="s">
        <v>2886</v>
      </c>
      <c r="S5" s="3232" t="s">
        <v>153</v>
      </c>
      <c r="T5" s="3232" t="s">
        <v>2887</v>
      </c>
    </row>
    <row r="6" spans="1:20" ht="12" thickBot="1">
      <c r="A6" s="3232" t="s">
        <v>144</v>
      </c>
      <c r="B6" s="3232" t="s">
        <v>2876</v>
      </c>
      <c r="C6" s="3232">
        <v>36990</v>
      </c>
      <c r="D6" s="3232">
        <v>36850</v>
      </c>
      <c r="E6" s="3232">
        <v>36700</v>
      </c>
      <c r="F6" s="3232">
        <v>14590</v>
      </c>
      <c r="G6" s="3232">
        <v>27450</v>
      </c>
      <c r="H6" s="3231"/>
      <c r="I6" s="3238" t="s">
        <v>154</v>
      </c>
      <c r="J6" s="3233" t="s">
        <v>155</v>
      </c>
      <c r="K6" s="3233" t="s">
        <v>156</v>
      </c>
      <c r="L6" s="3232" t="s">
        <v>157</v>
      </c>
      <c r="M6" s="3232" t="s">
        <v>158</v>
      </c>
      <c r="N6" s="3232" t="s">
        <v>159</v>
      </c>
      <c r="O6" s="3232" t="s">
        <v>160</v>
      </c>
      <c r="P6" s="3232" t="s">
        <v>2888</v>
      </c>
      <c r="Q6" s="3232" t="s">
        <v>2889</v>
      </c>
      <c r="R6" s="3232" t="s">
        <v>161</v>
      </c>
      <c r="S6" s="3232" t="s">
        <v>2890</v>
      </c>
      <c r="T6" s="3232" t="s">
        <v>2891</v>
      </c>
    </row>
    <row r="7" spans="1:20">
      <c r="A7" s="3232" t="s">
        <v>144</v>
      </c>
      <c r="B7" s="3233" t="s">
        <v>137</v>
      </c>
      <c r="C7" s="3232">
        <v>34850</v>
      </c>
      <c r="D7" s="3232">
        <v>34690</v>
      </c>
      <c r="E7" s="3232">
        <v>34550</v>
      </c>
      <c r="F7" s="3232">
        <v>14360</v>
      </c>
      <c r="G7" s="3232">
        <v>25620</v>
      </c>
      <c r="H7" s="3231"/>
      <c r="J7" s="3233" t="s">
        <v>162</v>
      </c>
      <c r="K7" s="3233" t="s">
        <v>163</v>
      </c>
      <c r="L7" s="3232" t="s">
        <v>164</v>
      </c>
      <c r="M7" s="3232" t="s">
        <v>165</v>
      </c>
      <c r="N7" s="3232" t="s">
        <v>166</v>
      </c>
      <c r="O7" s="3232" t="s">
        <v>167</v>
      </c>
      <c r="P7" s="3232" t="s">
        <v>2892</v>
      </c>
      <c r="Q7" s="3232" t="s">
        <v>2893</v>
      </c>
      <c r="R7" s="3232" t="s">
        <v>2894</v>
      </c>
      <c r="S7" s="3232" t="s">
        <v>2895</v>
      </c>
      <c r="T7" s="3232" t="s">
        <v>2896</v>
      </c>
    </row>
    <row r="8" spans="1:20" ht="12" thickBot="1">
      <c r="A8" s="3232" t="s">
        <v>144</v>
      </c>
      <c r="B8" s="3232" t="s">
        <v>145</v>
      </c>
      <c r="C8" s="3232">
        <v>32630</v>
      </c>
      <c r="D8" s="3232">
        <v>32510</v>
      </c>
      <c r="E8" s="3232">
        <v>32420</v>
      </c>
      <c r="F8" s="3232">
        <v>13300</v>
      </c>
      <c r="G8" s="3232">
        <v>24010</v>
      </c>
      <c r="H8" s="3231"/>
      <c r="J8" s="3233" t="s">
        <v>168</v>
      </c>
      <c r="K8" s="3233" t="s">
        <v>169</v>
      </c>
      <c r="L8" s="3232" t="s">
        <v>170</v>
      </c>
      <c r="M8" s="3232" t="s">
        <v>171</v>
      </c>
      <c r="N8" s="3232" t="s">
        <v>172</v>
      </c>
      <c r="O8" s="3232" t="s">
        <v>173</v>
      </c>
      <c r="P8" s="3232" t="s">
        <v>2897</v>
      </c>
      <c r="Q8" s="3232" t="s">
        <v>174</v>
      </c>
      <c r="R8" s="3232" t="s">
        <v>2898</v>
      </c>
      <c r="S8" s="3232" t="s">
        <v>2899</v>
      </c>
      <c r="T8" s="3239" t="s">
        <v>2900</v>
      </c>
    </row>
    <row r="9" spans="1:20" ht="12" thickBot="1">
      <c r="A9" s="3240" t="s">
        <v>144</v>
      </c>
      <c r="B9" s="3238" t="s">
        <v>154</v>
      </c>
      <c r="C9" s="3239">
        <v>36370</v>
      </c>
      <c r="D9" s="3239">
        <v>36210</v>
      </c>
      <c r="E9" s="3239">
        <v>36050</v>
      </c>
      <c r="F9" s="3239"/>
      <c r="G9" s="3239">
        <v>26740</v>
      </c>
      <c r="H9" s="3231"/>
      <c r="J9" s="3233" t="s">
        <v>175</v>
      </c>
      <c r="K9" s="3233" t="s">
        <v>176</v>
      </c>
      <c r="L9" s="3232" t="s">
        <v>177</v>
      </c>
      <c r="M9" s="3232" t="s">
        <v>178</v>
      </c>
      <c r="N9" s="3232" t="s">
        <v>179</v>
      </c>
      <c r="O9" s="3232" t="s">
        <v>180</v>
      </c>
      <c r="P9" s="3232" t="s">
        <v>2901</v>
      </c>
      <c r="Q9" s="3232" t="s">
        <v>182</v>
      </c>
      <c r="R9" s="3232" t="s">
        <v>183</v>
      </c>
      <c r="S9" s="3232" t="s">
        <v>200</v>
      </c>
    </row>
    <row r="10" spans="1:20">
      <c r="A10" s="3237" t="s">
        <v>184</v>
      </c>
      <c r="B10" s="3228" t="s">
        <v>2862</v>
      </c>
      <c r="C10" s="3232">
        <v>32350</v>
      </c>
      <c r="D10" s="3232">
        <v>31430</v>
      </c>
      <c r="E10" s="3232">
        <v>31320</v>
      </c>
      <c r="F10" s="3232">
        <v>10850</v>
      </c>
      <c r="G10" s="3232">
        <v>22860</v>
      </c>
      <c r="H10" s="3231"/>
      <c r="J10" s="3233" t="s">
        <v>185</v>
      </c>
      <c r="K10" s="3233" t="s">
        <v>186</v>
      </c>
      <c r="L10" s="3232" t="s">
        <v>187</v>
      </c>
      <c r="M10" s="3232" t="s">
        <v>188</v>
      </c>
      <c r="N10" s="3232" t="s">
        <v>189</v>
      </c>
      <c r="O10" s="3232" t="s">
        <v>190</v>
      </c>
      <c r="P10" s="3232" t="s">
        <v>181</v>
      </c>
      <c r="Q10" s="3232" t="s">
        <v>192</v>
      </c>
      <c r="R10" s="3232" t="s">
        <v>193</v>
      </c>
      <c r="S10" s="3232" t="s">
        <v>2902</v>
      </c>
    </row>
    <row r="11" spans="1:20">
      <c r="A11" s="3232" t="s">
        <v>184</v>
      </c>
      <c r="B11" s="3233" t="s">
        <v>128</v>
      </c>
      <c r="C11" s="3232">
        <v>31590</v>
      </c>
      <c r="D11" s="3232">
        <v>29490</v>
      </c>
      <c r="E11" s="3232">
        <v>28700</v>
      </c>
      <c r="F11" s="3232">
        <v>10410</v>
      </c>
      <c r="G11" s="3232">
        <v>21460</v>
      </c>
      <c r="H11" s="3231"/>
      <c r="J11" s="3233" t="s">
        <v>194</v>
      </c>
      <c r="K11" s="3233" t="s">
        <v>195</v>
      </c>
      <c r="L11" s="3232" t="s">
        <v>196</v>
      </c>
      <c r="M11" s="3232" t="s">
        <v>197</v>
      </c>
      <c r="N11" s="3232" t="s">
        <v>198</v>
      </c>
      <c r="O11" s="3232" t="s">
        <v>2903</v>
      </c>
      <c r="P11" s="3232" t="s">
        <v>191</v>
      </c>
      <c r="Q11" s="3232" t="s">
        <v>199</v>
      </c>
      <c r="R11" s="3232" t="s">
        <v>2904</v>
      </c>
      <c r="S11" s="3232" t="s">
        <v>2905</v>
      </c>
    </row>
    <row r="12" spans="1:20">
      <c r="A12" s="3232" t="s">
        <v>184</v>
      </c>
      <c r="B12" s="3233" t="s">
        <v>111</v>
      </c>
      <c r="C12" s="3232">
        <v>29640</v>
      </c>
      <c r="D12" s="3232">
        <v>27550</v>
      </c>
      <c r="E12" s="3232">
        <v>28010</v>
      </c>
      <c r="F12" s="3232">
        <v>8730</v>
      </c>
      <c r="G12" s="3232">
        <v>20050</v>
      </c>
      <c r="H12" s="3231"/>
      <c r="J12" s="3233" t="s">
        <v>201</v>
      </c>
      <c r="K12" s="3233" t="s">
        <v>202</v>
      </c>
      <c r="L12" s="3232" t="s">
        <v>203</v>
      </c>
      <c r="M12" s="3232" t="s">
        <v>204</v>
      </c>
      <c r="N12" s="3232" t="s">
        <v>205</v>
      </c>
      <c r="O12" s="3232" t="s">
        <v>2906</v>
      </c>
      <c r="P12" s="3232" t="s">
        <v>2907</v>
      </c>
      <c r="Q12" s="3232" t="s">
        <v>2908</v>
      </c>
      <c r="R12" s="3232" t="s">
        <v>2909</v>
      </c>
      <c r="S12" s="3232" t="s">
        <v>2910</v>
      </c>
    </row>
    <row r="13" spans="1:20">
      <c r="A13" s="3232" t="s">
        <v>184</v>
      </c>
      <c r="B13" s="3233" t="s">
        <v>146</v>
      </c>
      <c r="C13" s="3232">
        <v>29680</v>
      </c>
      <c r="D13" s="3232">
        <v>27660</v>
      </c>
      <c r="E13" s="3232">
        <v>28210</v>
      </c>
      <c r="F13" s="3232">
        <v>9590</v>
      </c>
      <c r="G13" s="3232">
        <v>20120</v>
      </c>
      <c r="H13" s="3231"/>
      <c r="J13" s="3233" t="s">
        <v>208</v>
      </c>
      <c r="K13" s="3233" t="s">
        <v>209</v>
      </c>
      <c r="L13" s="3232" t="s">
        <v>210</v>
      </c>
      <c r="M13" s="3232" t="s">
        <v>211</v>
      </c>
      <c r="N13" s="3232" t="s">
        <v>212</v>
      </c>
      <c r="O13" s="3232" t="s">
        <v>2911</v>
      </c>
      <c r="P13" s="3232" t="s">
        <v>206</v>
      </c>
      <c r="Q13" s="3232" t="s">
        <v>219</v>
      </c>
      <c r="R13" s="3232" t="s">
        <v>220</v>
      </c>
      <c r="S13" s="3232" t="s">
        <v>214</v>
      </c>
    </row>
    <row r="14" spans="1:20">
      <c r="A14" s="3232" t="s">
        <v>184</v>
      </c>
      <c r="B14" s="3233" t="s">
        <v>155</v>
      </c>
      <c r="C14" s="3232">
        <v>30520</v>
      </c>
      <c r="D14" s="3232">
        <v>29510</v>
      </c>
      <c r="E14" s="3232">
        <v>29400</v>
      </c>
      <c r="F14" s="3232">
        <v>9630</v>
      </c>
      <c r="G14" s="3232">
        <v>21480</v>
      </c>
      <c r="H14" s="3231"/>
      <c r="J14" s="3233" t="s">
        <v>2912</v>
      </c>
      <c r="K14" s="3233" t="s">
        <v>215</v>
      </c>
      <c r="L14" s="3232" t="s">
        <v>216</v>
      </c>
      <c r="M14" s="3232" t="s">
        <v>217</v>
      </c>
      <c r="N14" s="3232" t="s">
        <v>218</v>
      </c>
      <c r="O14" s="3232" t="s">
        <v>240</v>
      </c>
      <c r="P14" s="3232" t="s">
        <v>213</v>
      </c>
      <c r="Q14" s="3232" t="s">
        <v>2913</v>
      </c>
      <c r="R14" s="3232" t="s">
        <v>228</v>
      </c>
      <c r="S14" s="3232" t="s">
        <v>221</v>
      </c>
    </row>
    <row r="15" spans="1:20">
      <c r="A15" s="3232" t="s">
        <v>184</v>
      </c>
      <c r="B15" s="3233" t="s">
        <v>162</v>
      </c>
      <c r="C15" s="3232">
        <v>29090</v>
      </c>
      <c r="D15" s="3232">
        <v>27590</v>
      </c>
      <c r="E15" s="3232">
        <v>28120</v>
      </c>
      <c r="F15" s="3232">
        <v>9110</v>
      </c>
      <c r="G15" s="3232">
        <v>20070</v>
      </c>
      <c r="H15" s="3231"/>
      <c r="J15" s="3233" t="s">
        <v>222</v>
      </c>
      <c r="K15" s="3233" t="s">
        <v>223</v>
      </c>
      <c r="L15" s="3232" t="s">
        <v>224</v>
      </c>
      <c r="M15" s="3232" t="s">
        <v>225</v>
      </c>
      <c r="N15" s="3232" t="s">
        <v>226</v>
      </c>
      <c r="O15" s="3232" t="s">
        <v>2914</v>
      </c>
      <c r="P15" s="3232" t="s">
        <v>2915</v>
      </c>
      <c r="Q15" s="3232" t="s">
        <v>242</v>
      </c>
      <c r="R15" s="3232" t="s">
        <v>2916</v>
      </c>
      <c r="S15" s="3232" t="s">
        <v>229</v>
      </c>
    </row>
    <row r="16" spans="1:20">
      <c r="A16" s="3232" t="s">
        <v>184</v>
      </c>
      <c r="B16" s="3233" t="s">
        <v>168</v>
      </c>
      <c r="C16" s="3232">
        <v>26790</v>
      </c>
      <c r="D16" s="3232">
        <v>30370</v>
      </c>
      <c r="E16" s="3232">
        <v>30240</v>
      </c>
      <c r="F16" s="3232">
        <v>11590</v>
      </c>
      <c r="G16" s="3232">
        <v>22090</v>
      </c>
      <c r="H16" s="3231"/>
      <c r="J16" s="3233" t="s">
        <v>230</v>
      </c>
      <c r="K16" s="3233" t="s">
        <v>231</v>
      </c>
      <c r="L16" s="3232" t="s">
        <v>232</v>
      </c>
      <c r="M16" s="3232" t="s">
        <v>233</v>
      </c>
      <c r="N16" s="3232" t="s">
        <v>234</v>
      </c>
      <c r="O16" s="3232" t="s">
        <v>2917</v>
      </c>
      <c r="P16" s="3232" t="s">
        <v>227</v>
      </c>
      <c r="Q16" s="3232" t="s">
        <v>250</v>
      </c>
      <c r="R16" s="3232" t="s">
        <v>207</v>
      </c>
      <c r="S16" s="3232" t="s">
        <v>2918</v>
      </c>
    </row>
    <row r="17" spans="1:19" ht="14.25" customHeight="1">
      <c r="A17" s="3232" t="s">
        <v>184</v>
      </c>
      <c r="B17" s="3233" t="s">
        <v>175</v>
      </c>
      <c r="C17" s="3232">
        <v>29180</v>
      </c>
      <c r="D17" s="3232">
        <v>27620</v>
      </c>
      <c r="E17" s="3232">
        <v>28180</v>
      </c>
      <c r="F17" s="3232">
        <v>10790</v>
      </c>
      <c r="G17" s="3232">
        <v>20090</v>
      </c>
      <c r="H17" s="3231"/>
      <c r="J17" s="3233" t="s">
        <v>235</v>
      </c>
      <c r="K17" s="3233" t="s">
        <v>236</v>
      </c>
      <c r="L17" s="3232" t="s">
        <v>237</v>
      </c>
      <c r="M17" s="3232" t="s">
        <v>238</v>
      </c>
      <c r="N17" s="3232" t="s">
        <v>239</v>
      </c>
      <c r="O17" s="3232" t="s">
        <v>2919</v>
      </c>
      <c r="P17" s="3232" t="s">
        <v>2920</v>
      </c>
      <c r="Q17" s="3232" t="s">
        <v>256</v>
      </c>
      <c r="R17" s="3232" t="s">
        <v>2921</v>
      </c>
      <c r="S17" s="3232" t="s">
        <v>258</v>
      </c>
    </row>
    <row r="18" spans="1:19" ht="14.25" customHeight="1">
      <c r="A18" s="3232" t="s">
        <v>184</v>
      </c>
      <c r="B18" s="3233" t="s">
        <v>185</v>
      </c>
      <c r="C18" s="3232">
        <v>26840</v>
      </c>
      <c r="D18" s="3232">
        <v>28930</v>
      </c>
      <c r="E18" s="3232">
        <v>28820</v>
      </c>
      <c r="F18" s="3232"/>
      <c r="G18" s="3232">
        <v>21050</v>
      </c>
      <c r="H18" s="3231"/>
      <c r="J18" s="3233" t="s">
        <v>244</v>
      </c>
      <c r="K18" s="3233" t="s">
        <v>245</v>
      </c>
      <c r="L18" s="3232" t="s">
        <v>246</v>
      </c>
      <c r="M18" s="3232" t="s">
        <v>247</v>
      </c>
      <c r="N18" s="3232" t="s">
        <v>248</v>
      </c>
      <c r="O18" s="3232" t="s">
        <v>2922</v>
      </c>
      <c r="P18" s="3232" t="s">
        <v>241</v>
      </c>
      <c r="Q18" s="3232" t="s">
        <v>2923</v>
      </c>
      <c r="R18" s="3232" t="s">
        <v>257</v>
      </c>
      <c r="S18" s="3232" t="s">
        <v>266</v>
      </c>
    </row>
    <row r="19" spans="1:19" ht="14.25" customHeight="1">
      <c r="A19" s="3232" t="s">
        <v>184</v>
      </c>
      <c r="B19" s="3233" t="s">
        <v>194</v>
      </c>
      <c r="C19" s="3232">
        <v>27750</v>
      </c>
      <c r="D19" s="3232">
        <v>26680</v>
      </c>
      <c r="E19" s="3232">
        <v>26590</v>
      </c>
      <c r="F19" s="3232"/>
      <c r="G19" s="3232">
        <v>19420</v>
      </c>
      <c r="H19" s="3231"/>
      <c r="J19" s="3233" t="s">
        <v>251</v>
      </c>
      <c r="K19" s="3233" t="s">
        <v>252</v>
      </c>
      <c r="L19" s="3232" t="s">
        <v>253</v>
      </c>
      <c r="M19" s="3232" t="s">
        <v>254</v>
      </c>
      <c r="N19" s="3232" t="s">
        <v>255</v>
      </c>
      <c r="O19" s="3232" t="s">
        <v>2924</v>
      </c>
      <c r="P19" s="3232" t="s">
        <v>249</v>
      </c>
      <c r="Q19" s="3232" t="s">
        <v>2925</v>
      </c>
      <c r="R19" s="3232" t="s">
        <v>265</v>
      </c>
      <c r="S19" s="3232" t="s">
        <v>2926</v>
      </c>
    </row>
    <row r="20" spans="1:19" ht="14.25" customHeight="1">
      <c r="A20" s="3232" t="s">
        <v>184</v>
      </c>
      <c r="B20" s="3233" t="s">
        <v>201</v>
      </c>
      <c r="C20" s="3232">
        <v>27050</v>
      </c>
      <c r="D20" s="3232">
        <v>29010</v>
      </c>
      <c r="E20" s="3232">
        <v>28910</v>
      </c>
      <c r="F20" s="3232"/>
      <c r="G20" s="3232">
        <v>21110</v>
      </c>
      <c r="J20" s="3233" t="s">
        <v>259</v>
      </c>
      <c r="K20" s="3233" t="s">
        <v>260</v>
      </c>
      <c r="L20" s="3232" t="s">
        <v>261</v>
      </c>
      <c r="M20" s="3232" t="s">
        <v>262</v>
      </c>
      <c r="N20" s="3232" t="s">
        <v>263</v>
      </c>
      <c r="O20" s="3232" t="s">
        <v>2927</v>
      </c>
      <c r="P20" s="3232" t="s">
        <v>2928</v>
      </c>
      <c r="Q20" s="3232" t="s">
        <v>290</v>
      </c>
      <c r="R20" s="3232" t="s">
        <v>2929</v>
      </c>
      <c r="S20" s="3232" t="s">
        <v>277</v>
      </c>
    </row>
    <row r="21" spans="1:19" ht="14.25" customHeight="1" thickBot="1">
      <c r="A21" s="3232" t="s">
        <v>184</v>
      </c>
      <c r="B21" s="3233" t="s">
        <v>208</v>
      </c>
      <c r="C21" s="3232">
        <v>32370</v>
      </c>
      <c r="D21" s="3232">
        <v>26730</v>
      </c>
      <c r="E21" s="3232">
        <v>26640</v>
      </c>
      <c r="F21" s="3232"/>
      <c r="G21" s="3232">
        <v>19440</v>
      </c>
      <c r="J21" s="3239" t="s">
        <v>2930</v>
      </c>
      <c r="K21" s="3233" t="s">
        <v>267</v>
      </c>
      <c r="L21" s="3232" t="s">
        <v>268</v>
      </c>
      <c r="M21" s="3232" t="s">
        <v>269</v>
      </c>
      <c r="N21" s="3232" t="s">
        <v>270</v>
      </c>
      <c r="O21" s="3232" t="s">
        <v>264</v>
      </c>
      <c r="P21" s="3232" t="s">
        <v>283</v>
      </c>
      <c r="Q21" s="3232" t="s">
        <v>293</v>
      </c>
      <c r="R21" s="3232" t="s">
        <v>2931</v>
      </c>
      <c r="S21" s="3239" t="s">
        <v>2932</v>
      </c>
    </row>
    <row r="22" spans="1:19" ht="14.25" customHeight="1">
      <c r="A22" s="3232" t="s">
        <v>184</v>
      </c>
      <c r="B22" s="3233" t="s">
        <v>2912</v>
      </c>
      <c r="C22" s="3232">
        <v>29830</v>
      </c>
      <c r="D22" s="3232">
        <v>27600</v>
      </c>
      <c r="E22" s="3232">
        <v>28150</v>
      </c>
      <c r="F22" s="3232"/>
      <c r="G22" s="3232">
        <v>20080</v>
      </c>
      <c r="K22" s="3233" t="s">
        <v>2933</v>
      </c>
      <c r="L22" s="3232" t="s">
        <v>272</v>
      </c>
      <c r="M22" s="3232" t="s">
        <v>273</v>
      </c>
      <c r="N22" s="3232" t="s">
        <v>274</v>
      </c>
      <c r="O22" s="3232" t="s">
        <v>2934</v>
      </c>
      <c r="P22" s="3232" t="s">
        <v>286</v>
      </c>
      <c r="Q22" s="3232" t="s">
        <v>295</v>
      </c>
      <c r="R22" s="3232" t="s">
        <v>243</v>
      </c>
    </row>
    <row r="23" spans="1:19" ht="14.25" customHeight="1">
      <c r="A23" s="3232" t="s">
        <v>184</v>
      </c>
      <c r="B23" s="3233" t="s">
        <v>222</v>
      </c>
      <c r="C23" s="3232">
        <v>27800</v>
      </c>
      <c r="D23" s="3232">
        <v>26900</v>
      </c>
      <c r="E23" s="3232">
        <v>27170</v>
      </c>
      <c r="F23" s="3232"/>
      <c r="G23" s="3232">
        <v>19570</v>
      </c>
      <c r="K23" s="3233" t="s">
        <v>2935</v>
      </c>
      <c r="L23" s="3232" t="s">
        <v>278</v>
      </c>
      <c r="M23" s="3232" t="s">
        <v>279</v>
      </c>
      <c r="N23" s="3232" t="s">
        <v>2936</v>
      </c>
      <c r="O23" s="3232" t="s">
        <v>2937</v>
      </c>
      <c r="P23" s="3232" t="s">
        <v>289</v>
      </c>
      <c r="Q23" s="3232" t="s">
        <v>298</v>
      </c>
      <c r="R23" s="3232" t="s">
        <v>2938</v>
      </c>
    </row>
    <row r="24" spans="1:19" ht="14.25" customHeight="1">
      <c r="A24" s="3232" t="s">
        <v>184</v>
      </c>
      <c r="B24" s="3233" t="s">
        <v>230</v>
      </c>
      <c r="C24" s="3232">
        <v>27930</v>
      </c>
      <c r="D24" s="3232">
        <v>32260</v>
      </c>
      <c r="E24" s="3232">
        <v>32120</v>
      </c>
      <c r="F24" s="3232"/>
      <c r="G24" s="3232">
        <v>23470</v>
      </c>
      <c r="K24" s="3233" t="s">
        <v>2939</v>
      </c>
      <c r="L24" s="3232" t="s">
        <v>281</v>
      </c>
      <c r="M24" s="3232" t="s">
        <v>282</v>
      </c>
      <c r="N24" s="3232" t="s">
        <v>2940</v>
      </c>
      <c r="O24" s="3232" t="s">
        <v>285</v>
      </c>
      <c r="P24" s="3232" t="s">
        <v>2941</v>
      </c>
      <c r="Q24" s="3241" t="s">
        <v>2942</v>
      </c>
      <c r="R24" s="3232" t="s">
        <v>2943</v>
      </c>
    </row>
    <row r="25" spans="1:19" ht="14.25" customHeight="1">
      <c r="A25" s="3232" t="s">
        <v>184</v>
      </c>
      <c r="B25" s="3233" t="s">
        <v>235</v>
      </c>
      <c r="C25" s="3232">
        <v>32230</v>
      </c>
      <c r="D25" s="3232">
        <v>29640</v>
      </c>
      <c r="E25" s="3232">
        <v>29510</v>
      </c>
      <c r="F25" s="3232"/>
      <c r="G25" s="3232">
        <v>21560</v>
      </c>
      <c r="K25" s="3233" t="s">
        <v>2944</v>
      </c>
      <c r="L25" s="3232" t="s">
        <v>2945</v>
      </c>
      <c r="M25" s="3232" t="s">
        <v>284</v>
      </c>
      <c r="N25" s="3232" t="s">
        <v>292</v>
      </c>
      <c r="O25" s="3232" t="s">
        <v>288</v>
      </c>
      <c r="P25" s="3232" t="s">
        <v>275</v>
      </c>
      <c r="Q25" s="3241" t="s">
        <v>271</v>
      </c>
      <c r="R25" s="3232" t="s">
        <v>2946</v>
      </c>
    </row>
    <row r="26" spans="1:19" ht="14.25" customHeight="1" thickBot="1">
      <c r="A26" s="3232" t="s">
        <v>184</v>
      </c>
      <c r="B26" s="3233" t="s">
        <v>244</v>
      </c>
      <c r="C26" s="3232">
        <v>31690</v>
      </c>
      <c r="D26" s="3232">
        <v>27650</v>
      </c>
      <c r="E26" s="3232">
        <v>28200</v>
      </c>
      <c r="F26" s="3232"/>
      <c r="G26" s="3232">
        <v>20110</v>
      </c>
      <c r="K26" s="3238" t="s">
        <v>2947</v>
      </c>
      <c r="L26" s="3232" t="s">
        <v>2948</v>
      </c>
      <c r="M26" s="3232" t="s">
        <v>287</v>
      </c>
      <c r="N26" s="3232" t="s">
        <v>294</v>
      </c>
      <c r="O26" s="3232" t="s">
        <v>2949</v>
      </c>
      <c r="P26" s="3232" t="s">
        <v>2950</v>
      </c>
      <c r="Q26" s="3241" t="s">
        <v>276</v>
      </c>
      <c r="R26" s="3232" t="s">
        <v>2951</v>
      </c>
    </row>
    <row r="27" spans="1:19" ht="14.25" customHeight="1">
      <c r="A27" s="3232" t="s">
        <v>184</v>
      </c>
      <c r="B27" s="3233" t="s">
        <v>251</v>
      </c>
      <c r="C27" s="3232">
        <v>29610</v>
      </c>
      <c r="D27" s="3232">
        <v>27770</v>
      </c>
      <c r="E27" s="3232">
        <v>28300</v>
      </c>
      <c r="F27" s="3232"/>
      <c r="G27" s="3232">
        <v>20210</v>
      </c>
      <c r="L27" s="3232" t="s">
        <v>2952</v>
      </c>
      <c r="M27" s="3232" t="s">
        <v>291</v>
      </c>
      <c r="N27" s="3232" t="s">
        <v>297</v>
      </c>
      <c r="O27" s="3232" t="s">
        <v>2953</v>
      </c>
      <c r="P27" s="3232" t="s">
        <v>2954</v>
      </c>
      <c r="Q27" s="3232" t="s">
        <v>2955</v>
      </c>
      <c r="R27" s="3232" t="s">
        <v>2956</v>
      </c>
    </row>
    <row r="28" spans="1:19" ht="14.25" customHeight="1">
      <c r="A28" s="3232" t="s">
        <v>184</v>
      </c>
      <c r="B28" s="3233" t="s">
        <v>259</v>
      </c>
      <c r="C28" s="3232"/>
      <c r="D28" s="3232">
        <v>31520</v>
      </c>
      <c r="E28" s="3232">
        <v>31410</v>
      </c>
      <c r="F28" s="3232"/>
      <c r="G28" s="3232">
        <v>22940</v>
      </c>
      <c r="L28" s="3232" t="s">
        <v>2957</v>
      </c>
      <c r="M28" s="3232" t="s">
        <v>2958</v>
      </c>
      <c r="N28" s="3232" t="s">
        <v>2959</v>
      </c>
      <c r="O28" s="3232" t="s">
        <v>2960</v>
      </c>
      <c r="P28" s="3232" t="s">
        <v>2961</v>
      </c>
      <c r="Q28" s="3232" t="s">
        <v>2962</v>
      </c>
      <c r="R28" s="3232" t="s">
        <v>2963</v>
      </c>
    </row>
    <row r="29" spans="1:19" ht="14.25" customHeight="1" thickBot="1">
      <c r="A29" s="3240" t="s">
        <v>184</v>
      </c>
      <c r="B29" s="3242" t="s">
        <v>2930</v>
      </c>
      <c r="C29" s="3243"/>
      <c r="D29" s="3243">
        <v>29460</v>
      </c>
      <c r="E29" s="3243">
        <v>28640</v>
      </c>
      <c r="F29" s="3243"/>
      <c r="G29" s="3243">
        <v>21430</v>
      </c>
      <c r="L29" s="3232" t="s">
        <v>2964</v>
      </c>
      <c r="M29" s="3232" t="s">
        <v>2965</v>
      </c>
      <c r="N29" s="3232" t="s">
        <v>2966</v>
      </c>
      <c r="O29" s="3232" t="s">
        <v>2967</v>
      </c>
      <c r="P29" s="3232" t="s">
        <v>2968</v>
      </c>
      <c r="Q29" s="3232" t="s">
        <v>2969</v>
      </c>
      <c r="R29" s="3232" t="s">
        <v>280</v>
      </c>
    </row>
    <row r="30" spans="1:19" ht="14.25" customHeight="1">
      <c r="A30" s="3237" t="s">
        <v>296</v>
      </c>
      <c r="B30" s="3228" t="s">
        <v>2863</v>
      </c>
      <c r="C30" s="3228">
        <v>26890</v>
      </c>
      <c r="D30" s="3228">
        <v>26770</v>
      </c>
      <c r="E30" s="3228">
        <v>25700</v>
      </c>
      <c r="F30" s="3228">
        <v>8180</v>
      </c>
      <c r="G30" s="3244">
        <v>18740</v>
      </c>
      <c r="L30" s="3232" t="s">
        <v>2970</v>
      </c>
      <c r="M30" s="3232" t="s">
        <v>2971</v>
      </c>
      <c r="N30" s="3232" t="s">
        <v>2972</v>
      </c>
      <c r="O30" s="3232" t="s">
        <v>2973</v>
      </c>
      <c r="P30" s="3232" t="s">
        <v>2974</v>
      </c>
      <c r="Q30" s="3232" t="s">
        <v>2975</v>
      </c>
      <c r="R30" s="3232" t="s">
        <v>2976</v>
      </c>
    </row>
    <row r="31" spans="1:19" ht="14.25" customHeight="1">
      <c r="A31" s="3232" t="s">
        <v>296</v>
      </c>
      <c r="B31" s="3233" t="s">
        <v>129</v>
      </c>
      <c r="C31" s="3232">
        <v>24550</v>
      </c>
      <c r="D31" s="3232">
        <v>23990</v>
      </c>
      <c r="E31" s="3232">
        <v>22930</v>
      </c>
      <c r="F31" s="3232">
        <v>7470</v>
      </c>
      <c r="G31" s="3245">
        <v>16790</v>
      </c>
      <c r="L31" s="3232" t="s">
        <v>2977</v>
      </c>
      <c r="M31" s="3232" t="s">
        <v>2978</v>
      </c>
      <c r="N31" s="3232" t="s">
        <v>2979</v>
      </c>
      <c r="O31" s="3232" t="s">
        <v>2980</v>
      </c>
      <c r="P31" s="3232" t="s">
        <v>2981</v>
      </c>
      <c r="Q31" s="3232" t="s">
        <v>2982</v>
      </c>
      <c r="R31" s="3232" t="s">
        <v>2983</v>
      </c>
    </row>
    <row r="32" spans="1:19" ht="14.25" customHeight="1" thickBot="1">
      <c r="A32" s="3232" t="s">
        <v>296</v>
      </c>
      <c r="B32" s="3233" t="s">
        <v>138</v>
      </c>
      <c r="C32" s="3232">
        <v>27210</v>
      </c>
      <c r="D32" s="3232">
        <v>23240</v>
      </c>
      <c r="E32" s="3232">
        <v>23260</v>
      </c>
      <c r="F32" s="3232">
        <v>7130</v>
      </c>
      <c r="G32" s="3245">
        <v>16270</v>
      </c>
      <c r="L32" s="3232" t="s">
        <v>2984</v>
      </c>
      <c r="M32" s="3232" t="s">
        <v>2985</v>
      </c>
      <c r="N32" s="3232" t="s">
        <v>300</v>
      </c>
      <c r="O32" s="3232" t="s">
        <v>2986</v>
      </c>
      <c r="P32" s="3232" t="s">
        <v>299</v>
      </c>
      <c r="Q32" s="3232" t="s">
        <v>2987</v>
      </c>
      <c r="R32" s="3239" t="s">
        <v>2988</v>
      </c>
    </row>
    <row r="33" spans="1:17" ht="14.25" customHeight="1" thickBot="1">
      <c r="A33" s="3232" t="s">
        <v>296</v>
      </c>
      <c r="B33" s="3233" t="s">
        <v>147</v>
      </c>
      <c r="C33" s="3232">
        <v>27300</v>
      </c>
      <c r="D33" s="3232">
        <v>22980</v>
      </c>
      <c r="E33" s="3232">
        <v>24260</v>
      </c>
      <c r="F33" s="3232">
        <v>5860</v>
      </c>
      <c r="G33" s="3245">
        <v>16090</v>
      </c>
      <c r="L33" s="3239" t="s">
        <v>2989</v>
      </c>
      <c r="M33" s="3232" t="s">
        <v>2990</v>
      </c>
      <c r="N33" s="3232" t="s">
        <v>301</v>
      </c>
      <c r="O33" s="3232" t="s">
        <v>2991</v>
      </c>
      <c r="P33" s="3232" t="s">
        <v>2992</v>
      </c>
      <c r="Q33" s="3232" t="s">
        <v>2993</v>
      </c>
    </row>
    <row r="34" spans="1:17" ht="14.25" customHeight="1">
      <c r="A34" s="3232" t="s">
        <v>296</v>
      </c>
      <c r="B34" s="3233" t="s">
        <v>156</v>
      </c>
      <c r="C34" s="3232">
        <v>23090</v>
      </c>
      <c r="D34" s="3232">
        <v>23390</v>
      </c>
      <c r="E34" s="3232">
        <v>23510</v>
      </c>
      <c r="F34" s="3232">
        <v>6700</v>
      </c>
      <c r="G34" s="3245">
        <v>16370</v>
      </c>
      <c r="M34" s="3232" t="s">
        <v>2994</v>
      </c>
      <c r="N34" s="3232" t="s">
        <v>302</v>
      </c>
      <c r="O34" s="3232" t="s">
        <v>2995</v>
      </c>
      <c r="P34" s="3232" t="s">
        <v>2996</v>
      </c>
      <c r="Q34" s="3232" t="s">
        <v>2997</v>
      </c>
    </row>
    <row r="35" spans="1:17" ht="14.25" customHeight="1">
      <c r="A35" s="3232" t="s">
        <v>296</v>
      </c>
      <c r="B35" s="3233" t="s">
        <v>163</v>
      </c>
      <c r="C35" s="3232">
        <v>27270</v>
      </c>
      <c r="D35" s="3232">
        <v>24270</v>
      </c>
      <c r="E35" s="3232">
        <v>24950</v>
      </c>
      <c r="F35" s="3232">
        <v>6600</v>
      </c>
      <c r="G35" s="3245">
        <v>16990</v>
      </c>
      <c r="M35" s="3232" t="s">
        <v>2998</v>
      </c>
      <c r="N35" s="3232" t="s">
        <v>2999</v>
      </c>
      <c r="O35" s="3232" t="s">
        <v>3000</v>
      </c>
      <c r="P35" s="3232" t="s">
        <v>3001</v>
      </c>
      <c r="Q35" s="3232" t="s">
        <v>3002</v>
      </c>
    </row>
    <row r="36" spans="1:17" ht="14.25" customHeight="1">
      <c r="A36" s="3232" t="s">
        <v>296</v>
      </c>
      <c r="B36" s="3233" t="s">
        <v>169</v>
      </c>
      <c r="C36" s="3232">
        <v>23490</v>
      </c>
      <c r="D36" s="3232">
        <v>23020</v>
      </c>
      <c r="E36" s="3232">
        <v>25230</v>
      </c>
      <c r="F36" s="3232">
        <v>6780</v>
      </c>
      <c r="G36" s="3245">
        <v>16120</v>
      </c>
      <c r="M36" s="3232" t="s">
        <v>3003</v>
      </c>
      <c r="N36" s="3232" t="s">
        <v>3004</v>
      </c>
      <c r="O36" s="3232" t="s">
        <v>3005</v>
      </c>
      <c r="P36" s="3232" t="s">
        <v>3006</v>
      </c>
      <c r="Q36" s="3232" t="s">
        <v>3007</v>
      </c>
    </row>
    <row r="37" spans="1:17" ht="14.25" customHeight="1">
      <c r="A37" s="3232" t="s">
        <v>296</v>
      </c>
      <c r="B37" s="3233" t="s">
        <v>176</v>
      </c>
      <c r="C37" s="3232">
        <v>24380</v>
      </c>
      <c r="D37" s="3232">
        <v>22240</v>
      </c>
      <c r="E37" s="3232">
        <v>25980</v>
      </c>
      <c r="F37" s="3232">
        <v>8160</v>
      </c>
      <c r="G37" s="3245">
        <v>15570</v>
      </c>
      <c r="M37" s="3232" t="s">
        <v>3008</v>
      </c>
      <c r="N37" s="3232" t="s">
        <v>3009</v>
      </c>
      <c r="O37" s="3232" t="s">
        <v>3010</v>
      </c>
      <c r="P37" s="3232" t="s">
        <v>3011</v>
      </c>
      <c r="Q37" s="3232" t="s">
        <v>3012</v>
      </c>
    </row>
    <row r="38" spans="1:17" ht="14.25" customHeight="1">
      <c r="A38" s="3232" t="s">
        <v>296</v>
      </c>
      <c r="B38" s="3233" t="s">
        <v>186</v>
      </c>
      <c r="C38" s="3232">
        <v>23120</v>
      </c>
      <c r="D38" s="3232">
        <v>24630</v>
      </c>
      <c r="E38" s="3232">
        <v>25030</v>
      </c>
      <c r="F38" s="3232">
        <v>7710</v>
      </c>
      <c r="G38" s="3245">
        <v>17240</v>
      </c>
      <c r="M38" s="3232" t="s">
        <v>3013</v>
      </c>
      <c r="N38" s="3232" t="s">
        <v>3014</v>
      </c>
      <c r="O38" s="3232" t="s">
        <v>3015</v>
      </c>
      <c r="P38" s="3232" t="s">
        <v>3016</v>
      </c>
      <c r="Q38" s="3232" t="s">
        <v>3017</v>
      </c>
    </row>
    <row r="39" spans="1:17" ht="14.25" customHeight="1">
      <c r="A39" s="3232" t="s">
        <v>296</v>
      </c>
      <c r="B39" s="3233" t="s">
        <v>195</v>
      </c>
      <c r="C39" s="3232">
        <v>22330</v>
      </c>
      <c r="D39" s="3232">
        <v>21140</v>
      </c>
      <c r="E39" s="3232">
        <v>23970</v>
      </c>
      <c r="F39" s="3232">
        <v>7940</v>
      </c>
      <c r="G39" s="3245">
        <v>14790</v>
      </c>
      <c r="M39" s="3232" t="s">
        <v>3018</v>
      </c>
      <c r="N39" s="3232" t="s">
        <v>3019</v>
      </c>
      <c r="O39" s="3232" t="s">
        <v>3020</v>
      </c>
      <c r="P39" s="3232" t="s">
        <v>3021</v>
      </c>
      <c r="Q39" s="3232" t="s">
        <v>3022</v>
      </c>
    </row>
    <row r="40" spans="1:17" ht="14.25" customHeight="1">
      <c r="A40" s="3232" t="s">
        <v>296</v>
      </c>
      <c r="B40" s="3233" t="s">
        <v>202</v>
      </c>
      <c r="C40" s="3232">
        <v>24740</v>
      </c>
      <c r="D40" s="3232">
        <v>24690</v>
      </c>
      <c r="E40" s="3232">
        <v>22610</v>
      </c>
      <c r="F40" s="3232"/>
      <c r="G40" s="3245">
        <v>17280</v>
      </c>
      <c r="M40" s="3232" t="s">
        <v>3023</v>
      </c>
      <c r="N40" s="3232" t="s">
        <v>3024</v>
      </c>
      <c r="O40" s="3232" t="s">
        <v>3025</v>
      </c>
      <c r="P40" s="3232" t="s">
        <v>3026</v>
      </c>
      <c r="Q40" s="3232" t="s">
        <v>3027</v>
      </c>
    </row>
    <row r="41" spans="1:17" ht="14.25" customHeight="1" thickBot="1">
      <c r="A41" s="3232" t="s">
        <v>296</v>
      </c>
      <c r="B41" s="3233" t="s">
        <v>209</v>
      </c>
      <c r="C41" s="3232">
        <v>21220</v>
      </c>
      <c r="D41" s="3232">
        <v>21120</v>
      </c>
      <c r="E41" s="3232">
        <v>22590</v>
      </c>
      <c r="F41" s="3232"/>
      <c r="G41" s="3245">
        <v>14780</v>
      </c>
      <c r="M41" s="3239" t="s">
        <v>3028</v>
      </c>
      <c r="N41" s="3232" t="s">
        <v>3029</v>
      </c>
      <c r="O41" s="3232" t="s">
        <v>3030</v>
      </c>
      <c r="P41" s="3232" t="s">
        <v>3031</v>
      </c>
      <c r="Q41" s="3232" t="s">
        <v>3032</v>
      </c>
    </row>
    <row r="42" spans="1:17" ht="14.25" customHeight="1">
      <c r="A42" s="3232" t="s">
        <v>296</v>
      </c>
      <c r="B42" s="3233" t="s">
        <v>215</v>
      </c>
      <c r="C42" s="3232">
        <v>24800</v>
      </c>
      <c r="D42" s="3232">
        <v>22280</v>
      </c>
      <c r="E42" s="3232">
        <v>24350</v>
      </c>
      <c r="F42" s="3232"/>
      <c r="G42" s="3245">
        <v>15590</v>
      </c>
      <c r="N42" s="3232" t="s">
        <v>3033</v>
      </c>
      <c r="O42" s="3232" t="s">
        <v>3034</v>
      </c>
      <c r="P42" s="3232" t="s">
        <v>3035</v>
      </c>
      <c r="Q42" s="3232" t="s">
        <v>3036</v>
      </c>
    </row>
    <row r="43" spans="1:17" ht="14.25" customHeight="1">
      <c r="A43" s="3232" t="s">
        <v>3037</v>
      </c>
      <c r="B43" s="3233" t="s">
        <v>223</v>
      </c>
      <c r="C43" s="3232">
        <v>21210</v>
      </c>
      <c r="D43" s="3232">
        <v>21160</v>
      </c>
      <c r="E43" s="3232">
        <v>22650</v>
      </c>
      <c r="F43" s="3232"/>
      <c r="G43" s="3245">
        <v>14800</v>
      </c>
      <c r="N43" s="3232" t="s">
        <v>3038</v>
      </c>
      <c r="O43" s="3232" t="s">
        <v>3039</v>
      </c>
      <c r="P43" s="3232" t="s">
        <v>3040</v>
      </c>
      <c r="Q43" s="3232" t="s">
        <v>3041</v>
      </c>
    </row>
    <row r="44" spans="1:17" ht="14.25" customHeight="1" thickBot="1">
      <c r="A44" s="3232" t="s">
        <v>296</v>
      </c>
      <c r="B44" s="3233" t="s">
        <v>231</v>
      </c>
      <c r="C44" s="3232">
        <v>22370</v>
      </c>
      <c r="D44" s="3232">
        <v>23140</v>
      </c>
      <c r="E44" s="3232">
        <v>25090</v>
      </c>
      <c r="F44" s="3232"/>
      <c r="G44" s="3245">
        <v>16190</v>
      </c>
      <c r="N44" s="3232" t="s">
        <v>3042</v>
      </c>
      <c r="O44" s="3232" t="s">
        <v>3043</v>
      </c>
      <c r="P44" s="3239" t="s">
        <v>3044</v>
      </c>
      <c r="Q44" s="3232" t="s">
        <v>3045</v>
      </c>
    </row>
    <row r="45" spans="1:17" ht="14.25" customHeight="1" thickBot="1">
      <c r="A45" s="3232" t="s">
        <v>296</v>
      </c>
      <c r="B45" s="3233" t="s">
        <v>236</v>
      </c>
      <c r="C45" s="3232">
        <v>21240</v>
      </c>
      <c r="D45" s="3232">
        <v>27050</v>
      </c>
      <c r="E45" s="3232">
        <v>28000</v>
      </c>
      <c r="F45" s="3232"/>
      <c r="G45" s="3245">
        <v>18940</v>
      </c>
      <c r="N45" s="3232" t="s">
        <v>3046</v>
      </c>
      <c r="O45" s="3239" t="s">
        <v>3047</v>
      </c>
      <c r="Q45" s="3232" t="s">
        <v>3048</v>
      </c>
    </row>
    <row r="46" spans="1:17" ht="14.25" customHeight="1">
      <c r="A46" s="3232" t="s">
        <v>296</v>
      </c>
      <c r="B46" s="3233" t="s">
        <v>245</v>
      </c>
      <c r="C46" s="3232">
        <v>23240</v>
      </c>
      <c r="D46" s="3232">
        <v>23000</v>
      </c>
      <c r="E46" s="3232">
        <v>24980</v>
      </c>
      <c r="F46" s="3232"/>
      <c r="G46" s="3245">
        <v>16100</v>
      </c>
      <c r="N46" s="3232" t="s">
        <v>3049</v>
      </c>
      <c r="Q46" s="3232" t="s">
        <v>3050</v>
      </c>
    </row>
    <row r="47" spans="1:17" ht="14.25" customHeight="1">
      <c r="A47" s="3232" t="s">
        <v>296</v>
      </c>
      <c r="B47" s="3233" t="s">
        <v>252</v>
      </c>
      <c r="C47" s="3232">
        <v>27150</v>
      </c>
      <c r="D47" s="3232">
        <v>23310</v>
      </c>
      <c r="E47" s="3232">
        <v>25150</v>
      </c>
      <c r="F47" s="3232"/>
      <c r="G47" s="3245">
        <v>16310</v>
      </c>
      <c r="N47" s="3232" t="s">
        <v>3051</v>
      </c>
      <c r="Q47" s="3232" t="s">
        <v>3052</v>
      </c>
    </row>
    <row r="48" spans="1:17" ht="14.25" customHeight="1">
      <c r="A48" s="3232" t="s">
        <v>296</v>
      </c>
      <c r="B48" s="3233" t="s">
        <v>260</v>
      </c>
      <c r="C48" s="3232">
        <v>23100</v>
      </c>
      <c r="D48" s="3232">
        <v>21110</v>
      </c>
      <c r="E48" s="3232">
        <v>23080</v>
      </c>
      <c r="F48" s="3232"/>
      <c r="G48" s="3245">
        <v>14780</v>
      </c>
      <c r="N48" s="3232" t="s">
        <v>3053</v>
      </c>
      <c r="Q48" s="3232" t="s">
        <v>3054</v>
      </c>
    </row>
    <row r="49" spans="1:17" ht="14.25" customHeight="1">
      <c r="A49" s="3232" t="s">
        <v>296</v>
      </c>
      <c r="B49" s="3233" t="s">
        <v>267</v>
      </c>
      <c r="C49" s="3232">
        <v>23400</v>
      </c>
      <c r="D49" s="3232">
        <v>22920</v>
      </c>
      <c r="E49" s="3232">
        <v>24900</v>
      </c>
      <c r="F49" s="3232"/>
      <c r="G49" s="3245">
        <v>16040</v>
      </c>
      <c r="N49" s="3232" t="s">
        <v>3055</v>
      </c>
      <c r="Q49" s="3232" t="s">
        <v>3056</v>
      </c>
    </row>
    <row r="50" spans="1:17" ht="14.25" customHeight="1">
      <c r="A50" s="3232" t="s">
        <v>296</v>
      </c>
      <c r="B50" s="3233" t="s">
        <v>2933</v>
      </c>
      <c r="C50" s="3232">
        <v>21200</v>
      </c>
      <c r="D50" s="3232">
        <v>26540</v>
      </c>
      <c r="E50" s="3232">
        <v>23200</v>
      </c>
      <c r="F50" s="3232"/>
      <c r="G50" s="3245">
        <v>18580</v>
      </c>
      <c r="N50" s="3232" t="s">
        <v>3057</v>
      </c>
      <c r="Q50" s="3233" t="s">
        <v>3058</v>
      </c>
    </row>
    <row r="51" spans="1:17" ht="14.25" customHeight="1" thickBot="1">
      <c r="A51" s="3232" t="s">
        <v>296</v>
      </c>
      <c r="B51" s="3233" t="s">
        <v>2935</v>
      </c>
      <c r="C51" s="3232">
        <v>23000</v>
      </c>
      <c r="D51" s="3232">
        <v>23460</v>
      </c>
      <c r="E51" s="3232">
        <v>25290</v>
      </c>
      <c r="F51" s="3232"/>
      <c r="G51" s="3245">
        <v>16420</v>
      </c>
      <c r="N51" s="3232" t="s">
        <v>3059</v>
      </c>
      <c r="Q51" s="3239" t="s">
        <v>3060</v>
      </c>
    </row>
    <row r="52" spans="1:17" ht="14.25" customHeight="1">
      <c r="A52" s="3232" t="s">
        <v>296</v>
      </c>
      <c r="B52" s="3233" t="s">
        <v>2939</v>
      </c>
      <c r="C52" s="3232">
        <v>26660</v>
      </c>
      <c r="D52" s="3232">
        <v>22350</v>
      </c>
      <c r="E52" s="3232">
        <v>22920</v>
      </c>
      <c r="F52" s="3232"/>
      <c r="G52" s="3245">
        <v>15640</v>
      </c>
      <c r="N52" s="3232" t="s">
        <v>3061</v>
      </c>
    </row>
    <row r="53" spans="1:17" ht="14.25" customHeight="1">
      <c r="A53" s="3232" t="s">
        <v>296</v>
      </c>
      <c r="B53" s="3233" t="s">
        <v>2944</v>
      </c>
      <c r="C53" s="3232">
        <v>23580</v>
      </c>
      <c r="D53" s="3232"/>
      <c r="E53" s="3232">
        <v>24280</v>
      </c>
      <c r="F53" s="3232"/>
      <c r="G53" s="3245"/>
      <c r="N53" s="3232" t="s">
        <v>3062</v>
      </c>
    </row>
    <row r="54" spans="1:17" ht="14.25" customHeight="1" thickBot="1">
      <c r="A54" s="3246" t="s">
        <v>296</v>
      </c>
      <c r="B54" s="3238" t="s">
        <v>2947</v>
      </c>
      <c r="C54" s="3239">
        <v>22460</v>
      </c>
      <c r="D54" s="3239"/>
      <c r="E54" s="3239"/>
      <c r="F54" s="3239"/>
      <c r="G54" s="3247"/>
      <c r="N54" s="3232" t="s">
        <v>3063</v>
      </c>
    </row>
    <row r="55" spans="1:17" ht="14.25" customHeight="1">
      <c r="A55" s="3237" t="s">
        <v>110</v>
      </c>
      <c r="B55" s="3228" t="s">
        <v>3064</v>
      </c>
      <c r="C55" s="3232">
        <v>21970</v>
      </c>
      <c r="D55" s="3232">
        <v>20370</v>
      </c>
      <c r="E55" s="3232">
        <v>20180</v>
      </c>
      <c r="F55" s="3232">
        <v>5730</v>
      </c>
      <c r="G55" s="3232">
        <v>13820</v>
      </c>
      <c r="N55" s="3232" t="s">
        <v>3065</v>
      </c>
    </row>
    <row r="56" spans="1:17" ht="14.25" customHeight="1">
      <c r="A56" s="3232" t="s">
        <v>110</v>
      </c>
      <c r="B56" s="3232" t="s">
        <v>130</v>
      </c>
      <c r="C56" s="3232">
        <v>20470</v>
      </c>
      <c r="D56" s="3232">
        <v>20700</v>
      </c>
      <c r="E56" s="3232">
        <v>20380</v>
      </c>
      <c r="F56" s="3232">
        <v>4760</v>
      </c>
      <c r="G56" s="3232">
        <v>14050</v>
      </c>
      <c r="N56" s="3232" t="s">
        <v>3066</v>
      </c>
    </row>
    <row r="57" spans="1:17" ht="14.25" customHeight="1">
      <c r="A57" s="3232" t="s">
        <v>110</v>
      </c>
      <c r="B57" s="3232" t="s">
        <v>139</v>
      </c>
      <c r="C57" s="3232">
        <v>20790</v>
      </c>
      <c r="D57" s="3232">
        <v>21370</v>
      </c>
      <c r="E57" s="3232">
        <v>20890</v>
      </c>
      <c r="F57" s="3232">
        <v>4910</v>
      </c>
      <c r="G57" s="3232">
        <v>14510</v>
      </c>
      <c r="N57" s="3232" t="s">
        <v>3067</v>
      </c>
    </row>
    <row r="58" spans="1:17" ht="14.25" customHeight="1">
      <c r="A58" s="3232" t="s">
        <v>110</v>
      </c>
      <c r="B58" s="3232" t="s">
        <v>148</v>
      </c>
      <c r="C58" s="3232">
        <v>21460</v>
      </c>
      <c r="D58" s="3232">
        <v>20920</v>
      </c>
      <c r="E58" s="3232">
        <v>23410</v>
      </c>
      <c r="F58" s="3232">
        <v>5100</v>
      </c>
      <c r="G58" s="3232">
        <v>14200</v>
      </c>
      <c r="N58" s="3232" t="s">
        <v>3068</v>
      </c>
    </row>
    <row r="59" spans="1:17" ht="14.25" customHeight="1">
      <c r="A59" s="3232" t="s">
        <v>110</v>
      </c>
      <c r="B59" s="3232" t="s">
        <v>157</v>
      </c>
      <c r="C59" s="3232">
        <v>21000</v>
      </c>
      <c r="D59" s="3232">
        <v>21550</v>
      </c>
      <c r="E59" s="3232">
        <v>21150</v>
      </c>
      <c r="F59" s="3232">
        <v>5250</v>
      </c>
      <c r="G59" s="3232">
        <v>14630</v>
      </c>
      <c r="N59" s="3232" t="s">
        <v>3069</v>
      </c>
    </row>
    <row r="60" spans="1:17" ht="14.25" customHeight="1">
      <c r="A60" s="3232" t="s">
        <v>110</v>
      </c>
      <c r="B60" s="3232" t="s">
        <v>164</v>
      </c>
      <c r="C60" s="3232">
        <v>21640</v>
      </c>
      <c r="D60" s="3232">
        <v>21260</v>
      </c>
      <c r="E60" s="3232">
        <v>24040</v>
      </c>
      <c r="F60" s="3232">
        <v>4470</v>
      </c>
      <c r="G60" s="3232">
        <v>14430</v>
      </c>
      <c r="N60" s="3232" t="s">
        <v>3070</v>
      </c>
    </row>
    <row r="61" spans="1:17" ht="14.25" customHeight="1">
      <c r="A61" s="3232" t="s">
        <v>110</v>
      </c>
      <c r="B61" s="3232" t="s">
        <v>170</v>
      </c>
      <c r="C61" s="3232">
        <v>21330</v>
      </c>
      <c r="D61" s="3232">
        <v>18640</v>
      </c>
      <c r="E61" s="3232">
        <v>21190</v>
      </c>
      <c r="F61" s="3232">
        <v>4180</v>
      </c>
      <c r="G61" s="3232">
        <v>12650</v>
      </c>
      <c r="N61" s="3232" t="s">
        <v>3071</v>
      </c>
    </row>
    <row r="62" spans="1:17" ht="14.25" customHeight="1">
      <c r="A62" s="3232" t="s">
        <v>110</v>
      </c>
      <c r="B62" s="3232" t="s">
        <v>177</v>
      </c>
      <c r="C62" s="3232">
        <v>18710</v>
      </c>
      <c r="D62" s="3232">
        <v>19400</v>
      </c>
      <c r="E62" s="3232">
        <v>23750</v>
      </c>
      <c r="F62" s="3232">
        <v>4860</v>
      </c>
      <c r="G62" s="3232">
        <v>13170</v>
      </c>
      <c r="N62" s="3232" t="s">
        <v>3072</v>
      </c>
    </row>
    <row r="63" spans="1:17" ht="14.25" customHeight="1">
      <c r="A63" s="3232" t="s">
        <v>110</v>
      </c>
      <c r="B63" s="3232" t="s">
        <v>187</v>
      </c>
      <c r="C63" s="3232">
        <v>19480</v>
      </c>
      <c r="D63" s="3232">
        <v>16830</v>
      </c>
      <c r="E63" s="3232">
        <v>21590</v>
      </c>
      <c r="F63" s="3232">
        <v>4560</v>
      </c>
      <c r="G63" s="3232">
        <v>11420</v>
      </c>
      <c r="N63" s="3232" t="s">
        <v>3073</v>
      </c>
    </row>
    <row r="64" spans="1:17" ht="14.25" customHeight="1" thickBot="1">
      <c r="A64" s="3232" t="s">
        <v>110</v>
      </c>
      <c r="B64" s="3232" t="s">
        <v>196</v>
      </c>
      <c r="C64" s="3232">
        <v>16920</v>
      </c>
      <c r="D64" s="3232">
        <v>19190</v>
      </c>
      <c r="E64" s="3232">
        <v>22200</v>
      </c>
      <c r="F64" s="3232">
        <v>4390</v>
      </c>
      <c r="G64" s="3232">
        <v>13030</v>
      </c>
      <c r="N64" s="3239" t="s">
        <v>3074</v>
      </c>
    </row>
    <row r="65" spans="1:7" s="3221" customFormat="1" ht="14.25" customHeight="1">
      <c r="A65" s="3232" t="s">
        <v>110</v>
      </c>
      <c r="B65" s="3232" t="s">
        <v>203</v>
      </c>
      <c r="C65" s="3232">
        <v>19290</v>
      </c>
      <c r="D65" s="3232">
        <v>17020</v>
      </c>
      <c r="E65" s="3232">
        <v>19880</v>
      </c>
      <c r="F65" s="3232">
        <v>4070</v>
      </c>
      <c r="G65" s="3232">
        <v>11550</v>
      </c>
    </row>
    <row r="66" spans="1:7" s="3221" customFormat="1" ht="14.25" customHeight="1">
      <c r="A66" s="3232" t="s">
        <v>110</v>
      </c>
      <c r="B66" s="3232" t="s">
        <v>210</v>
      </c>
      <c r="C66" s="3232">
        <v>17090</v>
      </c>
      <c r="D66" s="3232">
        <v>18340</v>
      </c>
      <c r="E66" s="3232">
        <v>21830</v>
      </c>
      <c r="F66" s="3232">
        <v>4690</v>
      </c>
      <c r="G66" s="3232">
        <v>12450</v>
      </c>
    </row>
    <row r="67" spans="1:7" s="3221" customFormat="1" ht="14.25" customHeight="1">
      <c r="A67" s="3232" t="s">
        <v>110</v>
      </c>
      <c r="B67" s="3232" t="s">
        <v>216</v>
      </c>
      <c r="C67" s="3232">
        <v>18420</v>
      </c>
      <c r="D67" s="3232">
        <v>16360</v>
      </c>
      <c r="E67" s="3232">
        <v>20020</v>
      </c>
      <c r="F67" s="3232">
        <v>5150</v>
      </c>
      <c r="G67" s="3232">
        <v>11110</v>
      </c>
    </row>
    <row r="68" spans="1:7" s="3221" customFormat="1" ht="14.25" customHeight="1">
      <c r="A68" s="3232" t="s">
        <v>110</v>
      </c>
      <c r="B68" s="3232" t="s">
        <v>224</v>
      </c>
      <c r="C68" s="3232">
        <v>16450</v>
      </c>
      <c r="D68" s="3232">
        <v>18430</v>
      </c>
      <c r="E68" s="3232">
        <v>21010</v>
      </c>
      <c r="F68" s="3232">
        <v>4720</v>
      </c>
      <c r="G68" s="3232">
        <v>12510</v>
      </c>
    </row>
    <row r="69" spans="1:7" s="3221" customFormat="1" ht="14.25" customHeight="1">
      <c r="A69" s="3232" t="s">
        <v>110</v>
      </c>
      <c r="B69" s="3232" t="s">
        <v>232</v>
      </c>
      <c r="C69" s="3232">
        <v>18510</v>
      </c>
      <c r="D69" s="3232">
        <v>16300</v>
      </c>
      <c r="E69" s="3232">
        <v>18830</v>
      </c>
      <c r="F69" s="3232">
        <v>5400</v>
      </c>
      <c r="G69" s="3232">
        <v>11070</v>
      </c>
    </row>
    <row r="70" spans="1:7" s="3221" customFormat="1" ht="14.25" customHeight="1">
      <c r="A70" s="3232" t="s">
        <v>110</v>
      </c>
      <c r="B70" s="3232" t="s">
        <v>237</v>
      </c>
      <c r="C70" s="3232">
        <v>16370</v>
      </c>
      <c r="D70" s="3232">
        <v>18620</v>
      </c>
      <c r="E70" s="3232">
        <v>21100</v>
      </c>
      <c r="F70" s="3232">
        <v>5700</v>
      </c>
      <c r="G70" s="3232">
        <v>12640</v>
      </c>
    </row>
    <row r="71" spans="1:7" s="3221" customFormat="1" ht="14.25" customHeight="1">
      <c r="A71" s="3232" t="s">
        <v>110</v>
      </c>
      <c r="B71" s="3232" t="s">
        <v>246</v>
      </c>
      <c r="C71" s="3232">
        <v>18700</v>
      </c>
      <c r="D71" s="3232">
        <v>16290</v>
      </c>
      <c r="E71" s="3232">
        <v>18760</v>
      </c>
      <c r="F71" s="3232">
        <v>4780</v>
      </c>
      <c r="G71" s="3232">
        <v>11050</v>
      </c>
    </row>
    <row r="72" spans="1:7" s="3221" customFormat="1" ht="14.25" customHeight="1">
      <c r="A72" s="3232" t="s">
        <v>110</v>
      </c>
      <c r="B72" s="3232" t="s">
        <v>253</v>
      </c>
      <c r="C72" s="3232">
        <v>16340</v>
      </c>
      <c r="D72" s="3232">
        <v>17520</v>
      </c>
      <c r="E72" s="3232">
        <v>21170</v>
      </c>
      <c r="F72" s="3232"/>
      <c r="G72" s="3232">
        <v>11900</v>
      </c>
    </row>
    <row r="73" spans="1:7" s="3221" customFormat="1" ht="14.25" customHeight="1">
      <c r="A73" s="3232" t="s">
        <v>110</v>
      </c>
      <c r="B73" s="3232" t="s">
        <v>261</v>
      </c>
      <c r="C73" s="3232">
        <v>17610</v>
      </c>
      <c r="D73" s="3232">
        <v>18520</v>
      </c>
      <c r="E73" s="3232">
        <v>18720</v>
      </c>
      <c r="F73" s="3232"/>
      <c r="G73" s="3232">
        <v>12570</v>
      </c>
    </row>
    <row r="74" spans="1:7" s="3221" customFormat="1" ht="14.25" customHeight="1">
      <c r="A74" s="3232" t="s">
        <v>110</v>
      </c>
      <c r="B74" s="3232" t="s">
        <v>268</v>
      </c>
      <c r="C74" s="3232">
        <v>18600</v>
      </c>
      <c r="D74" s="3232">
        <v>16480</v>
      </c>
      <c r="E74" s="3232">
        <v>20100</v>
      </c>
      <c r="F74" s="3232"/>
      <c r="G74" s="3232">
        <v>11190</v>
      </c>
    </row>
    <row r="75" spans="1:7" s="3221" customFormat="1" ht="14.25" customHeight="1">
      <c r="A75" s="3232" t="s">
        <v>110</v>
      </c>
      <c r="B75" s="3232" t="s">
        <v>272</v>
      </c>
      <c r="C75" s="3232">
        <v>16570</v>
      </c>
      <c r="D75" s="3232">
        <v>17530</v>
      </c>
      <c r="E75" s="3232">
        <v>21030</v>
      </c>
      <c r="F75" s="3232"/>
      <c r="G75" s="3232">
        <v>11900</v>
      </c>
    </row>
    <row r="76" spans="1:7" s="3221" customFormat="1" ht="14.25" customHeight="1">
      <c r="A76" s="3232" t="s">
        <v>110</v>
      </c>
      <c r="B76" s="3232" t="s">
        <v>278</v>
      </c>
      <c r="C76" s="3232">
        <v>17610</v>
      </c>
      <c r="D76" s="3232">
        <v>20800</v>
      </c>
      <c r="E76" s="3232">
        <v>18920</v>
      </c>
      <c r="F76" s="3232"/>
      <c r="G76" s="3232">
        <v>14120</v>
      </c>
    </row>
    <row r="77" spans="1:7" s="3221" customFormat="1" ht="14.25" customHeight="1">
      <c r="A77" s="3232" t="s">
        <v>110</v>
      </c>
      <c r="B77" s="3232" t="s">
        <v>281</v>
      </c>
      <c r="C77" s="3232">
        <v>20890</v>
      </c>
      <c r="D77" s="3232">
        <v>19740</v>
      </c>
      <c r="E77" s="3232">
        <v>20110</v>
      </c>
      <c r="F77" s="3232"/>
      <c r="G77" s="3232">
        <v>13400</v>
      </c>
    </row>
    <row r="78" spans="1:7" s="3221" customFormat="1" ht="14.25" customHeight="1">
      <c r="A78" s="3232" t="s">
        <v>110</v>
      </c>
      <c r="B78" s="3232" t="s">
        <v>2945</v>
      </c>
      <c r="C78" s="3232">
        <v>19820</v>
      </c>
      <c r="D78" s="3232">
        <v>19780</v>
      </c>
      <c r="E78" s="3232">
        <v>18560</v>
      </c>
      <c r="F78" s="3232"/>
      <c r="G78" s="3232">
        <v>13430</v>
      </c>
    </row>
    <row r="79" spans="1:7" s="3221" customFormat="1" ht="14.25" customHeight="1">
      <c r="A79" s="3232" t="s">
        <v>110</v>
      </c>
      <c r="B79" s="3232" t="s">
        <v>2948</v>
      </c>
      <c r="C79" s="3232">
        <v>21660</v>
      </c>
      <c r="D79" s="3232">
        <v>18000</v>
      </c>
      <c r="E79" s="3232">
        <v>22570</v>
      </c>
      <c r="F79" s="3232"/>
      <c r="G79" s="3232">
        <v>12220</v>
      </c>
    </row>
    <row r="80" spans="1:7" s="3221" customFormat="1" ht="14.25" customHeight="1">
      <c r="A80" s="3232" t="s">
        <v>110</v>
      </c>
      <c r="B80" s="3232" t="s">
        <v>2952</v>
      </c>
      <c r="C80" s="3232">
        <v>19850</v>
      </c>
      <c r="D80" s="3232"/>
      <c r="E80" s="3232">
        <v>21700</v>
      </c>
      <c r="F80" s="3232"/>
      <c r="G80" s="3232"/>
    </row>
    <row r="81" spans="1:7" s="3221" customFormat="1" ht="14.25" customHeight="1">
      <c r="A81" s="3232" t="s">
        <v>110</v>
      </c>
      <c r="B81" s="3232" t="s">
        <v>2957</v>
      </c>
      <c r="C81" s="3232">
        <v>18080</v>
      </c>
      <c r="D81" s="3232"/>
      <c r="E81" s="3232">
        <v>20900</v>
      </c>
      <c r="F81" s="3232"/>
      <c r="G81" s="3232"/>
    </row>
    <row r="82" spans="1:7" s="3221" customFormat="1" ht="14.25" customHeight="1">
      <c r="A82" s="3232" t="s">
        <v>110</v>
      </c>
      <c r="B82" s="3232" t="s">
        <v>2964</v>
      </c>
      <c r="C82" s="3232"/>
      <c r="D82" s="3232"/>
      <c r="E82" s="3232">
        <v>20840</v>
      </c>
      <c r="F82" s="3232"/>
      <c r="G82" s="3232"/>
    </row>
    <row r="83" spans="1:7" s="3221" customFormat="1" ht="14.25" customHeight="1">
      <c r="A83" s="3232" t="s">
        <v>110</v>
      </c>
      <c r="B83" s="3232" t="s">
        <v>3075</v>
      </c>
      <c r="C83" s="3232"/>
      <c r="D83" s="3232"/>
      <c r="E83" s="3232"/>
      <c r="F83" s="3232">
        <v>4770</v>
      </c>
      <c r="G83" s="3232"/>
    </row>
    <row r="84" spans="1:7" s="3221" customFormat="1" ht="14.25" customHeight="1">
      <c r="A84" s="3232" t="s">
        <v>110</v>
      </c>
      <c r="B84" s="3232" t="s">
        <v>3076</v>
      </c>
      <c r="C84" s="3232"/>
      <c r="D84" s="3232"/>
      <c r="E84" s="3232"/>
      <c r="F84" s="3232">
        <v>4600</v>
      </c>
      <c r="G84" s="3232"/>
    </row>
    <row r="85" spans="1:7" s="3221" customFormat="1" ht="14.25" customHeight="1">
      <c r="A85" s="3232" t="s">
        <v>110</v>
      </c>
      <c r="B85" s="3232" t="s">
        <v>3077</v>
      </c>
      <c r="C85" s="3232"/>
      <c r="D85" s="3232"/>
      <c r="E85" s="3232"/>
      <c r="F85" s="3232">
        <v>4680</v>
      </c>
      <c r="G85" s="3232"/>
    </row>
    <row r="86" spans="1:7" s="3221" customFormat="1" ht="14.25" customHeight="1" thickBot="1">
      <c r="A86" s="3240" t="s">
        <v>110</v>
      </c>
      <c r="B86" s="3242" t="s">
        <v>3078</v>
      </c>
      <c r="C86" s="3243">
        <v>16610</v>
      </c>
      <c r="D86" s="3243">
        <v>16540</v>
      </c>
      <c r="E86" s="3243">
        <v>18850</v>
      </c>
      <c r="F86" s="3243"/>
      <c r="G86" s="3243">
        <v>11220</v>
      </c>
    </row>
    <row r="87" spans="1:7" s="3221" customFormat="1" ht="14.25" customHeight="1">
      <c r="A87" s="3237" t="s">
        <v>303</v>
      </c>
      <c r="B87" s="3228" t="s">
        <v>3079</v>
      </c>
      <c r="C87" s="3228">
        <v>15240</v>
      </c>
      <c r="D87" s="3228">
        <v>15170</v>
      </c>
      <c r="E87" s="3228">
        <v>18260</v>
      </c>
      <c r="F87" s="3228">
        <v>3830</v>
      </c>
      <c r="G87" s="3244">
        <v>10020</v>
      </c>
    </row>
    <row r="88" spans="1:7" s="3221" customFormat="1" ht="14.25" customHeight="1">
      <c r="A88" s="3232" t="s">
        <v>303</v>
      </c>
      <c r="B88" s="3232" t="s">
        <v>131</v>
      </c>
      <c r="C88" s="3232">
        <v>17310</v>
      </c>
      <c r="D88" s="3232">
        <v>17220</v>
      </c>
      <c r="E88" s="3232">
        <v>18610</v>
      </c>
      <c r="F88" s="3232">
        <v>3990</v>
      </c>
      <c r="G88" s="3245">
        <v>11380</v>
      </c>
    </row>
    <row r="89" spans="1:7" s="3221" customFormat="1" ht="14.25" customHeight="1">
      <c r="A89" s="3232" t="s">
        <v>303</v>
      </c>
      <c r="B89" s="3232" t="s">
        <v>140</v>
      </c>
      <c r="C89" s="3232">
        <v>15600</v>
      </c>
      <c r="D89" s="3232">
        <v>15550</v>
      </c>
      <c r="E89" s="3232">
        <v>19200</v>
      </c>
      <c r="F89" s="3232">
        <v>4110</v>
      </c>
      <c r="G89" s="3245">
        <v>10270</v>
      </c>
    </row>
    <row r="90" spans="1:7" s="3221" customFormat="1" ht="14.25" customHeight="1">
      <c r="A90" s="3232" t="s">
        <v>303</v>
      </c>
      <c r="B90" s="3232" t="s">
        <v>149</v>
      </c>
      <c r="C90" s="3232">
        <v>17330</v>
      </c>
      <c r="D90" s="3232">
        <v>17240</v>
      </c>
      <c r="E90" s="3232">
        <v>18570</v>
      </c>
      <c r="F90" s="3232">
        <v>4070</v>
      </c>
      <c r="G90" s="3245">
        <v>11390</v>
      </c>
    </row>
    <row r="91" spans="1:7" s="3221" customFormat="1" ht="14.25" customHeight="1">
      <c r="A91" s="3232" t="s">
        <v>303</v>
      </c>
      <c r="B91" s="3232" t="s">
        <v>158</v>
      </c>
      <c r="C91" s="3232">
        <v>16330</v>
      </c>
      <c r="D91" s="3232">
        <v>16260</v>
      </c>
      <c r="E91" s="3232">
        <v>16800</v>
      </c>
      <c r="F91" s="3232">
        <v>3410</v>
      </c>
      <c r="G91" s="3245">
        <v>10740</v>
      </c>
    </row>
    <row r="92" spans="1:7" s="3221" customFormat="1" ht="14.25" customHeight="1">
      <c r="A92" s="3232" t="s">
        <v>303</v>
      </c>
      <c r="B92" s="3232" t="s">
        <v>165</v>
      </c>
      <c r="C92" s="3232">
        <v>15570</v>
      </c>
      <c r="D92" s="3232">
        <v>15500</v>
      </c>
      <c r="E92" s="3232">
        <v>17360</v>
      </c>
      <c r="F92" s="3232">
        <v>3510</v>
      </c>
      <c r="G92" s="3245">
        <v>10240</v>
      </c>
    </row>
    <row r="93" spans="1:7" s="3221" customFormat="1" ht="14.25" customHeight="1">
      <c r="A93" s="3232" t="s">
        <v>303</v>
      </c>
      <c r="B93" s="3232" t="s">
        <v>171</v>
      </c>
      <c r="C93" s="3232">
        <v>14000</v>
      </c>
      <c r="D93" s="3232">
        <v>13930</v>
      </c>
      <c r="E93" s="3232">
        <v>18200</v>
      </c>
      <c r="F93" s="3232">
        <v>3640</v>
      </c>
      <c r="G93" s="3245">
        <v>9210</v>
      </c>
    </row>
    <row r="94" spans="1:7" s="3221" customFormat="1" ht="14.25" customHeight="1">
      <c r="A94" s="3232" t="s">
        <v>303</v>
      </c>
      <c r="B94" s="3232" t="s">
        <v>178</v>
      </c>
      <c r="C94" s="3232">
        <v>14530</v>
      </c>
      <c r="D94" s="3232">
        <v>14470</v>
      </c>
      <c r="E94" s="3232">
        <v>18240</v>
      </c>
      <c r="F94" s="3232">
        <v>3180</v>
      </c>
      <c r="G94" s="3245">
        <v>9560</v>
      </c>
    </row>
    <row r="95" spans="1:7" s="3221" customFormat="1" ht="14.25" customHeight="1">
      <c r="A95" s="3232" t="s">
        <v>303</v>
      </c>
      <c r="B95" s="3232" t="s">
        <v>188</v>
      </c>
      <c r="C95" s="3232">
        <v>17330</v>
      </c>
      <c r="D95" s="3232">
        <v>17260</v>
      </c>
      <c r="E95" s="3232">
        <v>18420</v>
      </c>
      <c r="F95" s="3232">
        <v>3060</v>
      </c>
      <c r="G95" s="3245">
        <v>11410</v>
      </c>
    </row>
    <row r="96" spans="1:7" s="3221" customFormat="1" ht="14.25" customHeight="1">
      <c r="A96" s="3232" t="s">
        <v>303</v>
      </c>
      <c r="B96" s="3232" t="s">
        <v>197</v>
      </c>
      <c r="C96" s="3232">
        <v>15030</v>
      </c>
      <c r="D96" s="3232">
        <v>14970</v>
      </c>
      <c r="E96" s="3232">
        <v>17580</v>
      </c>
      <c r="F96" s="3232">
        <v>2970</v>
      </c>
      <c r="G96" s="3245">
        <v>9890</v>
      </c>
    </row>
    <row r="97" spans="1:7" s="3221" customFormat="1" ht="14.25" customHeight="1">
      <c r="A97" s="3232" t="s">
        <v>303</v>
      </c>
      <c r="B97" s="3232" t="s">
        <v>204</v>
      </c>
      <c r="C97" s="3232">
        <v>17400</v>
      </c>
      <c r="D97" s="3232">
        <v>17330</v>
      </c>
      <c r="E97" s="3232">
        <v>16430</v>
      </c>
      <c r="F97" s="3232">
        <v>2950</v>
      </c>
      <c r="G97" s="3245">
        <v>11450</v>
      </c>
    </row>
    <row r="98" spans="1:7" s="3221" customFormat="1" ht="14.25" customHeight="1">
      <c r="A98" s="3232" t="s">
        <v>303</v>
      </c>
      <c r="B98" s="3232" t="s">
        <v>211</v>
      </c>
      <c r="C98" s="3232">
        <v>15200</v>
      </c>
      <c r="D98" s="3232">
        <v>15120</v>
      </c>
      <c r="E98" s="3232">
        <v>17550</v>
      </c>
      <c r="F98" s="3232">
        <v>3080</v>
      </c>
      <c r="G98" s="3245">
        <v>9990</v>
      </c>
    </row>
    <row r="99" spans="1:7" s="3221" customFormat="1" ht="14.25" customHeight="1">
      <c r="A99" s="3232" t="s">
        <v>303</v>
      </c>
      <c r="B99" s="3232" t="s">
        <v>217</v>
      </c>
      <c r="C99" s="3232">
        <v>17520</v>
      </c>
      <c r="D99" s="3232">
        <v>17430</v>
      </c>
      <c r="E99" s="3232">
        <v>16350</v>
      </c>
      <c r="F99" s="3232">
        <v>3260</v>
      </c>
      <c r="G99" s="3245">
        <v>11510</v>
      </c>
    </row>
    <row r="100" spans="1:7" s="3221" customFormat="1" ht="14.25" customHeight="1">
      <c r="A100" s="3232" t="s">
        <v>303</v>
      </c>
      <c r="B100" s="3232" t="s">
        <v>225</v>
      </c>
      <c r="C100" s="3232">
        <v>15340</v>
      </c>
      <c r="D100" s="3232">
        <v>15260</v>
      </c>
      <c r="E100" s="3232">
        <v>15930</v>
      </c>
      <c r="F100" s="3232">
        <v>2740</v>
      </c>
      <c r="G100" s="3245">
        <v>10080</v>
      </c>
    </row>
    <row r="101" spans="1:7" s="3221" customFormat="1" ht="14.25" customHeight="1">
      <c r="A101" s="3232" t="s">
        <v>303</v>
      </c>
      <c r="B101" s="3232" t="s">
        <v>233</v>
      </c>
      <c r="C101" s="3232">
        <v>14620</v>
      </c>
      <c r="D101" s="3232">
        <v>14560</v>
      </c>
      <c r="E101" s="3232">
        <v>15570</v>
      </c>
      <c r="F101" s="3232">
        <v>3500</v>
      </c>
      <c r="G101" s="3245">
        <v>9630</v>
      </c>
    </row>
    <row r="102" spans="1:7" s="3221" customFormat="1" ht="14.25" customHeight="1">
      <c r="A102" s="3232" t="s">
        <v>303</v>
      </c>
      <c r="B102" s="3232" t="s">
        <v>238</v>
      </c>
      <c r="C102" s="3232">
        <v>13680</v>
      </c>
      <c r="D102" s="3232">
        <v>13610</v>
      </c>
      <c r="E102" s="3232">
        <v>15690</v>
      </c>
      <c r="F102" s="3232">
        <v>2870</v>
      </c>
      <c r="G102" s="3245">
        <v>8990</v>
      </c>
    </row>
    <row r="103" spans="1:7" s="3221" customFormat="1" ht="14.25" customHeight="1">
      <c r="A103" s="3232" t="s">
        <v>303</v>
      </c>
      <c r="B103" s="3232" t="s">
        <v>247</v>
      </c>
      <c r="C103" s="3232">
        <v>14620</v>
      </c>
      <c r="D103" s="3232">
        <v>14540</v>
      </c>
      <c r="E103" s="3232">
        <v>15240</v>
      </c>
      <c r="F103" s="3232">
        <v>2840</v>
      </c>
      <c r="G103" s="3245">
        <v>9610</v>
      </c>
    </row>
    <row r="104" spans="1:7" s="3221" customFormat="1" ht="14.25" customHeight="1">
      <c r="A104" s="3232" t="s">
        <v>303</v>
      </c>
      <c r="B104" s="3232" t="s">
        <v>254</v>
      </c>
      <c r="C104" s="3232">
        <v>13610</v>
      </c>
      <c r="D104" s="3232">
        <v>13540</v>
      </c>
      <c r="E104" s="3232">
        <v>15750</v>
      </c>
      <c r="F104" s="3232">
        <v>2770</v>
      </c>
      <c r="G104" s="3245">
        <v>8940</v>
      </c>
    </row>
    <row r="105" spans="1:7" s="3221" customFormat="1" ht="14.25" customHeight="1">
      <c r="A105" s="3232" t="s">
        <v>303</v>
      </c>
      <c r="B105" s="3232" t="s">
        <v>262</v>
      </c>
      <c r="C105" s="3232">
        <v>13310</v>
      </c>
      <c r="D105" s="3232">
        <v>13240</v>
      </c>
      <c r="E105" s="3232">
        <v>16280</v>
      </c>
      <c r="F105" s="3232">
        <v>3210</v>
      </c>
      <c r="G105" s="3245">
        <v>8750</v>
      </c>
    </row>
    <row r="106" spans="1:7" s="3221" customFormat="1" ht="14.25" customHeight="1">
      <c r="A106" s="3232" t="s">
        <v>303</v>
      </c>
      <c r="B106" s="3232" t="s">
        <v>269</v>
      </c>
      <c r="C106" s="3232">
        <v>13010</v>
      </c>
      <c r="D106" s="3232">
        <v>12930</v>
      </c>
      <c r="E106" s="3232">
        <v>14960</v>
      </c>
      <c r="F106" s="3232">
        <v>3530</v>
      </c>
      <c r="G106" s="3245">
        <v>8550</v>
      </c>
    </row>
    <row r="107" spans="1:7" s="3221" customFormat="1" ht="14.25" customHeight="1">
      <c r="A107" s="3232" t="s">
        <v>303</v>
      </c>
      <c r="B107" s="3232" t="s">
        <v>273</v>
      </c>
      <c r="C107" s="3232">
        <v>13070</v>
      </c>
      <c r="D107" s="3232">
        <v>13000</v>
      </c>
      <c r="E107" s="3232">
        <v>15910</v>
      </c>
      <c r="F107" s="3232">
        <v>3990</v>
      </c>
      <c r="G107" s="3245">
        <v>8580</v>
      </c>
    </row>
    <row r="108" spans="1:7" s="3221" customFormat="1" ht="14.25" customHeight="1">
      <c r="A108" s="3232" t="s">
        <v>303</v>
      </c>
      <c r="B108" s="3232" t="s">
        <v>279</v>
      </c>
      <c r="C108" s="3232">
        <v>12640</v>
      </c>
      <c r="D108" s="3232">
        <v>12580</v>
      </c>
      <c r="E108" s="3232">
        <v>15730</v>
      </c>
      <c r="F108" s="3232"/>
      <c r="G108" s="3245">
        <v>8310</v>
      </c>
    </row>
    <row r="109" spans="1:7" s="3221" customFormat="1" ht="14.25" customHeight="1">
      <c r="A109" s="3232" t="s">
        <v>303</v>
      </c>
      <c r="B109" s="3232" t="s">
        <v>282</v>
      </c>
      <c r="C109" s="3232">
        <v>13130</v>
      </c>
      <c r="D109" s="3232">
        <v>13070</v>
      </c>
      <c r="E109" s="3232">
        <v>15000</v>
      </c>
      <c r="F109" s="3232"/>
      <c r="G109" s="3245">
        <v>8630</v>
      </c>
    </row>
    <row r="110" spans="1:7" s="3221" customFormat="1" ht="14.25" customHeight="1">
      <c r="A110" s="3232" t="s">
        <v>303</v>
      </c>
      <c r="B110" s="3232" t="s">
        <v>284</v>
      </c>
      <c r="C110" s="3232">
        <v>13560</v>
      </c>
      <c r="D110" s="3232">
        <v>13490</v>
      </c>
      <c r="E110" s="3232">
        <v>16300</v>
      </c>
      <c r="F110" s="3232"/>
      <c r="G110" s="3245">
        <v>8920</v>
      </c>
    </row>
    <row r="111" spans="1:7" s="3221" customFormat="1" ht="14.25" customHeight="1">
      <c r="A111" s="3232" t="s">
        <v>303</v>
      </c>
      <c r="B111" s="3232" t="s">
        <v>287</v>
      </c>
      <c r="C111" s="3232">
        <v>12440</v>
      </c>
      <c r="D111" s="3232">
        <v>12380</v>
      </c>
      <c r="E111" s="3232">
        <v>17850</v>
      </c>
      <c r="F111" s="3232"/>
      <c r="G111" s="3245">
        <v>8180</v>
      </c>
    </row>
    <row r="112" spans="1:7" s="3221" customFormat="1" ht="14.25" customHeight="1">
      <c r="A112" s="3232" t="s">
        <v>303</v>
      </c>
      <c r="B112" s="3232" t="s">
        <v>291</v>
      </c>
      <c r="C112" s="3232">
        <v>13260</v>
      </c>
      <c r="D112" s="3232">
        <v>13180</v>
      </c>
      <c r="E112" s="3232">
        <v>19740</v>
      </c>
      <c r="F112" s="3232"/>
      <c r="G112" s="3245">
        <v>8710</v>
      </c>
    </row>
    <row r="113" spans="1:7" s="3221" customFormat="1" ht="14.25" customHeight="1">
      <c r="A113" s="3232" t="s">
        <v>303</v>
      </c>
      <c r="B113" s="3232" t="s">
        <v>2958</v>
      </c>
      <c r="C113" s="3232">
        <v>15520</v>
      </c>
      <c r="D113" s="3232">
        <v>15450</v>
      </c>
      <c r="E113" s="3232"/>
      <c r="F113" s="3232"/>
      <c r="G113" s="3245">
        <v>10210</v>
      </c>
    </row>
    <row r="114" spans="1:7" s="3221" customFormat="1" ht="14.25" customHeight="1">
      <c r="A114" s="3232" t="s">
        <v>303</v>
      </c>
      <c r="B114" s="3232" t="s">
        <v>2965</v>
      </c>
      <c r="C114" s="3232">
        <v>13110</v>
      </c>
      <c r="D114" s="3232">
        <v>13050</v>
      </c>
      <c r="E114" s="3232"/>
      <c r="F114" s="3232"/>
      <c r="G114" s="3245">
        <v>8620</v>
      </c>
    </row>
    <row r="115" spans="1:7" s="3221" customFormat="1" ht="14.25" customHeight="1">
      <c r="A115" s="3232" t="s">
        <v>303</v>
      </c>
      <c r="B115" s="3232" t="s">
        <v>2971</v>
      </c>
      <c r="C115" s="3232">
        <v>12460</v>
      </c>
      <c r="D115" s="3232">
        <v>12390</v>
      </c>
      <c r="E115" s="3232"/>
      <c r="F115" s="3232"/>
      <c r="G115" s="3245">
        <v>8190</v>
      </c>
    </row>
    <row r="116" spans="1:7" s="3221" customFormat="1" ht="14.25" customHeight="1">
      <c r="A116" s="3232" t="s">
        <v>303</v>
      </c>
      <c r="B116" s="3232" t="s">
        <v>2978</v>
      </c>
      <c r="C116" s="3232">
        <v>13580</v>
      </c>
      <c r="D116" s="3232">
        <v>13520</v>
      </c>
      <c r="E116" s="3232"/>
      <c r="F116" s="3232"/>
      <c r="G116" s="3245">
        <v>8930</v>
      </c>
    </row>
    <row r="117" spans="1:7" s="3221" customFormat="1" ht="14.25" customHeight="1">
      <c r="A117" s="3232" t="s">
        <v>303</v>
      </c>
      <c r="B117" s="3232" t="s">
        <v>2985</v>
      </c>
      <c r="C117" s="3232">
        <v>17120</v>
      </c>
      <c r="D117" s="3232">
        <v>17040</v>
      </c>
      <c r="E117" s="3232"/>
      <c r="F117" s="3232"/>
      <c r="G117" s="3245">
        <v>11260</v>
      </c>
    </row>
    <row r="118" spans="1:7" s="3221" customFormat="1" ht="14.25" customHeight="1">
      <c r="A118" s="3232" t="s">
        <v>303</v>
      </c>
      <c r="B118" s="3232" t="s">
        <v>2990</v>
      </c>
      <c r="C118" s="3232">
        <v>14860</v>
      </c>
      <c r="D118" s="3232">
        <v>14790</v>
      </c>
      <c r="E118" s="3232"/>
      <c r="F118" s="3232"/>
      <c r="G118" s="3245">
        <v>9780</v>
      </c>
    </row>
    <row r="119" spans="1:7" s="3221" customFormat="1" ht="14.25" customHeight="1">
      <c r="A119" s="3232" t="s">
        <v>303</v>
      </c>
      <c r="B119" s="3232" t="s">
        <v>2994</v>
      </c>
      <c r="C119" s="3232">
        <v>16470</v>
      </c>
      <c r="D119" s="3232">
        <v>16400</v>
      </c>
      <c r="E119" s="3232"/>
      <c r="F119" s="3232"/>
      <c r="G119" s="3245">
        <v>10840</v>
      </c>
    </row>
    <row r="120" spans="1:7" s="3221" customFormat="1" ht="14.25" customHeight="1">
      <c r="A120" s="3232" t="s">
        <v>303</v>
      </c>
      <c r="B120" s="3232" t="s">
        <v>3080</v>
      </c>
      <c r="C120" s="3232"/>
      <c r="D120" s="3232"/>
      <c r="E120" s="3232"/>
      <c r="F120" s="3232">
        <v>4160</v>
      </c>
      <c r="G120" s="3245"/>
    </row>
    <row r="121" spans="1:7" s="3221" customFormat="1" ht="14.25" customHeight="1">
      <c r="A121" s="3232" t="s">
        <v>303</v>
      </c>
      <c r="B121" s="3232" t="s">
        <v>3081</v>
      </c>
      <c r="C121" s="3232"/>
      <c r="D121" s="3232"/>
      <c r="E121" s="3232"/>
      <c r="F121" s="3232">
        <v>3880</v>
      </c>
      <c r="G121" s="3245"/>
    </row>
    <row r="122" spans="1:7" s="3221" customFormat="1" ht="14.25" customHeight="1">
      <c r="A122" s="3232" t="s">
        <v>303</v>
      </c>
      <c r="B122" s="3232" t="s">
        <v>3082</v>
      </c>
      <c r="C122" s="3232">
        <v>13750</v>
      </c>
      <c r="D122" s="3232">
        <v>13680</v>
      </c>
      <c r="E122" s="3232">
        <v>16460</v>
      </c>
      <c r="F122" s="3232">
        <v>2880</v>
      </c>
      <c r="G122" s="3245">
        <v>9040</v>
      </c>
    </row>
    <row r="123" spans="1:7" s="3221" customFormat="1" ht="14.25" customHeight="1">
      <c r="A123" s="3232" t="s">
        <v>303</v>
      </c>
      <c r="B123" s="3232" t="s">
        <v>3013</v>
      </c>
      <c r="C123" s="3232">
        <v>13590</v>
      </c>
      <c r="D123" s="3232">
        <v>13520</v>
      </c>
      <c r="E123" s="3232">
        <v>16290</v>
      </c>
      <c r="F123" s="3232">
        <v>2790</v>
      </c>
      <c r="G123" s="3245">
        <v>8930</v>
      </c>
    </row>
    <row r="124" spans="1:7" s="3221" customFormat="1" ht="14.25" customHeight="1">
      <c r="A124" s="3232" t="s">
        <v>303</v>
      </c>
      <c r="B124" s="3232" t="s">
        <v>3018</v>
      </c>
      <c r="C124" s="3232">
        <v>13400</v>
      </c>
      <c r="D124" s="3232">
        <v>13320</v>
      </c>
      <c r="E124" s="3232">
        <v>16100</v>
      </c>
      <c r="F124" s="3232">
        <v>2320</v>
      </c>
      <c r="G124" s="3245">
        <v>8800</v>
      </c>
    </row>
    <row r="125" spans="1:7" s="3221" customFormat="1" ht="14.25" customHeight="1">
      <c r="A125" s="3232" t="s">
        <v>303</v>
      </c>
      <c r="B125" s="3232" t="s">
        <v>3023</v>
      </c>
      <c r="C125" s="3232">
        <v>12860</v>
      </c>
      <c r="D125" s="3232">
        <v>12790</v>
      </c>
      <c r="E125" s="3232">
        <v>15370</v>
      </c>
      <c r="F125" s="3232">
        <v>2280</v>
      </c>
      <c r="G125" s="3245">
        <v>8450</v>
      </c>
    </row>
    <row r="126" spans="1:7" s="3221" customFormat="1" ht="14.25" customHeight="1" thickBot="1">
      <c r="A126" s="3246" t="s">
        <v>303</v>
      </c>
      <c r="B126" s="3239" t="s">
        <v>3028</v>
      </c>
      <c r="C126" s="3239">
        <v>12960</v>
      </c>
      <c r="D126" s="3239">
        <v>12890</v>
      </c>
      <c r="E126" s="3239">
        <v>15530</v>
      </c>
      <c r="F126" s="3239">
        <v>2910</v>
      </c>
      <c r="G126" s="3247">
        <v>8520</v>
      </c>
    </row>
    <row r="127" spans="1:7" s="3221" customFormat="1" ht="14.25" customHeight="1">
      <c r="A127" s="3237" t="s">
        <v>29</v>
      </c>
      <c r="B127" s="3228" t="s">
        <v>3083</v>
      </c>
      <c r="C127" s="3232">
        <v>12280</v>
      </c>
      <c r="D127" s="3232">
        <v>12250</v>
      </c>
      <c r="E127" s="3232">
        <v>15130</v>
      </c>
      <c r="F127" s="3232">
        <v>2710</v>
      </c>
      <c r="G127" s="3232">
        <v>7870</v>
      </c>
    </row>
    <row r="128" spans="1:7" s="3221" customFormat="1" ht="14.25" customHeight="1">
      <c r="A128" s="3232" t="s">
        <v>29</v>
      </c>
      <c r="B128" s="3232" t="s">
        <v>132</v>
      </c>
      <c r="C128" s="3232">
        <v>13180</v>
      </c>
      <c r="D128" s="3232">
        <v>13150</v>
      </c>
      <c r="E128" s="3232">
        <v>16190</v>
      </c>
      <c r="F128" s="3232">
        <v>2820</v>
      </c>
      <c r="G128" s="3232">
        <v>8460</v>
      </c>
    </row>
    <row r="129" spans="1:7" s="3221" customFormat="1" ht="14.25" customHeight="1">
      <c r="A129" s="3232" t="s">
        <v>29</v>
      </c>
      <c r="B129" s="3232" t="s">
        <v>141</v>
      </c>
      <c r="C129" s="3232">
        <v>10950</v>
      </c>
      <c r="D129" s="3232">
        <v>10920</v>
      </c>
      <c r="E129" s="3232">
        <v>13820</v>
      </c>
      <c r="F129" s="3232">
        <v>2500</v>
      </c>
      <c r="G129" s="3232">
        <v>7020</v>
      </c>
    </row>
    <row r="130" spans="1:7" s="3221" customFormat="1" ht="14.25" customHeight="1">
      <c r="A130" s="3232" t="s">
        <v>29</v>
      </c>
      <c r="B130" s="3232" t="s">
        <v>150</v>
      </c>
      <c r="C130" s="3232">
        <v>10910</v>
      </c>
      <c r="D130" s="3232">
        <v>10860</v>
      </c>
      <c r="E130" s="3232">
        <v>13730</v>
      </c>
      <c r="F130" s="3232">
        <v>2760</v>
      </c>
      <c r="G130" s="3232">
        <v>6990</v>
      </c>
    </row>
    <row r="131" spans="1:7" s="3221" customFormat="1" ht="14.25" customHeight="1">
      <c r="A131" s="3232" t="s">
        <v>29</v>
      </c>
      <c r="B131" s="3232" t="s">
        <v>159</v>
      </c>
      <c r="C131" s="3232">
        <v>12910</v>
      </c>
      <c r="D131" s="3232">
        <v>12870</v>
      </c>
      <c r="E131" s="3232">
        <v>15720</v>
      </c>
      <c r="F131" s="3232">
        <v>2750</v>
      </c>
      <c r="G131" s="3232">
        <v>8280</v>
      </c>
    </row>
    <row r="132" spans="1:7" s="3221" customFormat="1" ht="14.25" customHeight="1">
      <c r="A132" s="3232" t="s">
        <v>29</v>
      </c>
      <c r="B132" s="3232" t="s">
        <v>166</v>
      </c>
      <c r="C132" s="3232">
        <v>11910</v>
      </c>
      <c r="D132" s="3232">
        <v>11860</v>
      </c>
      <c r="E132" s="3232">
        <v>14730</v>
      </c>
      <c r="F132" s="3232">
        <v>2360</v>
      </c>
      <c r="G132" s="3232">
        <v>7630</v>
      </c>
    </row>
    <row r="133" spans="1:7" s="3221" customFormat="1" ht="14.25" customHeight="1">
      <c r="A133" s="3232" t="s">
        <v>29</v>
      </c>
      <c r="B133" s="3232" t="s">
        <v>172</v>
      </c>
      <c r="C133" s="3232">
        <v>12270</v>
      </c>
      <c r="D133" s="3232">
        <v>12210</v>
      </c>
      <c r="E133" s="3232">
        <v>15010</v>
      </c>
      <c r="F133" s="3232">
        <v>2580</v>
      </c>
      <c r="G133" s="3232">
        <v>7860</v>
      </c>
    </row>
    <row r="134" spans="1:7" s="3221" customFormat="1" ht="14.25" customHeight="1">
      <c r="A134" s="3232" t="s">
        <v>29</v>
      </c>
      <c r="B134" s="3232" t="s">
        <v>179</v>
      </c>
      <c r="C134" s="3232">
        <v>10800</v>
      </c>
      <c r="D134" s="3232">
        <v>10780</v>
      </c>
      <c r="E134" s="3232">
        <v>13640</v>
      </c>
      <c r="F134" s="3232">
        <v>2110</v>
      </c>
      <c r="G134" s="3232">
        <v>6930</v>
      </c>
    </row>
    <row r="135" spans="1:7" s="3221" customFormat="1" ht="14.25" customHeight="1">
      <c r="A135" s="3232" t="s">
        <v>29</v>
      </c>
      <c r="B135" s="3232" t="s">
        <v>189</v>
      </c>
      <c r="C135" s="3232">
        <v>10430</v>
      </c>
      <c r="D135" s="3232">
        <v>10390</v>
      </c>
      <c r="E135" s="3232">
        <v>13140</v>
      </c>
      <c r="F135" s="3232">
        <v>2240</v>
      </c>
      <c r="G135" s="3232">
        <v>6680</v>
      </c>
    </row>
    <row r="136" spans="1:7" s="3221" customFormat="1" ht="14.25" customHeight="1">
      <c r="A136" s="3232" t="s">
        <v>29</v>
      </c>
      <c r="B136" s="3232" t="s">
        <v>198</v>
      </c>
      <c r="C136" s="3232">
        <v>11930</v>
      </c>
      <c r="D136" s="3232">
        <v>11880</v>
      </c>
      <c r="E136" s="3232">
        <v>14770</v>
      </c>
      <c r="F136" s="3232">
        <v>1970</v>
      </c>
      <c r="G136" s="3232">
        <v>7640</v>
      </c>
    </row>
    <row r="137" spans="1:7" s="3221" customFormat="1" ht="14.25" customHeight="1">
      <c r="A137" s="3232" t="s">
        <v>29</v>
      </c>
      <c r="B137" s="3232" t="s">
        <v>205</v>
      </c>
      <c r="C137" s="3232">
        <v>10470</v>
      </c>
      <c r="D137" s="3232">
        <v>10430</v>
      </c>
      <c r="E137" s="3232">
        <v>13190</v>
      </c>
      <c r="F137" s="3232">
        <v>1990</v>
      </c>
      <c r="G137" s="3232">
        <v>6710</v>
      </c>
    </row>
    <row r="138" spans="1:7" s="3221" customFormat="1" ht="14.25" customHeight="1">
      <c r="A138" s="3232" t="s">
        <v>29</v>
      </c>
      <c r="B138" s="3232" t="s">
        <v>212</v>
      </c>
      <c r="C138" s="3232">
        <v>10410</v>
      </c>
      <c r="D138" s="3232">
        <v>10380</v>
      </c>
      <c r="E138" s="3232">
        <v>13130</v>
      </c>
      <c r="F138" s="3232">
        <v>2030</v>
      </c>
      <c r="G138" s="3232">
        <v>6680</v>
      </c>
    </row>
    <row r="139" spans="1:7" s="3221" customFormat="1" ht="14.25" customHeight="1">
      <c r="A139" s="3232" t="s">
        <v>29</v>
      </c>
      <c r="B139" s="3232" t="s">
        <v>218</v>
      </c>
      <c r="C139" s="3232">
        <v>9460</v>
      </c>
      <c r="D139" s="3232">
        <v>9410</v>
      </c>
      <c r="E139" s="3232">
        <v>12050</v>
      </c>
      <c r="F139" s="3232">
        <v>2140</v>
      </c>
      <c r="G139" s="3232">
        <v>6050</v>
      </c>
    </row>
    <row r="140" spans="1:7" s="3221" customFormat="1" ht="14.25" customHeight="1">
      <c r="A140" s="3232" t="s">
        <v>29</v>
      </c>
      <c r="B140" s="3232" t="s">
        <v>226</v>
      </c>
      <c r="C140" s="3232">
        <v>11030</v>
      </c>
      <c r="D140" s="3232">
        <v>10980</v>
      </c>
      <c r="E140" s="3232">
        <v>13880</v>
      </c>
      <c r="F140" s="3232">
        <v>2210</v>
      </c>
      <c r="G140" s="3232">
        <v>7060</v>
      </c>
    </row>
    <row r="141" spans="1:7" s="3221" customFormat="1" ht="14.25" customHeight="1">
      <c r="A141" s="3232" t="s">
        <v>29</v>
      </c>
      <c r="B141" s="3232" t="s">
        <v>234</v>
      </c>
      <c r="C141" s="3232">
        <v>11200</v>
      </c>
      <c r="D141" s="3232">
        <v>11150</v>
      </c>
      <c r="E141" s="3232">
        <v>14100</v>
      </c>
      <c r="F141" s="3232">
        <v>2470</v>
      </c>
      <c r="G141" s="3232">
        <v>7170</v>
      </c>
    </row>
    <row r="142" spans="1:7" s="3221" customFormat="1" ht="14.25" customHeight="1">
      <c r="A142" s="3232" t="s">
        <v>29</v>
      </c>
      <c r="B142" s="3232" t="s">
        <v>239</v>
      </c>
      <c r="C142" s="3232">
        <v>10780</v>
      </c>
      <c r="D142" s="3232">
        <v>10730</v>
      </c>
      <c r="E142" s="3232">
        <v>13540</v>
      </c>
      <c r="F142" s="3232">
        <v>2280</v>
      </c>
      <c r="G142" s="3232">
        <v>6900</v>
      </c>
    </row>
    <row r="143" spans="1:7" s="3221" customFormat="1" ht="14.25" customHeight="1">
      <c r="A143" s="3232" t="s">
        <v>29</v>
      </c>
      <c r="B143" s="3232" t="s">
        <v>248</v>
      </c>
      <c r="C143" s="3232">
        <v>11550</v>
      </c>
      <c r="D143" s="3232">
        <v>11490</v>
      </c>
      <c r="E143" s="3232">
        <v>14480</v>
      </c>
      <c r="F143" s="3232">
        <v>2070</v>
      </c>
      <c r="G143" s="3232">
        <v>7390</v>
      </c>
    </row>
    <row r="144" spans="1:7" s="3221" customFormat="1" ht="14.25" customHeight="1">
      <c r="A144" s="3232" t="s">
        <v>29</v>
      </c>
      <c r="B144" s="3232" t="s">
        <v>255</v>
      </c>
      <c r="C144" s="3232">
        <v>10720</v>
      </c>
      <c r="D144" s="3232">
        <v>10680</v>
      </c>
      <c r="E144" s="3232">
        <v>13480</v>
      </c>
      <c r="F144" s="3232">
        <v>2440</v>
      </c>
      <c r="G144" s="3232">
        <v>6870</v>
      </c>
    </row>
    <row r="145" spans="1:7" s="3221" customFormat="1" ht="14.25" customHeight="1">
      <c r="A145" s="3232" t="s">
        <v>29</v>
      </c>
      <c r="B145" s="3232" t="s">
        <v>263</v>
      </c>
      <c r="C145" s="3232">
        <v>10340</v>
      </c>
      <c r="D145" s="3232">
        <v>10290</v>
      </c>
      <c r="E145" s="3232">
        <v>12880</v>
      </c>
      <c r="F145" s="3232">
        <v>2650</v>
      </c>
      <c r="G145" s="3232">
        <v>6620</v>
      </c>
    </row>
    <row r="146" spans="1:7" s="3221" customFormat="1" ht="14.25" customHeight="1">
      <c r="A146" s="3232" t="s">
        <v>29</v>
      </c>
      <c r="B146" s="3232" t="s">
        <v>270</v>
      </c>
      <c r="C146" s="3232">
        <v>11890</v>
      </c>
      <c r="D146" s="3232">
        <v>11830</v>
      </c>
      <c r="E146" s="3232">
        <v>14670</v>
      </c>
      <c r="F146" s="3232"/>
      <c r="G146" s="3232">
        <v>7610</v>
      </c>
    </row>
    <row r="147" spans="1:7" s="3221" customFormat="1" ht="14.25" customHeight="1">
      <c r="A147" s="3232" t="s">
        <v>29</v>
      </c>
      <c r="B147" s="3232" t="s">
        <v>274</v>
      </c>
      <c r="C147" s="3232">
        <v>12650</v>
      </c>
      <c r="D147" s="3232">
        <v>12600</v>
      </c>
      <c r="E147" s="3232">
        <v>15440</v>
      </c>
      <c r="F147" s="3232"/>
      <c r="G147" s="3232">
        <v>8110</v>
      </c>
    </row>
    <row r="148" spans="1:7" s="3221" customFormat="1" ht="14.25" customHeight="1">
      <c r="A148" s="3232" t="s">
        <v>29</v>
      </c>
      <c r="B148" s="3232" t="s">
        <v>3084</v>
      </c>
      <c r="C148" s="3232">
        <v>10370</v>
      </c>
      <c r="D148" s="3232">
        <v>10310</v>
      </c>
      <c r="E148" s="3232">
        <v>12970</v>
      </c>
      <c r="F148" s="3232"/>
      <c r="G148" s="3232">
        <v>6630</v>
      </c>
    </row>
    <row r="149" spans="1:7" s="3221" customFormat="1" ht="14.25" customHeight="1">
      <c r="A149" s="3232" t="s">
        <v>29</v>
      </c>
      <c r="B149" s="3232" t="s">
        <v>3085</v>
      </c>
      <c r="C149" s="3232">
        <v>11600</v>
      </c>
      <c r="D149" s="3232">
        <v>11560</v>
      </c>
      <c r="E149" s="3232">
        <v>14540</v>
      </c>
      <c r="F149" s="3232">
        <v>2390</v>
      </c>
      <c r="G149" s="3232">
        <v>7430</v>
      </c>
    </row>
    <row r="150" spans="1:7" s="3221" customFormat="1" ht="14.25" customHeight="1">
      <c r="A150" s="3232" t="s">
        <v>29</v>
      </c>
      <c r="B150" s="3232" t="s">
        <v>292</v>
      </c>
      <c r="C150" s="3232">
        <v>9950</v>
      </c>
      <c r="D150" s="3232">
        <v>9890</v>
      </c>
      <c r="E150" s="3232">
        <v>12590</v>
      </c>
      <c r="F150" s="3232">
        <v>1970</v>
      </c>
      <c r="G150" s="3232">
        <v>6360</v>
      </c>
    </row>
    <row r="151" spans="1:7" s="3221" customFormat="1" ht="14.25" customHeight="1">
      <c r="A151" s="3232" t="s">
        <v>29</v>
      </c>
      <c r="B151" s="3232" t="s">
        <v>294</v>
      </c>
      <c r="C151" s="3232">
        <v>10700</v>
      </c>
      <c r="D151" s="3232">
        <v>10650</v>
      </c>
      <c r="E151" s="3232">
        <v>13420</v>
      </c>
      <c r="F151" s="3232">
        <v>2020</v>
      </c>
      <c r="G151" s="3232">
        <v>6850</v>
      </c>
    </row>
    <row r="152" spans="1:7" s="3221" customFormat="1" ht="14.25" customHeight="1">
      <c r="A152" s="3232" t="s">
        <v>29</v>
      </c>
      <c r="B152" s="3232" t="s">
        <v>297</v>
      </c>
      <c r="C152" s="3232">
        <v>10310</v>
      </c>
      <c r="D152" s="3232">
        <v>10260</v>
      </c>
      <c r="E152" s="3232">
        <v>12820</v>
      </c>
      <c r="F152" s="3232">
        <v>1980</v>
      </c>
      <c r="G152" s="3232">
        <v>6600</v>
      </c>
    </row>
    <row r="153" spans="1:7" s="3221" customFormat="1" ht="14.25" customHeight="1">
      <c r="A153" s="3232" t="s">
        <v>29</v>
      </c>
      <c r="B153" s="3232" t="s">
        <v>2959</v>
      </c>
      <c r="C153" s="3232">
        <v>10880</v>
      </c>
      <c r="D153" s="3232">
        <v>10820</v>
      </c>
      <c r="E153" s="3232">
        <v>13660</v>
      </c>
      <c r="F153" s="3232">
        <v>2260</v>
      </c>
      <c r="G153" s="3232">
        <v>6970</v>
      </c>
    </row>
    <row r="154" spans="1:7" s="3221" customFormat="1" ht="14.25" customHeight="1">
      <c r="A154" s="3232" t="s">
        <v>29</v>
      </c>
      <c r="B154" s="3232" t="s">
        <v>3086</v>
      </c>
      <c r="C154" s="3232">
        <v>11220</v>
      </c>
      <c r="D154" s="3232">
        <v>11160</v>
      </c>
      <c r="E154" s="3232">
        <v>14130</v>
      </c>
      <c r="F154" s="3232">
        <v>2230</v>
      </c>
      <c r="G154" s="3232">
        <v>7180</v>
      </c>
    </row>
    <row r="155" spans="1:7" s="3221" customFormat="1" ht="14.25" customHeight="1">
      <c r="A155" s="3232" t="s">
        <v>29</v>
      </c>
      <c r="B155" s="3232" t="s">
        <v>2972</v>
      </c>
      <c r="C155" s="3232">
        <v>10430</v>
      </c>
      <c r="D155" s="3232">
        <v>10380</v>
      </c>
      <c r="E155" s="3232">
        <v>13140</v>
      </c>
      <c r="F155" s="3232">
        <v>2080</v>
      </c>
      <c r="G155" s="3232">
        <v>6650</v>
      </c>
    </row>
    <row r="156" spans="1:7" s="3221" customFormat="1" ht="14.25" customHeight="1">
      <c r="A156" s="3232" t="s">
        <v>29</v>
      </c>
      <c r="B156" s="3232" t="s">
        <v>3087</v>
      </c>
      <c r="C156" s="3232">
        <v>10440</v>
      </c>
      <c r="D156" s="3232">
        <v>10400</v>
      </c>
      <c r="E156" s="3232">
        <v>13150</v>
      </c>
      <c r="F156" s="3232">
        <v>2490</v>
      </c>
      <c r="G156" s="3232">
        <v>6690</v>
      </c>
    </row>
    <row r="157" spans="1:7" s="3221" customFormat="1" ht="14.25" customHeight="1">
      <c r="A157" s="3232" t="s">
        <v>29</v>
      </c>
      <c r="B157" s="3232" t="s">
        <v>300</v>
      </c>
      <c r="C157" s="3232">
        <v>10970</v>
      </c>
      <c r="D157" s="3232">
        <v>10920</v>
      </c>
      <c r="E157" s="3232">
        <v>13840</v>
      </c>
      <c r="F157" s="3232">
        <v>2420</v>
      </c>
      <c r="G157" s="3232">
        <v>7020</v>
      </c>
    </row>
    <row r="158" spans="1:7" s="3221" customFormat="1" ht="14.25" customHeight="1">
      <c r="A158" s="3232" t="s">
        <v>29</v>
      </c>
      <c r="B158" s="3232" t="s">
        <v>301</v>
      </c>
      <c r="C158" s="3232">
        <v>9590</v>
      </c>
      <c r="D158" s="3232">
        <v>9540</v>
      </c>
      <c r="E158" s="3232">
        <v>12210</v>
      </c>
      <c r="F158" s="3232">
        <v>2100</v>
      </c>
      <c r="G158" s="3232">
        <v>6130</v>
      </c>
    </row>
    <row r="159" spans="1:7" s="3221" customFormat="1" ht="14.25" customHeight="1">
      <c r="A159" s="3232" t="s">
        <v>29</v>
      </c>
      <c r="B159" s="3232" t="s">
        <v>302</v>
      </c>
      <c r="C159" s="3232">
        <v>11190</v>
      </c>
      <c r="D159" s="3232">
        <v>11140</v>
      </c>
      <c r="E159" s="3232">
        <v>14090</v>
      </c>
      <c r="F159" s="3232">
        <v>2470</v>
      </c>
      <c r="G159" s="3232">
        <v>7170</v>
      </c>
    </row>
    <row r="160" spans="1:7" s="3221" customFormat="1" ht="14.25" customHeight="1">
      <c r="A160" s="3232" t="s">
        <v>29</v>
      </c>
      <c r="B160" s="3232" t="s">
        <v>3088</v>
      </c>
      <c r="C160" s="3232">
        <v>11180</v>
      </c>
      <c r="D160" s="3232">
        <v>11140</v>
      </c>
      <c r="E160" s="3232">
        <v>14050</v>
      </c>
      <c r="F160" s="3232">
        <v>2270</v>
      </c>
      <c r="G160" s="3232">
        <v>7170</v>
      </c>
    </row>
    <row r="161" spans="1:7" s="3221" customFormat="1" ht="14.25" customHeight="1">
      <c r="A161" s="3232" t="s">
        <v>29</v>
      </c>
      <c r="B161" s="3232" t="s">
        <v>3004</v>
      </c>
      <c r="C161" s="3232">
        <v>11160</v>
      </c>
      <c r="D161" s="3232">
        <v>11120</v>
      </c>
      <c r="E161" s="3232">
        <v>14020</v>
      </c>
      <c r="F161" s="3232">
        <v>2150</v>
      </c>
      <c r="G161" s="3232">
        <v>7160</v>
      </c>
    </row>
    <row r="162" spans="1:7" s="3221" customFormat="1" ht="14.25" customHeight="1">
      <c r="A162" s="3232" t="s">
        <v>29</v>
      </c>
      <c r="B162" s="3232" t="s">
        <v>3009</v>
      </c>
      <c r="C162" s="3232">
        <v>9620</v>
      </c>
      <c r="D162" s="3232">
        <v>9570</v>
      </c>
      <c r="E162" s="3232">
        <v>12320</v>
      </c>
      <c r="F162" s="3232">
        <v>2010</v>
      </c>
      <c r="G162" s="3232">
        <v>6160</v>
      </c>
    </row>
    <row r="163" spans="1:7" s="3221" customFormat="1" ht="14.25" customHeight="1">
      <c r="A163" s="3232" t="s">
        <v>29</v>
      </c>
      <c r="B163" s="3232" t="s">
        <v>3014</v>
      </c>
      <c r="C163" s="3232">
        <v>9320</v>
      </c>
      <c r="D163" s="3232">
        <v>9270</v>
      </c>
      <c r="E163" s="3232">
        <v>11790</v>
      </c>
      <c r="F163" s="3232">
        <v>1920</v>
      </c>
      <c r="G163" s="3232">
        <v>5960</v>
      </c>
    </row>
    <row r="164" spans="1:7" s="3221" customFormat="1" ht="14.25" customHeight="1">
      <c r="A164" s="3232" t="s">
        <v>29</v>
      </c>
      <c r="B164" s="3232" t="s">
        <v>3019</v>
      </c>
      <c r="C164" s="3232"/>
      <c r="D164" s="3232"/>
      <c r="E164" s="3232"/>
      <c r="F164" s="3232">
        <v>1980</v>
      </c>
      <c r="G164" s="3232"/>
    </row>
    <row r="165" spans="1:7" s="3221" customFormat="1" ht="14.25" customHeight="1">
      <c r="A165" s="3232" t="s">
        <v>29</v>
      </c>
      <c r="B165" s="3232" t="s">
        <v>3089</v>
      </c>
      <c r="C165" s="3232">
        <v>11060</v>
      </c>
      <c r="D165" s="3232">
        <v>11030</v>
      </c>
      <c r="E165" s="3232">
        <v>13850</v>
      </c>
      <c r="F165" s="3232">
        <v>2170</v>
      </c>
      <c r="G165" s="3232">
        <v>7090</v>
      </c>
    </row>
    <row r="166" spans="1:7" s="3221" customFormat="1" ht="14.25" customHeight="1">
      <c r="A166" s="3232" t="s">
        <v>29</v>
      </c>
      <c r="B166" s="3232" t="s">
        <v>3029</v>
      </c>
      <c r="C166" s="3232">
        <v>11050</v>
      </c>
      <c r="D166" s="3232">
        <v>11010</v>
      </c>
      <c r="E166" s="3232">
        <v>13920</v>
      </c>
      <c r="F166" s="3232">
        <v>2140</v>
      </c>
      <c r="G166" s="3232">
        <v>7080</v>
      </c>
    </row>
    <row r="167" spans="1:7" s="3221" customFormat="1" ht="14.25" customHeight="1">
      <c r="A167" s="3232" t="s">
        <v>29</v>
      </c>
      <c r="B167" s="3232" t="s">
        <v>3033</v>
      </c>
      <c r="C167" s="3232">
        <v>10930</v>
      </c>
      <c r="D167" s="3232">
        <v>10890</v>
      </c>
      <c r="E167" s="3232">
        <v>13790</v>
      </c>
      <c r="F167" s="3232">
        <v>2010</v>
      </c>
      <c r="G167" s="3232">
        <v>7000</v>
      </c>
    </row>
    <row r="168" spans="1:7" s="3221" customFormat="1" ht="14.25" customHeight="1">
      <c r="A168" s="3232" t="s">
        <v>29</v>
      </c>
      <c r="B168" s="3232" t="s">
        <v>3038</v>
      </c>
      <c r="C168" s="3232">
        <v>9420</v>
      </c>
      <c r="D168" s="3232">
        <v>9380</v>
      </c>
      <c r="E168" s="3232">
        <v>11970</v>
      </c>
      <c r="F168" s="3232"/>
      <c r="G168" s="3232">
        <v>6040</v>
      </c>
    </row>
    <row r="169" spans="1:7" s="3221" customFormat="1" ht="14.25" customHeight="1">
      <c r="A169" s="3232" t="s">
        <v>29</v>
      </c>
      <c r="B169" s="3232" t="s">
        <v>3090</v>
      </c>
      <c r="C169" s="3232"/>
      <c r="D169" s="3232"/>
      <c r="E169" s="3232"/>
      <c r="F169" s="3232">
        <v>2880</v>
      </c>
      <c r="G169" s="3232"/>
    </row>
    <row r="170" spans="1:7" s="3221" customFormat="1" ht="14.25" customHeight="1">
      <c r="A170" s="3232" t="s">
        <v>29</v>
      </c>
      <c r="B170" s="3232" t="s">
        <v>3046</v>
      </c>
      <c r="C170" s="3232"/>
      <c r="D170" s="3232"/>
      <c r="E170" s="3232"/>
      <c r="F170" s="3232">
        <v>2880</v>
      </c>
      <c r="G170" s="3232"/>
    </row>
    <row r="171" spans="1:7" s="3221" customFormat="1" ht="14.25" customHeight="1">
      <c r="A171" s="3232" t="s">
        <v>29</v>
      </c>
      <c r="B171" s="3232" t="s">
        <v>3049</v>
      </c>
      <c r="C171" s="3232"/>
      <c r="D171" s="3232"/>
      <c r="E171" s="3232"/>
      <c r="F171" s="3232">
        <v>2880</v>
      </c>
      <c r="G171" s="3232"/>
    </row>
    <row r="172" spans="1:7" s="3221" customFormat="1" ht="14.25" customHeight="1">
      <c r="A172" s="3232" t="s">
        <v>29</v>
      </c>
      <c r="B172" s="3232" t="s">
        <v>3051</v>
      </c>
      <c r="C172" s="3232"/>
      <c r="D172" s="3232"/>
      <c r="E172" s="3232"/>
      <c r="F172" s="3232">
        <v>2880</v>
      </c>
      <c r="G172" s="3232"/>
    </row>
    <row r="173" spans="1:7" s="3221" customFormat="1" ht="14.25" customHeight="1">
      <c r="A173" s="3232" t="s">
        <v>29</v>
      </c>
      <c r="B173" s="3232" t="s">
        <v>3053</v>
      </c>
      <c r="C173" s="3232"/>
      <c r="D173" s="3232"/>
      <c r="E173" s="3232"/>
      <c r="F173" s="3232">
        <v>2150</v>
      </c>
      <c r="G173" s="3232"/>
    </row>
    <row r="174" spans="1:7" s="3221" customFormat="1" ht="14.25" customHeight="1">
      <c r="A174" s="3232" t="s">
        <v>29</v>
      </c>
      <c r="B174" s="3232" t="s">
        <v>3055</v>
      </c>
      <c r="C174" s="3232"/>
      <c r="D174" s="3232"/>
      <c r="E174" s="3232"/>
      <c r="F174" s="3232">
        <v>2030</v>
      </c>
      <c r="G174" s="3232"/>
    </row>
    <row r="175" spans="1:7" s="3221" customFormat="1" ht="14.25" customHeight="1">
      <c r="A175" s="3232" t="s">
        <v>29</v>
      </c>
      <c r="B175" s="3232" t="s">
        <v>3057</v>
      </c>
      <c r="C175" s="3232"/>
      <c r="D175" s="3232"/>
      <c r="E175" s="3232"/>
      <c r="F175" s="3232">
        <v>2780</v>
      </c>
      <c r="G175" s="3232"/>
    </row>
    <row r="176" spans="1:7" s="3221" customFormat="1" ht="14.25" customHeight="1">
      <c r="A176" s="3232" t="s">
        <v>29</v>
      </c>
      <c r="B176" s="3232" t="s">
        <v>3059</v>
      </c>
      <c r="C176" s="3232"/>
      <c r="D176" s="3232"/>
      <c r="E176" s="3232"/>
      <c r="F176" s="3232">
        <v>2780</v>
      </c>
      <c r="G176" s="3232"/>
    </row>
    <row r="177" spans="1:7" s="3221" customFormat="1" ht="14.25" customHeight="1">
      <c r="A177" s="3232" t="s">
        <v>29</v>
      </c>
      <c r="B177" s="3232" t="s">
        <v>3091</v>
      </c>
      <c r="C177" s="3232"/>
      <c r="D177" s="3232"/>
      <c r="E177" s="3232"/>
      <c r="F177" s="3232">
        <v>2780</v>
      </c>
      <c r="G177" s="3232"/>
    </row>
    <row r="178" spans="1:7" s="3221" customFormat="1" ht="14.25" customHeight="1">
      <c r="A178" s="3232" t="s">
        <v>29</v>
      </c>
      <c r="B178" s="3232" t="s">
        <v>3092</v>
      </c>
      <c r="C178" s="3232"/>
      <c r="D178" s="3232"/>
      <c r="E178" s="3232"/>
      <c r="F178" s="3232">
        <v>2060</v>
      </c>
      <c r="G178" s="3232"/>
    </row>
    <row r="179" spans="1:7" s="3221" customFormat="1" ht="14.25" customHeight="1">
      <c r="A179" s="3232" t="s">
        <v>29</v>
      </c>
      <c r="B179" s="3232" t="s">
        <v>3093</v>
      </c>
      <c r="C179" s="3232"/>
      <c r="D179" s="3232"/>
      <c r="E179" s="3232"/>
      <c r="F179" s="3232">
        <v>2120</v>
      </c>
      <c r="G179" s="3232"/>
    </row>
    <row r="180" spans="1:7" s="3221" customFormat="1" ht="14.25" customHeight="1">
      <c r="A180" s="3232" t="s">
        <v>29</v>
      </c>
      <c r="B180" s="3232" t="s">
        <v>3065</v>
      </c>
      <c r="C180" s="3232"/>
      <c r="D180" s="3232"/>
      <c r="E180" s="3232"/>
      <c r="F180" s="3232">
        <v>2340</v>
      </c>
      <c r="G180" s="3232"/>
    </row>
    <row r="181" spans="1:7" s="3221" customFormat="1" ht="14.25" customHeight="1">
      <c r="A181" s="3232" t="s">
        <v>29</v>
      </c>
      <c r="B181" s="3232" t="s">
        <v>3066</v>
      </c>
      <c r="C181" s="3232"/>
      <c r="D181" s="3232"/>
      <c r="E181" s="3232"/>
      <c r="F181" s="3232">
        <v>2340</v>
      </c>
      <c r="G181" s="3232"/>
    </row>
    <row r="182" spans="1:7" s="3221" customFormat="1" ht="14.25" customHeight="1">
      <c r="A182" s="3232" t="s">
        <v>29</v>
      </c>
      <c r="B182" s="3232" t="s">
        <v>3067</v>
      </c>
      <c r="C182" s="3232"/>
      <c r="D182" s="3232"/>
      <c r="E182" s="3232"/>
      <c r="F182" s="3232">
        <v>2340</v>
      </c>
      <c r="G182" s="3232"/>
    </row>
    <row r="183" spans="1:7" s="3221" customFormat="1" ht="14.25" customHeight="1">
      <c r="A183" s="3232" t="s">
        <v>29</v>
      </c>
      <c r="B183" s="3232" t="s">
        <v>3068</v>
      </c>
      <c r="C183" s="3232"/>
      <c r="D183" s="3232"/>
      <c r="E183" s="3232"/>
      <c r="F183" s="3232">
        <v>2340</v>
      </c>
      <c r="G183" s="3232"/>
    </row>
    <row r="184" spans="1:7" s="3221" customFormat="1" ht="14.25" customHeight="1">
      <c r="A184" s="3232" t="s">
        <v>29</v>
      </c>
      <c r="B184" s="3232" t="s">
        <v>3069</v>
      </c>
      <c r="C184" s="3232"/>
      <c r="D184" s="3232"/>
      <c r="E184" s="3232"/>
      <c r="F184" s="3232">
        <v>2340</v>
      </c>
      <c r="G184" s="3232"/>
    </row>
    <row r="185" spans="1:7" s="3221" customFormat="1" ht="14.25" customHeight="1">
      <c r="A185" s="3232" t="s">
        <v>29</v>
      </c>
      <c r="B185" s="3232" t="s">
        <v>3070</v>
      </c>
      <c r="C185" s="3232"/>
      <c r="D185" s="3232"/>
      <c r="E185" s="3232"/>
      <c r="F185" s="3232">
        <v>2530</v>
      </c>
      <c r="G185" s="3232"/>
    </row>
    <row r="186" spans="1:7" s="3221" customFormat="1" ht="14.25" customHeight="1">
      <c r="A186" s="3232" t="s">
        <v>29</v>
      </c>
      <c r="B186" s="3232" t="s">
        <v>3071</v>
      </c>
      <c r="C186" s="3232"/>
      <c r="D186" s="3232"/>
      <c r="E186" s="3232"/>
      <c r="F186" s="3232">
        <v>2550</v>
      </c>
      <c r="G186" s="3232"/>
    </row>
    <row r="187" spans="1:7" s="3221" customFormat="1" ht="14.25" customHeight="1">
      <c r="A187" s="3232" t="s">
        <v>29</v>
      </c>
      <c r="B187" s="3232" t="s">
        <v>3072</v>
      </c>
      <c r="C187" s="3232"/>
      <c r="D187" s="3232"/>
      <c r="E187" s="3232"/>
      <c r="F187" s="3232">
        <v>2070</v>
      </c>
      <c r="G187" s="3232"/>
    </row>
    <row r="188" spans="1:7" s="3221" customFormat="1" ht="14.25" customHeight="1">
      <c r="A188" s="3232" t="s">
        <v>29</v>
      </c>
      <c r="B188" s="3232" t="s">
        <v>3073</v>
      </c>
      <c r="C188" s="3232"/>
      <c r="D188" s="3232"/>
      <c r="E188" s="3232"/>
      <c r="F188" s="3232">
        <v>2340</v>
      </c>
      <c r="G188" s="3232"/>
    </row>
    <row r="189" spans="1:7" s="3221" customFormat="1" ht="14.25" customHeight="1" thickBot="1">
      <c r="A189" s="3240" t="s">
        <v>29</v>
      </c>
      <c r="B189" s="3243" t="s">
        <v>3074</v>
      </c>
      <c r="C189" s="3243"/>
      <c r="D189" s="3243"/>
      <c r="E189" s="3243"/>
      <c r="F189" s="3243">
        <v>2050</v>
      </c>
      <c r="G189" s="3243"/>
    </row>
    <row r="190" spans="1:7" s="3221" customFormat="1" ht="14.25" customHeight="1">
      <c r="A190" s="3237" t="s">
        <v>304</v>
      </c>
      <c r="B190" s="3228" t="s">
        <v>3094</v>
      </c>
      <c r="C190" s="3228">
        <v>8830</v>
      </c>
      <c r="D190" s="3228">
        <v>8790</v>
      </c>
      <c r="E190" s="3228">
        <v>11630</v>
      </c>
      <c r="F190" s="3228">
        <v>1790</v>
      </c>
      <c r="G190" s="3244">
        <v>5550</v>
      </c>
    </row>
    <row r="191" spans="1:7" s="3221" customFormat="1" ht="14.25" customHeight="1">
      <c r="A191" s="3232" t="s">
        <v>304</v>
      </c>
      <c r="B191" s="3232" t="s">
        <v>133</v>
      </c>
      <c r="C191" s="3232">
        <v>9780</v>
      </c>
      <c r="D191" s="3232">
        <v>9710</v>
      </c>
      <c r="E191" s="3232">
        <v>12550</v>
      </c>
      <c r="F191" s="3232">
        <v>1980</v>
      </c>
      <c r="G191" s="3245">
        <v>6130</v>
      </c>
    </row>
    <row r="192" spans="1:7" s="3221" customFormat="1" ht="14.25" customHeight="1">
      <c r="A192" s="3232" t="s">
        <v>304</v>
      </c>
      <c r="B192" s="3232" t="s">
        <v>142</v>
      </c>
      <c r="C192" s="3232">
        <v>8180</v>
      </c>
      <c r="D192" s="3232">
        <v>8140</v>
      </c>
      <c r="E192" s="3232">
        <v>10870</v>
      </c>
      <c r="F192" s="3232">
        <v>1690</v>
      </c>
      <c r="G192" s="3245">
        <v>5140</v>
      </c>
    </row>
    <row r="193" spans="1:7" s="3221" customFormat="1" ht="14.25" customHeight="1">
      <c r="A193" s="3232" t="s">
        <v>304</v>
      </c>
      <c r="B193" s="3232" t="s">
        <v>151</v>
      </c>
      <c r="C193" s="3232">
        <v>8440</v>
      </c>
      <c r="D193" s="3232">
        <v>8390</v>
      </c>
      <c r="E193" s="3232">
        <v>11210</v>
      </c>
      <c r="F193" s="3232">
        <v>1600</v>
      </c>
      <c r="G193" s="3245">
        <v>5300</v>
      </c>
    </row>
    <row r="194" spans="1:7" s="3221" customFormat="1" ht="14.25" customHeight="1">
      <c r="A194" s="3232" t="s">
        <v>304</v>
      </c>
      <c r="B194" s="3232" t="s">
        <v>160</v>
      </c>
      <c r="C194" s="3232">
        <v>8780</v>
      </c>
      <c r="D194" s="3232">
        <v>8730</v>
      </c>
      <c r="E194" s="3232">
        <v>11550</v>
      </c>
      <c r="F194" s="3232">
        <v>1660</v>
      </c>
      <c r="G194" s="3245">
        <v>5520</v>
      </c>
    </row>
    <row r="195" spans="1:7" s="3221" customFormat="1" ht="14.25" customHeight="1">
      <c r="A195" s="3232" t="s">
        <v>304</v>
      </c>
      <c r="B195" s="3232" t="s">
        <v>167</v>
      </c>
      <c r="C195" s="3232">
        <v>8720</v>
      </c>
      <c r="D195" s="3232">
        <v>8670</v>
      </c>
      <c r="E195" s="3232">
        <v>11450</v>
      </c>
      <c r="F195" s="3232">
        <v>1720</v>
      </c>
      <c r="G195" s="3245">
        <v>5480</v>
      </c>
    </row>
    <row r="196" spans="1:7" s="3221" customFormat="1" ht="14.25" customHeight="1">
      <c r="A196" s="3232" t="s">
        <v>304</v>
      </c>
      <c r="B196" s="3232" t="s">
        <v>173</v>
      </c>
      <c r="C196" s="3232">
        <v>8460</v>
      </c>
      <c r="D196" s="3232">
        <v>8410</v>
      </c>
      <c r="E196" s="3232">
        <v>11230</v>
      </c>
      <c r="F196" s="3232">
        <v>1730</v>
      </c>
      <c r="G196" s="3245">
        <v>5310</v>
      </c>
    </row>
    <row r="197" spans="1:7" s="3221" customFormat="1" ht="14.25" customHeight="1">
      <c r="A197" s="3232" t="s">
        <v>304</v>
      </c>
      <c r="B197" s="3232" t="s">
        <v>180</v>
      </c>
      <c r="C197" s="3232">
        <v>8790</v>
      </c>
      <c r="D197" s="3232">
        <v>8730</v>
      </c>
      <c r="E197" s="3232">
        <v>11560</v>
      </c>
      <c r="F197" s="3232">
        <v>1750</v>
      </c>
      <c r="G197" s="3245">
        <v>5520</v>
      </c>
    </row>
    <row r="198" spans="1:7" s="3221" customFormat="1" ht="14.25" customHeight="1">
      <c r="A198" s="3232" t="s">
        <v>304</v>
      </c>
      <c r="B198" s="3232" t="s">
        <v>190</v>
      </c>
      <c r="C198" s="3232">
        <v>8720</v>
      </c>
      <c r="D198" s="3232">
        <v>8680</v>
      </c>
      <c r="E198" s="3232">
        <v>11470</v>
      </c>
      <c r="F198" s="3232"/>
      <c r="G198" s="3245">
        <v>5480</v>
      </c>
    </row>
    <row r="199" spans="1:7" s="3221" customFormat="1" ht="14.25" customHeight="1">
      <c r="A199" s="3232" t="s">
        <v>304</v>
      </c>
      <c r="B199" s="3232" t="s">
        <v>3095</v>
      </c>
      <c r="C199" s="3232">
        <v>8690</v>
      </c>
      <c r="D199" s="3232">
        <v>8630</v>
      </c>
      <c r="E199" s="3232">
        <v>11350</v>
      </c>
      <c r="F199" s="3232">
        <v>1600</v>
      </c>
      <c r="G199" s="3245">
        <v>5450</v>
      </c>
    </row>
    <row r="200" spans="1:7" s="3221" customFormat="1" ht="14.25" customHeight="1">
      <c r="A200" s="3232" t="s">
        <v>304</v>
      </c>
      <c r="B200" s="3232" t="s">
        <v>2906</v>
      </c>
      <c r="C200" s="3232"/>
      <c r="D200" s="3232"/>
      <c r="E200" s="3232"/>
      <c r="F200" s="3232">
        <v>1510</v>
      </c>
      <c r="G200" s="3245"/>
    </row>
    <row r="201" spans="1:7" s="3221" customFormat="1" ht="14.25" customHeight="1">
      <c r="A201" s="3232" t="s">
        <v>304</v>
      </c>
      <c r="B201" s="3232" t="s">
        <v>3096</v>
      </c>
      <c r="C201" s="3232">
        <v>8440</v>
      </c>
      <c r="D201" s="3232">
        <v>8390</v>
      </c>
      <c r="E201" s="3232">
        <v>10930</v>
      </c>
      <c r="F201" s="3232">
        <v>1500</v>
      </c>
      <c r="G201" s="3245">
        <v>5300</v>
      </c>
    </row>
    <row r="202" spans="1:7" s="3221" customFormat="1" ht="14.25" customHeight="1">
      <c r="A202" s="3232" t="s">
        <v>304</v>
      </c>
      <c r="B202" s="3232" t="s">
        <v>240</v>
      </c>
      <c r="C202" s="3232">
        <v>8530</v>
      </c>
      <c r="D202" s="3232">
        <v>8490</v>
      </c>
      <c r="E202" s="3232">
        <v>11160</v>
      </c>
      <c r="F202" s="3232">
        <v>1580</v>
      </c>
      <c r="G202" s="3245">
        <v>5360</v>
      </c>
    </row>
    <row r="203" spans="1:7" s="3221" customFormat="1" ht="14.25" customHeight="1">
      <c r="A203" s="3232" t="s">
        <v>304</v>
      </c>
      <c r="B203" s="3232" t="s">
        <v>3097</v>
      </c>
      <c r="C203" s="3232">
        <v>8130</v>
      </c>
      <c r="D203" s="3232">
        <v>8070</v>
      </c>
      <c r="E203" s="3232">
        <v>10820</v>
      </c>
      <c r="F203" s="3232">
        <v>1690</v>
      </c>
      <c r="G203" s="3245">
        <v>5100</v>
      </c>
    </row>
    <row r="204" spans="1:7" s="3221" customFormat="1" ht="14.25" customHeight="1">
      <c r="A204" s="3232" t="s">
        <v>304</v>
      </c>
      <c r="B204" s="3232" t="s">
        <v>2917</v>
      </c>
      <c r="C204" s="3232">
        <v>8350</v>
      </c>
      <c r="D204" s="3232">
        <v>8290</v>
      </c>
      <c r="E204" s="3232">
        <v>11080</v>
      </c>
      <c r="F204" s="3232">
        <v>1450</v>
      </c>
      <c r="G204" s="3245">
        <v>5240</v>
      </c>
    </row>
    <row r="205" spans="1:7" s="3221" customFormat="1" ht="14.25" customHeight="1">
      <c r="A205" s="3232" t="s">
        <v>304</v>
      </c>
      <c r="B205" s="3232" t="s">
        <v>2919</v>
      </c>
      <c r="C205" s="3232">
        <v>7190</v>
      </c>
      <c r="D205" s="3232">
        <v>7130</v>
      </c>
      <c r="E205" s="3232">
        <v>9490</v>
      </c>
      <c r="F205" s="3232">
        <v>1470</v>
      </c>
      <c r="G205" s="3245">
        <v>4510</v>
      </c>
    </row>
    <row r="206" spans="1:7" s="3221" customFormat="1" ht="14.25" customHeight="1">
      <c r="A206" s="3232" t="s">
        <v>304</v>
      </c>
      <c r="B206" s="3232" t="s">
        <v>2922</v>
      </c>
      <c r="C206" s="3232">
        <v>7000</v>
      </c>
      <c r="D206" s="3232">
        <v>6950</v>
      </c>
      <c r="E206" s="3232">
        <v>9170</v>
      </c>
      <c r="F206" s="3232">
        <v>1400</v>
      </c>
      <c r="G206" s="3245">
        <v>4380</v>
      </c>
    </row>
    <row r="207" spans="1:7" s="3221" customFormat="1" ht="14.25" customHeight="1">
      <c r="A207" s="3232" t="s">
        <v>304</v>
      </c>
      <c r="B207" s="3232" t="s">
        <v>2924</v>
      </c>
      <c r="C207" s="3232">
        <v>6950</v>
      </c>
      <c r="D207" s="3232">
        <v>6900</v>
      </c>
      <c r="E207" s="3232">
        <v>9110</v>
      </c>
      <c r="F207" s="3232">
        <v>1790</v>
      </c>
      <c r="G207" s="3245">
        <v>4360</v>
      </c>
    </row>
    <row r="208" spans="1:7" s="3221" customFormat="1" ht="14.25" customHeight="1">
      <c r="A208" s="3232" t="s">
        <v>304</v>
      </c>
      <c r="B208" s="3232" t="s">
        <v>3098</v>
      </c>
      <c r="C208" s="3232">
        <v>9470</v>
      </c>
      <c r="D208" s="3232">
        <v>9410</v>
      </c>
      <c r="E208" s="3232">
        <v>12330</v>
      </c>
      <c r="F208" s="3232">
        <v>1770</v>
      </c>
      <c r="G208" s="3245">
        <v>5940</v>
      </c>
    </row>
    <row r="209" spans="1:7" s="3221" customFormat="1" ht="14.25" customHeight="1">
      <c r="A209" s="3232" t="s">
        <v>304</v>
      </c>
      <c r="B209" s="3232" t="s">
        <v>264</v>
      </c>
      <c r="C209" s="3232">
        <v>8740</v>
      </c>
      <c r="D209" s="3232">
        <v>8700</v>
      </c>
      <c r="E209" s="3232">
        <v>11500</v>
      </c>
      <c r="F209" s="3232">
        <v>1730</v>
      </c>
      <c r="G209" s="3245">
        <v>5490</v>
      </c>
    </row>
    <row r="210" spans="1:7" s="3221" customFormat="1" ht="14.25" customHeight="1">
      <c r="A210" s="3232" t="s">
        <v>304</v>
      </c>
      <c r="B210" s="3232" t="s">
        <v>2934</v>
      </c>
      <c r="C210" s="3232">
        <v>8710</v>
      </c>
      <c r="D210" s="3232">
        <v>8660</v>
      </c>
      <c r="E210" s="3232">
        <v>11440</v>
      </c>
      <c r="F210" s="3232">
        <v>1740</v>
      </c>
      <c r="G210" s="3245">
        <v>5470</v>
      </c>
    </row>
    <row r="211" spans="1:7" s="3221" customFormat="1" ht="14.25" customHeight="1">
      <c r="A211" s="3232" t="s">
        <v>304</v>
      </c>
      <c r="B211" s="3232" t="s">
        <v>3099</v>
      </c>
      <c r="C211" s="3232">
        <v>9480</v>
      </c>
      <c r="D211" s="3232">
        <v>9430</v>
      </c>
      <c r="E211" s="3232">
        <v>12360</v>
      </c>
      <c r="F211" s="3232">
        <v>1820</v>
      </c>
      <c r="G211" s="3245">
        <v>5950</v>
      </c>
    </row>
    <row r="212" spans="1:7" s="3221" customFormat="1" ht="14.25" customHeight="1">
      <c r="A212" s="3232" t="s">
        <v>304</v>
      </c>
      <c r="B212" s="3232" t="s">
        <v>285</v>
      </c>
      <c r="C212" s="3232">
        <v>9070</v>
      </c>
      <c r="D212" s="3232">
        <v>9020</v>
      </c>
      <c r="E212" s="3232">
        <v>11720</v>
      </c>
      <c r="F212" s="3232">
        <v>1850</v>
      </c>
      <c r="G212" s="3245">
        <v>5700</v>
      </c>
    </row>
    <row r="213" spans="1:7" s="3221" customFormat="1" ht="14.25" customHeight="1">
      <c r="A213" s="3232" t="s">
        <v>304</v>
      </c>
      <c r="B213" s="3232" t="s">
        <v>288</v>
      </c>
      <c r="C213" s="3232">
        <v>9030</v>
      </c>
      <c r="D213" s="3232">
        <v>8980</v>
      </c>
      <c r="E213" s="3232">
        <v>11670</v>
      </c>
      <c r="F213" s="3232">
        <v>1690</v>
      </c>
      <c r="G213" s="3245">
        <v>5670</v>
      </c>
    </row>
    <row r="214" spans="1:7" s="3221" customFormat="1" ht="14.25" customHeight="1">
      <c r="A214" s="3232" t="s">
        <v>304</v>
      </c>
      <c r="B214" s="3232" t="s">
        <v>3100</v>
      </c>
      <c r="C214" s="3232">
        <v>8090</v>
      </c>
      <c r="D214" s="3232">
        <v>8030</v>
      </c>
      <c r="E214" s="3232">
        <v>10780</v>
      </c>
      <c r="F214" s="3232">
        <v>1570</v>
      </c>
      <c r="G214" s="3245">
        <v>5070</v>
      </c>
    </row>
    <row r="215" spans="1:7" s="3221" customFormat="1" ht="14.25" customHeight="1">
      <c r="A215" s="3232" t="s">
        <v>304</v>
      </c>
      <c r="B215" s="3232" t="s">
        <v>3101</v>
      </c>
      <c r="C215" s="3232">
        <v>7950</v>
      </c>
      <c r="D215" s="3232">
        <v>7900</v>
      </c>
      <c r="E215" s="3232">
        <v>10560</v>
      </c>
      <c r="F215" s="3232">
        <v>1630</v>
      </c>
      <c r="G215" s="3245">
        <v>4990</v>
      </c>
    </row>
    <row r="216" spans="1:7" s="3221" customFormat="1" ht="14.25" customHeight="1">
      <c r="A216" s="3232" t="s">
        <v>304</v>
      </c>
      <c r="B216" s="3232" t="s">
        <v>3102</v>
      </c>
      <c r="C216" s="3232">
        <v>8490</v>
      </c>
      <c r="D216" s="3232">
        <v>8440</v>
      </c>
      <c r="E216" s="3232">
        <v>11260</v>
      </c>
      <c r="F216" s="3232">
        <v>1690</v>
      </c>
      <c r="G216" s="3245">
        <v>5330</v>
      </c>
    </row>
    <row r="217" spans="1:7" s="3221" customFormat="1" ht="14.25" customHeight="1">
      <c r="A217" s="3232" t="s">
        <v>304</v>
      </c>
      <c r="B217" s="3232" t="s">
        <v>2967</v>
      </c>
      <c r="C217" s="3232">
        <v>8200</v>
      </c>
      <c r="D217" s="3232">
        <v>8150</v>
      </c>
      <c r="E217" s="3232">
        <v>10910</v>
      </c>
      <c r="F217" s="3232">
        <v>1670</v>
      </c>
      <c r="G217" s="3245">
        <v>5150</v>
      </c>
    </row>
    <row r="218" spans="1:7" s="3221" customFormat="1" ht="14.25" customHeight="1">
      <c r="A218" s="3232" t="s">
        <v>304</v>
      </c>
      <c r="B218" s="3232" t="s">
        <v>3103</v>
      </c>
      <c r="C218" s="3232"/>
      <c r="D218" s="3232"/>
      <c r="E218" s="3232"/>
      <c r="F218" s="3232">
        <v>2040</v>
      </c>
      <c r="G218" s="3245"/>
    </row>
    <row r="219" spans="1:7" s="3221" customFormat="1" ht="14.25" customHeight="1">
      <c r="A219" s="3232" t="s">
        <v>304</v>
      </c>
      <c r="B219" s="3232" t="s">
        <v>3104</v>
      </c>
      <c r="C219" s="3232"/>
      <c r="D219" s="3232"/>
      <c r="E219" s="3232"/>
      <c r="F219" s="3232">
        <v>2040</v>
      </c>
      <c r="G219" s="3245"/>
    </row>
    <row r="220" spans="1:7" s="3221" customFormat="1" ht="14.25" customHeight="1">
      <c r="A220" s="3232" t="s">
        <v>304</v>
      </c>
      <c r="B220" s="3232" t="s">
        <v>3105</v>
      </c>
      <c r="C220" s="3232"/>
      <c r="D220" s="3232"/>
      <c r="E220" s="3232"/>
      <c r="F220" s="3232">
        <v>2040</v>
      </c>
      <c r="G220" s="3245"/>
    </row>
    <row r="221" spans="1:7" s="3221" customFormat="1" ht="14.25" customHeight="1">
      <c r="A221" s="3232" t="s">
        <v>304</v>
      </c>
      <c r="B221" s="3232" t="s">
        <v>3106</v>
      </c>
      <c r="C221" s="3232"/>
      <c r="D221" s="3232"/>
      <c r="E221" s="3232"/>
      <c r="F221" s="3232">
        <v>2040</v>
      </c>
      <c r="G221" s="3245"/>
    </row>
    <row r="222" spans="1:7" s="3221" customFormat="1" ht="14.25" customHeight="1">
      <c r="A222" s="3232" t="s">
        <v>304</v>
      </c>
      <c r="B222" s="3232" t="s">
        <v>3107</v>
      </c>
      <c r="C222" s="3232"/>
      <c r="D222" s="3232"/>
      <c r="E222" s="3232"/>
      <c r="F222" s="3232">
        <v>2040</v>
      </c>
      <c r="G222" s="3245"/>
    </row>
    <row r="223" spans="1:7" s="3221" customFormat="1" ht="14.25" customHeight="1">
      <c r="A223" s="3232" t="s">
        <v>304</v>
      </c>
      <c r="B223" s="3232" t="s">
        <v>3108</v>
      </c>
      <c r="C223" s="3232"/>
      <c r="D223" s="3232"/>
      <c r="E223" s="3232"/>
      <c r="F223" s="3232">
        <v>1930</v>
      </c>
      <c r="G223" s="3245"/>
    </row>
    <row r="224" spans="1:7" s="3221" customFormat="1" ht="14.25" customHeight="1">
      <c r="A224" s="3232" t="s">
        <v>304</v>
      </c>
      <c r="B224" s="3232" t="s">
        <v>3109</v>
      </c>
      <c r="C224" s="3232"/>
      <c r="D224" s="3232"/>
      <c r="E224" s="3232"/>
      <c r="F224" s="3232">
        <v>1930</v>
      </c>
      <c r="G224" s="3245"/>
    </row>
    <row r="225" spans="1:7" s="3221" customFormat="1" ht="14.25" customHeight="1">
      <c r="A225" s="3232" t="s">
        <v>304</v>
      </c>
      <c r="B225" s="3232" t="s">
        <v>3110</v>
      </c>
      <c r="C225" s="3232"/>
      <c r="D225" s="3232"/>
      <c r="E225" s="3232"/>
      <c r="F225" s="3232">
        <v>1930</v>
      </c>
      <c r="G225" s="3245"/>
    </row>
    <row r="226" spans="1:7" s="3221" customFormat="1" ht="14.25" customHeight="1">
      <c r="A226" s="3232" t="s">
        <v>304</v>
      </c>
      <c r="B226" s="3232" t="s">
        <v>3111</v>
      </c>
      <c r="C226" s="3232"/>
      <c r="D226" s="3232"/>
      <c r="E226" s="3232"/>
      <c r="F226" s="3232">
        <v>1700</v>
      </c>
      <c r="G226" s="3245"/>
    </row>
    <row r="227" spans="1:7" s="3221" customFormat="1" ht="14.25" customHeight="1">
      <c r="A227" s="3232" t="s">
        <v>304</v>
      </c>
      <c r="B227" s="3232" t="s">
        <v>3112</v>
      </c>
      <c r="C227" s="3232"/>
      <c r="D227" s="3232"/>
      <c r="E227" s="3232"/>
      <c r="F227" s="3232">
        <v>1520</v>
      </c>
      <c r="G227" s="3245"/>
    </row>
    <row r="228" spans="1:7" s="3221" customFormat="1" ht="14.25" customHeight="1">
      <c r="A228" s="3232" t="s">
        <v>304</v>
      </c>
      <c r="B228" s="3232" t="s">
        <v>3113</v>
      </c>
      <c r="C228" s="3232"/>
      <c r="D228" s="3232"/>
      <c r="E228" s="3232"/>
      <c r="F228" s="3232">
        <v>1520</v>
      </c>
      <c r="G228" s="3245"/>
    </row>
    <row r="229" spans="1:7" s="3221" customFormat="1" ht="14.25" customHeight="1">
      <c r="A229" s="3232" t="s">
        <v>304</v>
      </c>
      <c r="B229" s="3232" t="s">
        <v>3030</v>
      </c>
      <c r="C229" s="3232"/>
      <c r="D229" s="3232"/>
      <c r="E229" s="3232"/>
      <c r="F229" s="3232">
        <v>1520</v>
      </c>
      <c r="G229" s="3245"/>
    </row>
    <row r="230" spans="1:7" s="3221" customFormat="1" ht="14.25" customHeight="1">
      <c r="A230" s="3232" t="s">
        <v>304</v>
      </c>
      <c r="B230" s="3232" t="s">
        <v>3114</v>
      </c>
      <c r="C230" s="3232"/>
      <c r="D230" s="3232"/>
      <c r="E230" s="3232"/>
      <c r="F230" s="3232">
        <v>1820</v>
      </c>
      <c r="G230" s="3245"/>
    </row>
    <row r="231" spans="1:7" s="3221" customFormat="1" ht="14.25" customHeight="1">
      <c r="A231" s="3232" t="s">
        <v>304</v>
      </c>
      <c r="B231" s="3232" t="s">
        <v>3115</v>
      </c>
      <c r="C231" s="3232"/>
      <c r="D231" s="3232"/>
      <c r="E231" s="3232"/>
      <c r="F231" s="3232">
        <v>1760</v>
      </c>
      <c r="G231" s="3245"/>
    </row>
    <row r="232" spans="1:7" s="3221" customFormat="1" ht="14.25" customHeight="1">
      <c r="A232" s="3232" t="s">
        <v>304</v>
      </c>
      <c r="B232" s="3232" t="s">
        <v>3116</v>
      </c>
      <c r="C232" s="3232"/>
      <c r="D232" s="3232"/>
      <c r="E232" s="3232"/>
      <c r="F232" s="3232">
        <v>1840</v>
      </c>
      <c r="G232" s="3245"/>
    </row>
    <row r="233" spans="1:7" s="3221" customFormat="1" ht="14.25" customHeight="1" thickBot="1">
      <c r="A233" s="3246" t="s">
        <v>304</v>
      </c>
      <c r="B233" s="3239" t="s">
        <v>3047</v>
      </c>
      <c r="C233" s="3239"/>
      <c r="D233" s="3239"/>
      <c r="E233" s="3239"/>
      <c r="F233" s="3239">
        <v>1770</v>
      </c>
      <c r="G233" s="3247"/>
    </row>
    <row r="234" spans="1:7" s="3221" customFormat="1" ht="14.25" customHeight="1">
      <c r="A234" s="3237" t="s">
        <v>305</v>
      </c>
      <c r="B234" s="3228" t="s">
        <v>3117</v>
      </c>
      <c r="C234" s="3232">
        <v>6980</v>
      </c>
      <c r="D234" s="3232">
        <v>6970</v>
      </c>
      <c r="E234" s="3232">
        <v>8720</v>
      </c>
      <c r="F234" s="3232">
        <v>1350</v>
      </c>
      <c r="G234" s="3232">
        <v>4280</v>
      </c>
    </row>
    <row r="235" spans="1:7" s="3221" customFormat="1" ht="14.25" customHeight="1">
      <c r="A235" s="3232" t="s">
        <v>305</v>
      </c>
      <c r="B235" s="3232" t="s">
        <v>134</v>
      </c>
      <c r="C235" s="3232">
        <v>7620</v>
      </c>
      <c r="D235" s="3232">
        <v>7580</v>
      </c>
      <c r="E235" s="3232">
        <v>9360</v>
      </c>
      <c r="F235" s="3232">
        <v>1490</v>
      </c>
      <c r="G235" s="3232">
        <v>4650</v>
      </c>
    </row>
    <row r="236" spans="1:7" s="3221" customFormat="1" ht="14.25" customHeight="1">
      <c r="A236" s="3232" t="s">
        <v>305</v>
      </c>
      <c r="B236" s="3232" t="s">
        <v>143</v>
      </c>
      <c r="C236" s="3232">
        <v>6650</v>
      </c>
      <c r="D236" s="3232">
        <v>6630</v>
      </c>
      <c r="E236" s="3232">
        <v>8330</v>
      </c>
      <c r="F236" s="3232">
        <v>1250</v>
      </c>
      <c r="G236" s="3232">
        <v>4070</v>
      </c>
    </row>
    <row r="237" spans="1:7" s="3221" customFormat="1" ht="14.25" customHeight="1">
      <c r="A237" s="3232" t="s">
        <v>305</v>
      </c>
      <c r="B237" s="3232" t="s">
        <v>152</v>
      </c>
      <c r="C237" s="3232">
        <v>5850</v>
      </c>
      <c r="D237" s="3232">
        <v>5820</v>
      </c>
      <c r="E237" s="3232">
        <v>7260</v>
      </c>
      <c r="F237" s="3232">
        <v>1140</v>
      </c>
      <c r="G237" s="3232">
        <v>3570</v>
      </c>
    </row>
    <row r="238" spans="1:7" s="3221" customFormat="1" ht="14.25" customHeight="1">
      <c r="A238" s="3232" t="s">
        <v>305</v>
      </c>
      <c r="B238" s="3232" t="s">
        <v>2888</v>
      </c>
      <c r="C238" s="3232">
        <v>6920</v>
      </c>
      <c r="D238" s="3232">
        <v>6890</v>
      </c>
      <c r="E238" s="3232">
        <v>8640</v>
      </c>
      <c r="F238" s="3232">
        <v>1310</v>
      </c>
      <c r="G238" s="3232">
        <v>4230</v>
      </c>
    </row>
    <row r="239" spans="1:7" s="3221" customFormat="1" ht="14.25" customHeight="1">
      <c r="A239" s="3232" t="s">
        <v>305</v>
      </c>
      <c r="B239" s="3232" t="s">
        <v>3118</v>
      </c>
      <c r="C239" s="3232">
        <v>6780</v>
      </c>
      <c r="D239" s="3232">
        <v>6750</v>
      </c>
      <c r="E239" s="3232">
        <v>8440</v>
      </c>
      <c r="F239" s="3232">
        <v>1160</v>
      </c>
      <c r="G239" s="3232">
        <v>4140</v>
      </c>
    </row>
    <row r="240" spans="1:7" s="3221" customFormat="1" ht="14.25" customHeight="1">
      <c r="A240" s="3232" t="s">
        <v>305</v>
      </c>
      <c r="B240" s="3232" t="s">
        <v>3119</v>
      </c>
      <c r="C240" s="3232">
        <v>5420</v>
      </c>
      <c r="D240" s="3232">
        <v>5380</v>
      </c>
      <c r="E240" s="3232">
        <v>6640</v>
      </c>
      <c r="F240" s="3232">
        <v>1020</v>
      </c>
      <c r="G240" s="3232">
        <v>3300</v>
      </c>
    </row>
    <row r="241" spans="1:7" s="3221" customFormat="1" ht="14.25" customHeight="1">
      <c r="A241" s="3232" t="s">
        <v>305</v>
      </c>
      <c r="B241" s="3232" t="s">
        <v>3120</v>
      </c>
      <c r="C241" s="3232">
        <v>6660</v>
      </c>
      <c r="D241" s="3232">
        <v>6640</v>
      </c>
      <c r="E241" s="3232">
        <v>8340</v>
      </c>
      <c r="F241" s="3232">
        <v>1130</v>
      </c>
      <c r="G241" s="3232">
        <v>4080</v>
      </c>
    </row>
    <row r="242" spans="1:7" s="3221" customFormat="1" ht="14.25" customHeight="1">
      <c r="A242" s="3232" t="s">
        <v>305</v>
      </c>
      <c r="B242" s="3232" t="s">
        <v>181</v>
      </c>
      <c r="C242" s="3232">
        <v>6580</v>
      </c>
      <c r="D242" s="3232">
        <v>6550</v>
      </c>
      <c r="E242" s="3232">
        <v>8090</v>
      </c>
      <c r="F242" s="3232">
        <v>1240</v>
      </c>
      <c r="G242" s="3232">
        <v>4020</v>
      </c>
    </row>
    <row r="243" spans="1:7" s="3221" customFormat="1" ht="14.25" customHeight="1">
      <c r="A243" s="3232" t="s">
        <v>305</v>
      </c>
      <c r="B243" s="3232" t="s">
        <v>191</v>
      </c>
      <c r="C243" s="3232">
        <v>6000</v>
      </c>
      <c r="D243" s="3232">
        <v>5970</v>
      </c>
      <c r="E243" s="3232">
        <v>7370</v>
      </c>
      <c r="F243" s="3232">
        <v>1070</v>
      </c>
      <c r="G243" s="3232">
        <v>3670</v>
      </c>
    </row>
    <row r="244" spans="1:7" s="3221" customFormat="1" ht="14.25" customHeight="1">
      <c r="A244" s="3232" t="s">
        <v>305</v>
      </c>
      <c r="B244" s="3232" t="s">
        <v>3121</v>
      </c>
      <c r="C244" s="3232">
        <v>5840</v>
      </c>
      <c r="D244" s="3232">
        <v>5810</v>
      </c>
      <c r="E244" s="3232">
        <v>7240</v>
      </c>
      <c r="F244" s="3232">
        <v>1100</v>
      </c>
      <c r="G244" s="3232">
        <v>3560</v>
      </c>
    </row>
    <row r="245" spans="1:7" s="3221" customFormat="1" ht="14.25" customHeight="1">
      <c r="A245" s="3232" t="s">
        <v>305</v>
      </c>
      <c r="B245" s="3232" t="s">
        <v>206</v>
      </c>
      <c r="C245" s="3232">
        <v>6040</v>
      </c>
      <c r="D245" s="3232">
        <v>6000</v>
      </c>
      <c r="E245" s="3232">
        <v>7420</v>
      </c>
      <c r="F245" s="3232">
        <v>1140</v>
      </c>
      <c r="G245" s="3232">
        <v>3690</v>
      </c>
    </row>
    <row r="246" spans="1:7" s="3221" customFormat="1" ht="14.25" customHeight="1">
      <c r="A246" s="3232" t="s">
        <v>305</v>
      </c>
      <c r="B246" s="3232" t="s">
        <v>213</v>
      </c>
      <c r="C246" s="3232">
        <v>5890</v>
      </c>
      <c r="D246" s="3232">
        <v>5860</v>
      </c>
      <c r="E246" s="3232">
        <v>7300</v>
      </c>
      <c r="F246" s="3232">
        <v>1110</v>
      </c>
      <c r="G246" s="3232">
        <v>3590</v>
      </c>
    </row>
    <row r="247" spans="1:7" s="3221" customFormat="1" ht="14.25" customHeight="1">
      <c r="A247" s="3232" t="s">
        <v>305</v>
      </c>
      <c r="B247" s="3232" t="s">
        <v>3122</v>
      </c>
      <c r="C247" s="3232">
        <v>6480</v>
      </c>
      <c r="D247" s="3232">
        <v>6450</v>
      </c>
      <c r="E247" s="3232">
        <v>8010</v>
      </c>
      <c r="F247" s="3232">
        <v>1170</v>
      </c>
      <c r="G247" s="3232">
        <v>3960</v>
      </c>
    </row>
    <row r="248" spans="1:7" s="3221" customFormat="1" ht="14.25" customHeight="1">
      <c r="A248" s="3232" t="s">
        <v>305</v>
      </c>
      <c r="B248" s="3232" t="s">
        <v>227</v>
      </c>
      <c r="C248" s="3232">
        <v>6860</v>
      </c>
      <c r="D248" s="3232">
        <v>6840</v>
      </c>
      <c r="E248" s="3232">
        <v>8520</v>
      </c>
      <c r="F248" s="3232">
        <v>1240</v>
      </c>
      <c r="G248" s="3232">
        <v>4200</v>
      </c>
    </row>
    <row r="249" spans="1:7" s="3221" customFormat="1" ht="14.25" customHeight="1">
      <c r="A249" s="3232" t="s">
        <v>305</v>
      </c>
      <c r="B249" s="3232" t="s">
        <v>3123</v>
      </c>
      <c r="C249" s="3232">
        <v>7180</v>
      </c>
      <c r="D249" s="3232">
        <v>7140</v>
      </c>
      <c r="E249" s="3232">
        <v>8900</v>
      </c>
      <c r="F249" s="3232">
        <v>1350</v>
      </c>
      <c r="G249" s="3232">
        <v>4380</v>
      </c>
    </row>
    <row r="250" spans="1:7" s="3221" customFormat="1" ht="14.25" customHeight="1">
      <c r="A250" s="3232" t="s">
        <v>305</v>
      </c>
      <c r="B250" s="3232" t="s">
        <v>241</v>
      </c>
      <c r="C250" s="3232">
        <v>6880</v>
      </c>
      <c r="D250" s="3232">
        <v>6860</v>
      </c>
      <c r="E250" s="3232">
        <v>8550</v>
      </c>
      <c r="F250" s="3232">
        <v>1220</v>
      </c>
      <c r="G250" s="3232">
        <v>4210</v>
      </c>
    </row>
    <row r="251" spans="1:7" s="3221" customFormat="1" ht="14.25" customHeight="1">
      <c r="A251" s="3232" t="s">
        <v>305</v>
      </c>
      <c r="B251" s="3232" t="s">
        <v>249</v>
      </c>
      <c r="C251" s="3232"/>
      <c r="D251" s="3232"/>
      <c r="E251" s="3232"/>
      <c r="F251" s="3232">
        <v>1100</v>
      </c>
      <c r="G251" s="3232"/>
    </row>
    <row r="252" spans="1:7" s="3221" customFormat="1" ht="14.25" customHeight="1">
      <c r="A252" s="3232" t="s">
        <v>305</v>
      </c>
      <c r="B252" s="3232" t="s">
        <v>3124</v>
      </c>
      <c r="C252" s="3232">
        <v>7240</v>
      </c>
      <c r="D252" s="3232">
        <v>7200</v>
      </c>
      <c r="E252" s="3232">
        <v>9040</v>
      </c>
      <c r="F252" s="3232">
        <v>1380</v>
      </c>
      <c r="G252" s="3232">
        <v>4420</v>
      </c>
    </row>
    <row r="253" spans="1:7" s="3221" customFormat="1" ht="14.25" customHeight="1">
      <c r="A253" s="3232" t="s">
        <v>305</v>
      </c>
      <c r="B253" s="3232" t="s">
        <v>283</v>
      </c>
      <c r="C253" s="3232">
        <v>6670</v>
      </c>
      <c r="D253" s="3232">
        <v>6650</v>
      </c>
      <c r="E253" s="3232">
        <v>8350</v>
      </c>
      <c r="F253" s="3232">
        <v>1260</v>
      </c>
      <c r="G253" s="3232">
        <v>4080</v>
      </c>
    </row>
    <row r="254" spans="1:7" s="3221" customFormat="1" ht="14.25" customHeight="1">
      <c r="A254" s="3232" t="s">
        <v>305</v>
      </c>
      <c r="B254" s="3232" t="s">
        <v>286</v>
      </c>
      <c r="C254" s="3232">
        <v>7630</v>
      </c>
      <c r="D254" s="3232">
        <v>7590</v>
      </c>
      <c r="E254" s="3232">
        <v>9380</v>
      </c>
      <c r="F254" s="3232">
        <v>1320</v>
      </c>
      <c r="G254" s="3232">
        <v>4660</v>
      </c>
    </row>
    <row r="255" spans="1:7" s="3221" customFormat="1" ht="14.25" customHeight="1">
      <c r="A255" s="3232" t="s">
        <v>305</v>
      </c>
      <c r="B255" s="3232" t="s">
        <v>289</v>
      </c>
      <c r="C255" s="3232">
        <v>6940</v>
      </c>
      <c r="D255" s="3232">
        <v>6890</v>
      </c>
      <c r="E255" s="3232">
        <v>8650</v>
      </c>
      <c r="F255" s="3232">
        <v>1210</v>
      </c>
      <c r="G255" s="3232">
        <v>4230</v>
      </c>
    </row>
    <row r="256" spans="1:7" s="3221" customFormat="1" ht="14.25" customHeight="1">
      <c r="A256" s="3232" t="s">
        <v>305</v>
      </c>
      <c r="B256" s="3232" t="s">
        <v>3125</v>
      </c>
      <c r="C256" s="3232">
        <v>7520</v>
      </c>
      <c r="D256" s="3232">
        <v>7490</v>
      </c>
      <c r="E256" s="3232">
        <v>9240</v>
      </c>
      <c r="F256" s="3232">
        <v>1270</v>
      </c>
      <c r="G256" s="3232">
        <v>4590</v>
      </c>
    </row>
    <row r="257" spans="1:7" s="3221" customFormat="1" ht="14.25" customHeight="1">
      <c r="A257" s="3232" t="s">
        <v>305</v>
      </c>
      <c r="B257" s="3232" t="s">
        <v>275</v>
      </c>
      <c r="C257" s="3232">
        <v>6280</v>
      </c>
      <c r="D257" s="3232">
        <v>6230</v>
      </c>
      <c r="E257" s="3232">
        <v>7740</v>
      </c>
      <c r="F257" s="3232">
        <v>1080</v>
      </c>
      <c r="G257" s="3232">
        <v>3830</v>
      </c>
    </row>
    <row r="258" spans="1:7" s="3221" customFormat="1" ht="14.25" customHeight="1">
      <c r="A258" s="3232" t="s">
        <v>305</v>
      </c>
      <c r="B258" s="3232" t="s">
        <v>2950</v>
      </c>
      <c r="C258" s="3232">
        <v>6190</v>
      </c>
      <c r="D258" s="3232">
        <v>6160</v>
      </c>
      <c r="E258" s="3232">
        <v>7680</v>
      </c>
      <c r="F258" s="3232">
        <v>1170</v>
      </c>
      <c r="G258" s="3232">
        <v>3780</v>
      </c>
    </row>
    <row r="259" spans="1:7" s="3221" customFormat="1" ht="14.25" customHeight="1">
      <c r="A259" s="3232" t="s">
        <v>305</v>
      </c>
      <c r="B259" s="3232" t="s">
        <v>3126</v>
      </c>
      <c r="C259" s="3232">
        <v>7610</v>
      </c>
      <c r="D259" s="3232">
        <v>7570</v>
      </c>
      <c r="E259" s="3232">
        <v>9350</v>
      </c>
      <c r="F259" s="3232">
        <v>1350</v>
      </c>
      <c r="G259" s="3232">
        <v>4650</v>
      </c>
    </row>
    <row r="260" spans="1:7" s="3221" customFormat="1" ht="14.25" customHeight="1">
      <c r="A260" s="3232" t="s">
        <v>305</v>
      </c>
      <c r="B260" s="3232" t="s">
        <v>3127</v>
      </c>
      <c r="C260" s="3232">
        <v>6920</v>
      </c>
      <c r="D260" s="3232">
        <v>6880</v>
      </c>
      <c r="E260" s="3232">
        <v>8380</v>
      </c>
      <c r="F260" s="3232">
        <v>1160</v>
      </c>
      <c r="G260" s="3232">
        <v>4220</v>
      </c>
    </row>
    <row r="261" spans="1:7" s="3221" customFormat="1" ht="14.25" customHeight="1">
      <c r="A261" s="3232" t="s">
        <v>305</v>
      </c>
      <c r="B261" s="3232" t="s">
        <v>3128</v>
      </c>
      <c r="C261" s="3232">
        <v>6850</v>
      </c>
      <c r="D261" s="3232">
        <v>6810</v>
      </c>
      <c r="E261" s="3232">
        <v>8290</v>
      </c>
      <c r="F261" s="3232">
        <v>1130</v>
      </c>
      <c r="G261" s="3232">
        <v>4180</v>
      </c>
    </row>
    <row r="262" spans="1:7" s="3221" customFormat="1" ht="14.25" customHeight="1">
      <c r="A262" s="3232" t="s">
        <v>305</v>
      </c>
      <c r="B262" s="3232" t="s">
        <v>3129</v>
      </c>
      <c r="C262" s="3232">
        <v>5860</v>
      </c>
      <c r="D262" s="3232">
        <v>5820</v>
      </c>
      <c r="E262" s="3232">
        <v>7640</v>
      </c>
      <c r="F262" s="3232">
        <v>1070</v>
      </c>
      <c r="G262" s="3232">
        <v>3570</v>
      </c>
    </row>
    <row r="263" spans="1:7" s="3221" customFormat="1" ht="14.25" customHeight="1">
      <c r="A263" s="3232" t="s">
        <v>305</v>
      </c>
      <c r="B263" s="3232" t="s">
        <v>3130</v>
      </c>
      <c r="C263" s="3232">
        <v>5870</v>
      </c>
      <c r="D263" s="3232">
        <v>5840</v>
      </c>
      <c r="E263" s="3232">
        <v>7270</v>
      </c>
      <c r="F263" s="3232">
        <v>1190</v>
      </c>
      <c r="G263" s="3232">
        <v>3580</v>
      </c>
    </row>
    <row r="264" spans="1:7" s="3221" customFormat="1" ht="14.25" customHeight="1">
      <c r="A264" s="3232" t="s">
        <v>305</v>
      </c>
      <c r="B264" s="3232" t="s">
        <v>299</v>
      </c>
      <c r="C264" s="3232">
        <v>6190</v>
      </c>
      <c r="D264" s="3232">
        <v>6150</v>
      </c>
      <c r="E264" s="3232">
        <v>7660</v>
      </c>
      <c r="F264" s="3232">
        <v>1160</v>
      </c>
      <c r="G264" s="3232">
        <v>3770</v>
      </c>
    </row>
    <row r="265" spans="1:7" s="3221" customFormat="1" ht="14.25" customHeight="1">
      <c r="A265" s="3232" t="s">
        <v>305</v>
      </c>
      <c r="B265" s="3232" t="s">
        <v>3131</v>
      </c>
      <c r="C265" s="3232"/>
      <c r="D265" s="3232"/>
      <c r="E265" s="3232"/>
      <c r="F265" s="3232">
        <v>1500</v>
      </c>
      <c r="G265" s="3232"/>
    </row>
    <row r="266" spans="1:7" s="3221" customFormat="1" ht="14.25" customHeight="1">
      <c r="A266" s="3232" t="s">
        <v>305</v>
      </c>
      <c r="B266" s="3232" t="s">
        <v>3132</v>
      </c>
      <c r="C266" s="3232"/>
      <c r="D266" s="3232"/>
      <c r="E266" s="3232"/>
      <c r="F266" s="3232">
        <v>1500</v>
      </c>
      <c r="G266" s="3232"/>
    </row>
    <row r="267" spans="1:7" s="3221" customFormat="1" ht="14.25" customHeight="1">
      <c r="A267" s="3232" t="s">
        <v>305</v>
      </c>
      <c r="B267" s="3232" t="s">
        <v>3133</v>
      </c>
      <c r="C267" s="3232"/>
      <c r="D267" s="3232"/>
      <c r="E267" s="3232"/>
      <c r="F267" s="3232">
        <v>1500</v>
      </c>
      <c r="G267" s="3232"/>
    </row>
    <row r="268" spans="1:7" s="3221" customFormat="1" ht="14.25" customHeight="1">
      <c r="A268" s="3232" t="s">
        <v>305</v>
      </c>
      <c r="B268" s="3232" t="s">
        <v>3134</v>
      </c>
      <c r="C268" s="3232"/>
      <c r="D268" s="3232"/>
      <c r="E268" s="3232"/>
      <c r="F268" s="3232">
        <v>1290</v>
      </c>
      <c r="G268" s="3232"/>
    </row>
    <row r="269" spans="1:7" s="3221" customFormat="1" ht="14.25" customHeight="1">
      <c r="A269" s="3232" t="s">
        <v>305</v>
      </c>
      <c r="B269" s="3232" t="s">
        <v>3135</v>
      </c>
      <c r="C269" s="3232"/>
      <c r="D269" s="3232"/>
      <c r="E269" s="3232"/>
      <c r="F269" s="3232">
        <v>1150</v>
      </c>
      <c r="G269" s="3232"/>
    </row>
    <row r="270" spans="1:7" s="3221" customFormat="1" ht="14.25" customHeight="1">
      <c r="A270" s="3232" t="s">
        <v>305</v>
      </c>
      <c r="B270" s="3232" t="s">
        <v>3136</v>
      </c>
      <c r="C270" s="3232"/>
      <c r="D270" s="3232"/>
      <c r="E270" s="3232"/>
      <c r="F270" s="3232">
        <v>1380</v>
      </c>
      <c r="G270" s="3232"/>
    </row>
    <row r="271" spans="1:7" s="3221" customFormat="1" ht="14.25" customHeight="1">
      <c r="A271" s="3232" t="s">
        <v>305</v>
      </c>
      <c r="B271" s="3232" t="s">
        <v>3137</v>
      </c>
      <c r="C271" s="3232"/>
      <c r="D271" s="3232"/>
      <c r="E271" s="3232"/>
      <c r="F271" s="3232">
        <v>1460</v>
      </c>
      <c r="G271" s="3232"/>
    </row>
    <row r="272" spans="1:7" s="3221" customFormat="1" ht="14.25" customHeight="1">
      <c r="A272" s="3232" t="s">
        <v>305</v>
      </c>
      <c r="B272" s="3232" t="s">
        <v>3138</v>
      </c>
      <c r="C272" s="3232"/>
      <c r="D272" s="3232"/>
      <c r="E272" s="3232"/>
      <c r="F272" s="3232">
        <v>1460</v>
      </c>
      <c r="G272" s="3232"/>
    </row>
    <row r="273" spans="1:7" s="3221" customFormat="1" ht="14.25" customHeight="1">
      <c r="A273" s="3232" t="s">
        <v>305</v>
      </c>
      <c r="B273" s="3232" t="s">
        <v>3031</v>
      </c>
      <c r="C273" s="3232"/>
      <c r="D273" s="3232"/>
      <c r="E273" s="3232"/>
      <c r="F273" s="3232">
        <v>1490</v>
      </c>
      <c r="G273" s="3232"/>
    </row>
    <row r="274" spans="1:7" s="3221" customFormat="1" ht="14.25" customHeight="1">
      <c r="A274" s="3232" t="s">
        <v>305</v>
      </c>
      <c r="B274" s="3232" t="s">
        <v>3139</v>
      </c>
      <c r="C274" s="3232"/>
      <c r="D274" s="3232"/>
      <c r="E274" s="3232"/>
      <c r="F274" s="3232">
        <v>1490</v>
      </c>
      <c r="G274" s="3232"/>
    </row>
    <row r="275" spans="1:7" s="3221" customFormat="1" ht="14.25" customHeight="1">
      <c r="A275" s="3232" t="s">
        <v>305</v>
      </c>
      <c r="B275" s="3232" t="s">
        <v>3140</v>
      </c>
      <c r="C275" s="3232"/>
      <c r="D275" s="3232"/>
      <c r="E275" s="3232"/>
      <c r="F275" s="3232">
        <v>1220</v>
      </c>
      <c r="G275" s="3232"/>
    </row>
    <row r="276" spans="1:7" s="3221" customFormat="1" ht="14.25" customHeight="1" thickBot="1">
      <c r="A276" s="3240" t="s">
        <v>305</v>
      </c>
      <c r="B276" s="3242" t="s">
        <v>3141</v>
      </c>
      <c r="C276" s="3243"/>
      <c r="D276" s="3243"/>
      <c r="E276" s="3243"/>
      <c r="F276" s="3243">
        <v>1380</v>
      </c>
      <c r="G276" s="3243"/>
    </row>
    <row r="277" spans="1:7" s="3221" customFormat="1" ht="14.25" customHeight="1">
      <c r="A277" s="3237" t="s">
        <v>306</v>
      </c>
      <c r="B277" s="3228" t="s">
        <v>3142</v>
      </c>
      <c r="C277" s="3228">
        <v>5790</v>
      </c>
      <c r="D277" s="3228">
        <v>5740</v>
      </c>
      <c r="E277" s="3228">
        <v>6730</v>
      </c>
      <c r="F277" s="3228">
        <v>1110</v>
      </c>
      <c r="G277" s="3244">
        <v>3460</v>
      </c>
    </row>
    <row r="278" spans="1:7" s="3221" customFormat="1" ht="14.25" customHeight="1">
      <c r="A278" s="3232" t="s">
        <v>306</v>
      </c>
      <c r="B278" s="3232" t="s">
        <v>135</v>
      </c>
      <c r="C278" s="3232">
        <v>5740</v>
      </c>
      <c r="D278" s="3232">
        <v>5670</v>
      </c>
      <c r="E278" s="3232">
        <v>6680</v>
      </c>
      <c r="F278" s="3232">
        <v>1070</v>
      </c>
      <c r="G278" s="3245">
        <v>3420</v>
      </c>
    </row>
    <row r="279" spans="1:7" s="3221" customFormat="1" ht="14.25" customHeight="1">
      <c r="A279" s="3232" t="s">
        <v>306</v>
      </c>
      <c r="B279" s="3232" t="s">
        <v>3143</v>
      </c>
      <c r="C279" s="3232">
        <v>4760</v>
      </c>
      <c r="D279" s="3232">
        <v>4720</v>
      </c>
      <c r="E279" s="3232">
        <v>5540</v>
      </c>
      <c r="F279" s="3232">
        <v>810</v>
      </c>
      <c r="G279" s="3245">
        <v>2850</v>
      </c>
    </row>
    <row r="280" spans="1:7" s="3221" customFormat="1" ht="14.25" customHeight="1">
      <c r="A280" s="3232" t="s">
        <v>306</v>
      </c>
      <c r="B280" s="3232" t="s">
        <v>3144</v>
      </c>
      <c r="C280" s="3232">
        <v>4010</v>
      </c>
      <c r="D280" s="3232">
        <v>3950</v>
      </c>
      <c r="E280" s="3232">
        <v>4710</v>
      </c>
      <c r="F280" s="3232">
        <v>800</v>
      </c>
      <c r="G280" s="3245">
        <v>2390</v>
      </c>
    </row>
    <row r="281" spans="1:7" s="3221" customFormat="1" ht="14.25" customHeight="1">
      <c r="A281" s="3232" t="s">
        <v>306</v>
      </c>
      <c r="B281" s="3232" t="s">
        <v>3145</v>
      </c>
      <c r="C281" s="3232">
        <v>4480</v>
      </c>
      <c r="D281" s="3232">
        <v>4420</v>
      </c>
      <c r="E281" s="3232">
        <v>5230</v>
      </c>
      <c r="F281" s="3232">
        <v>870</v>
      </c>
      <c r="G281" s="3245">
        <v>2660</v>
      </c>
    </row>
    <row r="282" spans="1:7" s="3221" customFormat="1" ht="14.25" customHeight="1">
      <c r="A282" s="3232" t="s">
        <v>306</v>
      </c>
      <c r="B282" s="3232" t="s">
        <v>3146</v>
      </c>
      <c r="C282" s="3232">
        <v>5360</v>
      </c>
      <c r="D282" s="3232">
        <v>5300</v>
      </c>
      <c r="E282" s="3232">
        <v>6190</v>
      </c>
      <c r="F282" s="3232">
        <v>950</v>
      </c>
      <c r="G282" s="3245">
        <v>3190</v>
      </c>
    </row>
    <row r="283" spans="1:7" s="3221" customFormat="1" ht="14.25" customHeight="1">
      <c r="A283" s="3232" t="s">
        <v>306</v>
      </c>
      <c r="B283" s="3232" t="s">
        <v>174</v>
      </c>
      <c r="C283" s="3232">
        <v>4950</v>
      </c>
      <c r="D283" s="3232">
        <v>4900</v>
      </c>
      <c r="E283" s="3232">
        <v>5720</v>
      </c>
      <c r="F283" s="3232">
        <v>920</v>
      </c>
      <c r="G283" s="3245">
        <v>2950</v>
      </c>
    </row>
    <row r="284" spans="1:7" s="3221" customFormat="1" ht="14.25" customHeight="1">
      <c r="A284" s="3232" t="s">
        <v>306</v>
      </c>
      <c r="B284" s="3232" t="s">
        <v>182</v>
      </c>
      <c r="C284" s="3232">
        <v>5610</v>
      </c>
      <c r="D284" s="3232">
        <v>5560</v>
      </c>
      <c r="E284" s="3232">
        <v>6520</v>
      </c>
      <c r="F284" s="3232">
        <v>1030</v>
      </c>
      <c r="G284" s="3245">
        <v>3360</v>
      </c>
    </row>
    <row r="285" spans="1:7" s="3221" customFormat="1" ht="14.25" customHeight="1">
      <c r="A285" s="3232" t="s">
        <v>306</v>
      </c>
      <c r="B285" s="3232" t="s">
        <v>192</v>
      </c>
      <c r="C285" s="3232">
        <v>5340</v>
      </c>
      <c r="D285" s="3232">
        <v>5290</v>
      </c>
      <c r="E285" s="3232">
        <v>6170</v>
      </c>
      <c r="F285" s="3232">
        <v>1080</v>
      </c>
      <c r="G285" s="3245">
        <v>3180</v>
      </c>
    </row>
    <row r="286" spans="1:7" s="3221" customFormat="1" ht="14.25" customHeight="1">
      <c r="A286" s="3232" t="s">
        <v>306</v>
      </c>
      <c r="B286" s="3232" t="s">
        <v>199</v>
      </c>
      <c r="C286" s="3232">
        <v>4890</v>
      </c>
      <c r="D286" s="3232">
        <v>4840</v>
      </c>
      <c r="E286" s="3232">
        <v>5640</v>
      </c>
      <c r="F286" s="3232">
        <v>960</v>
      </c>
      <c r="G286" s="3245">
        <v>2910</v>
      </c>
    </row>
    <row r="287" spans="1:7" s="3221" customFormat="1" ht="14.25" customHeight="1">
      <c r="A287" s="3232" t="s">
        <v>306</v>
      </c>
      <c r="B287" s="3232" t="s">
        <v>3147</v>
      </c>
      <c r="C287" s="3232">
        <v>4960</v>
      </c>
      <c r="D287" s="3232">
        <v>4920</v>
      </c>
      <c r="E287" s="3232">
        <v>5730</v>
      </c>
      <c r="F287" s="3232">
        <v>930</v>
      </c>
      <c r="G287" s="3245">
        <v>2960</v>
      </c>
    </row>
    <row r="288" spans="1:7" s="3221" customFormat="1" ht="14.25" customHeight="1">
      <c r="A288" s="3232" t="s">
        <v>306</v>
      </c>
      <c r="B288" s="3232" t="s">
        <v>219</v>
      </c>
      <c r="C288" s="3232">
        <v>4350</v>
      </c>
      <c r="D288" s="3232">
        <v>4300</v>
      </c>
      <c r="E288" s="3232">
        <v>4900</v>
      </c>
      <c r="F288" s="3232">
        <v>820</v>
      </c>
      <c r="G288" s="3245">
        <v>2590</v>
      </c>
    </row>
    <row r="289" spans="1:7" s="3221" customFormat="1" ht="14.25" customHeight="1">
      <c r="A289" s="3232" t="s">
        <v>306</v>
      </c>
      <c r="B289" s="3232" t="s">
        <v>3148</v>
      </c>
      <c r="C289" s="3232">
        <v>5230</v>
      </c>
      <c r="D289" s="3232">
        <v>5170</v>
      </c>
      <c r="E289" s="3232">
        <v>6060</v>
      </c>
      <c r="F289" s="3232">
        <v>900</v>
      </c>
      <c r="G289" s="3245">
        <v>3120</v>
      </c>
    </row>
    <row r="290" spans="1:7" s="3221" customFormat="1" ht="14.25" customHeight="1">
      <c r="A290" s="3232" t="s">
        <v>306</v>
      </c>
      <c r="B290" s="3232" t="s">
        <v>242</v>
      </c>
      <c r="C290" s="3232">
        <v>5550</v>
      </c>
      <c r="D290" s="3232">
        <v>5500</v>
      </c>
      <c r="E290" s="3232">
        <v>6440</v>
      </c>
      <c r="F290" s="3232">
        <v>960</v>
      </c>
      <c r="G290" s="3245">
        <v>3320</v>
      </c>
    </row>
    <row r="291" spans="1:7" s="3221" customFormat="1" ht="14.25" customHeight="1">
      <c r="A291" s="3232" t="s">
        <v>306</v>
      </c>
      <c r="B291" s="3232" t="s">
        <v>250</v>
      </c>
      <c r="C291" s="3232">
        <v>5440</v>
      </c>
      <c r="D291" s="3232">
        <v>5400</v>
      </c>
      <c r="E291" s="3232">
        <v>6320</v>
      </c>
      <c r="F291" s="3232">
        <v>930</v>
      </c>
      <c r="G291" s="3245">
        <v>3250</v>
      </c>
    </row>
    <row r="292" spans="1:7" s="3221" customFormat="1" ht="14.25" customHeight="1">
      <c r="A292" s="3232" t="s">
        <v>306</v>
      </c>
      <c r="B292" s="3232" t="s">
        <v>256</v>
      </c>
      <c r="C292" s="3232">
        <v>5400</v>
      </c>
      <c r="D292" s="3232">
        <v>5360</v>
      </c>
      <c r="E292" s="3232">
        <v>6270</v>
      </c>
      <c r="F292" s="3232">
        <v>1040</v>
      </c>
      <c r="G292" s="3245">
        <v>3230</v>
      </c>
    </row>
    <row r="293" spans="1:7" s="3221" customFormat="1" ht="14.25" customHeight="1">
      <c r="A293" s="3232" t="s">
        <v>306</v>
      </c>
      <c r="B293" s="3232" t="s">
        <v>2923</v>
      </c>
      <c r="C293" s="3232">
        <v>5320</v>
      </c>
      <c r="D293" s="3232">
        <v>5270</v>
      </c>
      <c r="E293" s="3232">
        <v>6160</v>
      </c>
      <c r="F293" s="3232">
        <v>990</v>
      </c>
      <c r="G293" s="3245">
        <v>3170</v>
      </c>
    </row>
    <row r="294" spans="1:7" s="3221" customFormat="1" ht="14.25" customHeight="1">
      <c r="A294" s="3232" t="s">
        <v>306</v>
      </c>
      <c r="B294" s="3232" t="s">
        <v>3149</v>
      </c>
      <c r="C294" s="3232">
        <v>5260</v>
      </c>
      <c r="D294" s="3232">
        <v>5210</v>
      </c>
      <c r="E294" s="3232">
        <v>6100</v>
      </c>
      <c r="F294" s="3232">
        <v>950</v>
      </c>
      <c r="G294" s="3245">
        <v>3150</v>
      </c>
    </row>
    <row r="295" spans="1:7" s="3221" customFormat="1" ht="14.25" customHeight="1">
      <c r="A295" s="3232" t="s">
        <v>306</v>
      </c>
      <c r="B295" s="3232" t="s">
        <v>290</v>
      </c>
      <c r="C295" s="3232">
        <v>5610</v>
      </c>
      <c r="D295" s="3232">
        <v>5570</v>
      </c>
      <c r="E295" s="3232">
        <v>6530</v>
      </c>
      <c r="F295" s="3232">
        <v>960</v>
      </c>
      <c r="G295" s="3245">
        <v>3360</v>
      </c>
    </row>
    <row r="296" spans="1:7" s="3221" customFormat="1" ht="14.25" customHeight="1">
      <c r="A296" s="3232" t="s">
        <v>306</v>
      </c>
      <c r="B296" s="3232" t="s">
        <v>293</v>
      </c>
      <c r="C296" s="3232">
        <v>5540</v>
      </c>
      <c r="D296" s="3232">
        <v>5490</v>
      </c>
      <c r="E296" s="3232">
        <v>6430</v>
      </c>
      <c r="F296" s="3232">
        <v>980</v>
      </c>
      <c r="G296" s="3245">
        <v>3310</v>
      </c>
    </row>
    <row r="297" spans="1:7" s="3221" customFormat="1" ht="14.25" customHeight="1">
      <c r="A297" s="3232" t="s">
        <v>306</v>
      </c>
      <c r="B297" s="3232" t="s">
        <v>295</v>
      </c>
      <c r="C297" s="3232">
        <v>5480</v>
      </c>
      <c r="D297" s="3232">
        <v>5420</v>
      </c>
      <c r="E297" s="3232">
        <v>6370</v>
      </c>
      <c r="F297" s="3232">
        <v>990</v>
      </c>
      <c r="G297" s="3245">
        <v>3270</v>
      </c>
    </row>
    <row r="298" spans="1:7" s="3221" customFormat="1" ht="14.25" customHeight="1">
      <c r="A298" s="3232" t="s">
        <v>306</v>
      </c>
      <c r="B298" s="3232" t="s">
        <v>298</v>
      </c>
      <c r="C298" s="3232">
        <v>5090</v>
      </c>
      <c r="D298" s="3232">
        <v>5050</v>
      </c>
      <c r="E298" s="3232">
        <v>5910</v>
      </c>
      <c r="F298" s="3232">
        <v>900</v>
      </c>
      <c r="G298" s="3245">
        <v>3040</v>
      </c>
    </row>
    <row r="299" spans="1:7" s="3221" customFormat="1" ht="14.25" customHeight="1">
      <c r="A299" s="3232" t="s">
        <v>306</v>
      </c>
      <c r="B299" s="3241" t="s">
        <v>2942</v>
      </c>
      <c r="C299" s="3232">
        <v>5430</v>
      </c>
      <c r="D299" s="3232">
        <v>5380</v>
      </c>
      <c r="E299" s="3232">
        <v>6280</v>
      </c>
      <c r="F299" s="3232">
        <v>1000</v>
      </c>
      <c r="G299" s="3245">
        <v>3240</v>
      </c>
    </row>
    <row r="300" spans="1:7" s="3221" customFormat="1" ht="14.25" customHeight="1">
      <c r="A300" s="3232" t="s">
        <v>306</v>
      </c>
      <c r="B300" s="3241" t="s">
        <v>271</v>
      </c>
      <c r="C300" s="3232">
        <v>4740</v>
      </c>
      <c r="D300" s="3232">
        <v>4680</v>
      </c>
      <c r="E300" s="3232">
        <v>5450</v>
      </c>
      <c r="F300" s="3232">
        <v>900</v>
      </c>
      <c r="G300" s="3245">
        <v>2830</v>
      </c>
    </row>
    <row r="301" spans="1:7" s="3221" customFormat="1" ht="14.25" customHeight="1">
      <c r="A301" s="3232" t="s">
        <v>306</v>
      </c>
      <c r="B301" s="3241" t="s">
        <v>276</v>
      </c>
      <c r="C301" s="3232">
        <v>4870</v>
      </c>
      <c r="D301" s="3232">
        <v>4810</v>
      </c>
      <c r="E301" s="3232">
        <v>5560</v>
      </c>
      <c r="F301" s="3232">
        <v>990</v>
      </c>
      <c r="G301" s="3245">
        <v>2910</v>
      </c>
    </row>
    <row r="302" spans="1:7" s="3221" customFormat="1" ht="14.25" customHeight="1">
      <c r="A302" s="3232" t="s">
        <v>306</v>
      </c>
      <c r="B302" s="3232" t="s">
        <v>3150</v>
      </c>
      <c r="C302" s="3232">
        <v>5520</v>
      </c>
      <c r="D302" s="3232">
        <v>5470</v>
      </c>
      <c r="E302" s="3232">
        <v>6410</v>
      </c>
      <c r="F302" s="3232">
        <v>950</v>
      </c>
      <c r="G302" s="3245">
        <v>3300</v>
      </c>
    </row>
    <row r="303" spans="1:7" s="3221" customFormat="1" ht="14.25" customHeight="1">
      <c r="A303" s="3232" t="s">
        <v>306</v>
      </c>
      <c r="B303" s="3232" t="s">
        <v>2962</v>
      </c>
      <c r="C303" s="3232">
        <v>5630</v>
      </c>
      <c r="D303" s="3232">
        <v>5590</v>
      </c>
      <c r="E303" s="3232">
        <v>6550</v>
      </c>
      <c r="F303" s="3232">
        <v>1010</v>
      </c>
      <c r="G303" s="3245">
        <v>3370</v>
      </c>
    </row>
    <row r="304" spans="1:7" s="3221" customFormat="1" ht="14.25" customHeight="1">
      <c r="A304" s="3232" t="s">
        <v>306</v>
      </c>
      <c r="B304" s="3232" t="s">
        <v>2969</v>
      </c>
      <c r="C304" s="3232">
        <v>5680</v>
      </c>
      <c r="D304" s="3232">
        <v>5620</v>
      </c>
      <c r="E304" s="3232">
        <v>6620</v>
      </c>
      <c r="F304" s="3232">
        <v>1050</v>
      </c>
      <c r="G304" s="3245">
        <v>3390</v>
      </c>
    </row>
    <row r="305" spans="1:7" s="3221" customFormat="1" ht="14.25" customHeight="1">
      <c r="A305" s="3232" t="s">
        <v>306</v>
      </c>
      <c r="B305" s="3232" t="s">
        <v>2975</v>
      </c>
      <c r="C305" s="3232">
        <v>5590</v>
      </c>
      <c r="D305" s="3232">
        <v>5530</v>
      </c>
      <c r="E305" s="3232">
        <v>6460</v>
      </c>
      <c r="F305" s="3232">
        <v>900</v>
      </c>
      <c r="G305" s="3245">
        <v>3340</v>
      </c>
    </row>
    <row r="306" spans="1:7" s="3221" customFormat="1" ht="14.25" customHeight="1">
      <c r="A306" s="3232" t="s">
        <v>306</v>
      </c>
      <c r="B306" s="3232" t="s">
        <v>3151</v>
      </c>
      <c r="C306" s="3232">
        <v>5560</v>
      </c>
      <c r="D306" s="3232">
        <v>5510</v>
      </c>
      <c r="E306" s="3232">
        <v>6440</v>
      </c>
      <c r="F306" s="3232">
        <v>900</v>
      </c>
      <c r="G306" s="3245">
        <v>3320</v>
      </c>
    </row>
    <row r="307" spans="1:7" s="3221" customFormat="1" ht="14.25" customHeight="1">
      <c r="A307" s="3232" t="s">
        <v>306</v>
      </c>
      <c r="B307" s="3232" t="s">
        <v>2987</v>
      </c>
      <c r="C307" s="3232">
        <v>5650</v>
      </c>
      <c r="D307" s="3232">
        <v>5600</v>
      </c>
      <c r="E307" s="3232">
        <v>6590</v>
      </c>
      <c r="F307" s="3232">
        <v>930</v>
      </c>
      <c r="G307" s="3245">
        <v>3380</v>
      </c>
    </row>
    <row r="308" spans="1:7" s="3221" customFormat="1" ht="14.25" customHeight="1">
      <c r="A308" s="3232" t="s">
        <v>306</v>
      </c>
      <c r="B308" s="3232" t="s">
        <v>3152</v>
      </c>
      <c r="C308" s="3232">
        <v>5620</v>
      </c>
      <c r="D308" s="3232">
        <v>5580</v>
      </c>
      <c r="E308" s="3232">
        <v>6540</v>
      </c>
      <c r="F308" s="3232">
        <v>910</v>
      </c>
      <c r="G308" s="3245">
        <v>3370</v>
      </c>
    </row>
    <row r="309" spans="1:7" s="3221" customFormat="1" ht="14.25" customHeight="1">
      <c r="A309" s="3232" t="s">
        <v>306</v>
      </c>
      <c r="B309" s="3232" t="s">
        <v>3153</v>
      </c>
      <c r="C309" s="3232">
        <v>5060</v>
      </c>
      <c r="D309" s="3232">
        <v>5020</v>
      </c>
      <c r="E309" s="3232">
        <v>6370</v>
      </c>
      <c r="F309" s="3232">
        <v>800</v>
      </c>
      <c r="G309" s="3245">
        <v>3020</v>
      </c>
    </row>
    <row r="310" spans="1:7" s="3221" customFormat="1" ht="14.25" customHeight="1">
      <c r="A310" s="3232" t="s">
        <v>306</v>
      </c>
      <c r="B310" s="3232" t="s">
        <v>3002</v>
      </c>
      <c r="C310" s="3232">
        <v>5150</v>
      </c>
      <c r="D310" s="3232">
        <v>5110</v>
      </c>
      <c r="E310" s="3232">
        <v>6500</v>
      </c>
      <c r="F310" s="3232">
        <v>880</v>
      </c>
      <c r="G310" s="3245">
        <v>3080</v>
      </c>
    </row>
    <row r="311" spans="1:7" s="3221" customFormat="1" ht="14.25" customHeight="1">
      <c r="A311" s="3232" t="s">
        <v>306</v>
      </c>
      <c r="B311" s="3232" t="s">
        <v>3154</v>
      </c>
      <c r="C311" s="3232">
        <v>4750</v>
      </c>
      <c r="D311" s="3232">
        <v>4710</v>
      </c>
      <c r="E311" s="3232">
        <v>5510</v>
      </c>
      <c r="F311" s="3232">
        <v>880</v>
      </c>
      <c r="G311" s="3245">
        <v>2840</v>
      </c>
    </row>
    <row r="312" spans="1:7" s="3221" customFormat="1" ht="14.25" customHeight="1">
      <c r="A312" s="3232" t="s">
        <v>306</v>
      </c>
      <c r="B312" s="3232" t="s">
        <v>3012</v>
      </c>
      <c r="C312" s="3232">
        <v>4690</v>
      </c>
      <c r="D312" s="3232">
        <v>4640</v>
      </c>
      <c r="E312" s="3232">
        <v>5420</v>
      </c>
      <c r="F312" s="3232">
        <v>800</v>
      </c>
      <c r="G312" s="3245">
        <v>2800</v>
      </c>
    </row>
    <row r="313" spans="1:7" s="3221" customFormat="1" ht="14.25" customHeight="1">
      <c r="A313" s="3232" t="s">
        <v>306</v>
      </c>
      <c r="B313" s="3232" t="s">
        <v>3017</v>
      </c>
      <c r="C313" s="3232">
        <v>4810</v>
      </c>
      <c r="D313" s="3232">
        <v>4760</v>
      </c>
      <c r="E313" s="3232">
        <v>5550</v>
      </c>
      <c r="F313" s="3232">
        <v>920</v>
      </c>
      <c r="G313" s="3245">
        <v>2870</v>
      </c>
    </row>
    <row r="314" spans="1:7" s="3221" customFormat="1" ht="14.25" customHeight="1">
      <c r="A314" s="3232" t="s">
        <v>306</v>
      </c>
      <c r="B314" s="3232" t="s">
        <v>3155</v>
      </c>
      <c r="C314" s="3232"/>
      <c r="D314" s="3232"/>
      <c r="E314" s="3232"/>
      <c r="F314" s="3232">
        <v>1020</v>
      </c>
      <c r="G314" s="3245"/>
    </row>
    <row r="315" spans="1:7" s="3221" customFormat="1" ht="14.25" customHeight="1">
      <c r="A315" s="3232" t="s">
        <v>306</v>
      </c>
      <c r="B315" s="3232" t="s">
        <v>3156</v>
      </c>
      <c r="C315" s="3232"/>
      <c r="D315" s="3232"/>
      <c r="E315" s="3232"/>
      <c r="F315" s="3232">
        <v>1050</v>
      </c>
      <c r="G315" s="3245"/>
    </row>
    <row r="316" spans="1:7" s="3221" customFormat="1" ht="14.25" customHeight="1">
      <c r="A316" s="3232" t="s">
        <v>306</v>
      </c>
      <c r="B316" s="3232" t="s">
        <v>3032</v>
      </c>
      <c r="C316" s="3232"/>
      <c r="D316" s="3232"/>
      <c r="E316" s="3232"/>
      <c r="F316" s="3232">
        <v>900</v>
      </c>
      <c r="G316" s="3245"/>
    </row>
    <row r="317" spans="1:7" s="3221" customFormat="1" ht="14.25" customHeight="1">
      <c r="A317" s="3232" t="s">
        <v>306</v>
      </c>
      <c r="B317" s="3232" t="s">
        <v>3157</v>
      </c>
      <c r="C317" s="3232"/>
      <c r="D317" s="3232"/>
      <c r="E317" s="3232"/>
      <c r="F317" s="3232">
        <v>920</v>
      </c>
      <c r="G317" s="3245"/>
    </row>
    <row r="318" spans="1:7" s="3221" customFormat="1" ht="14.25" customHeight="1">
      <c r="A318" s="3232" t="s">
        <v>306</v>
      </c>
      <c r="B318" s="3232" t="s">
        <v>3158</v>
      </c>
      <c r="C318" s="3232"/>
      <c r="D318" s="3232"/>
      <c r="E318" s="3232"/>
      <c r="F318" s="3232">
        <v>1080</v>
      </c>
      <c r="G318" s="3245"/>
    </row>
    <row r="319" spans="1:7" s="3221" customFormat="1" ht="14.25" customHeight="1">
      <c r="A319" s="3232" t="s">
        <v>306</v>
      </c>
      <c r="B319" s="3232" t="s">
        <v>3045</v>
      </c>
      <c r="C319" s="3232"/>
      <c r="D319" s="3232"/>
      <c r="E319" s="3232"/>
      <c r="F319" s="3232">
        <v>1020</v>
      </c>
      <c r="G319" s="3245"/>
    </row>
    <row r="320" spans="1:7" s="3221" customFormat="1" ht="14.25" customHeight="1">
      <c r="A320" s="3232" t="s">
        <v>306</v>
      </c>
      <c r="B320" s="3232" t="s">
        <v>3048</v>
      </c>
      <c r="C320" s="3232"/>
      <c r="D320" s="3232"/>
      <c r="E320" s="3232"/>
      <c r="F320" s="3232">
        <v>1050</v>
      </c>
      <c r="G320" s="3245"/>
    </row>
    <row r="321" spans="1:7" s="3221" customFormat="1" ht="14.25" customHeight="1">
      <c r="A321" s="3232" t="s">
        <v>306</v>
      </c>
      <c r="B321" s="3232" t="s">
        <v>3050</v>
      </c>
      <c r="C321" s="3232"/>
      <c r="D321" s="3232"/>
      <c r="E321" s="3232"/>
      <c r="F321" s="3232">
        <v>960</v>
      </c>
      <c r="G321" s="3245"/>
    </row>
    <row r="322" spans="1:7" s="3221" customFormat="1" ht="14.25" customHeight="1">
      <c r="A322" s="3232" t="s">
        <v>306</v>
      </c>
      <c r="B322" s="3232" t="s">
        <v>3052</v>
      </c>
      <c r="C322" s="3232"/>
      <c r="D322" s="3232"/>
      <c r="E322" s="3232"/>
      <c r="F322" s="3232">
        <v>960</v>
      </c>
      <c r="G322" s="3245"/>
    </row>
    <row r="323" spans="1:7" s="3221" customFormat="1" ht="14.25" customHeight="1">
      <c r="A323" s="3232" t="s">
        <v>306</v>
      </c>
      <c r="B323" s="3232" t="s">
        <v>3054</v>
      </c>
      <c r="C323" s="3232"/>
      <c r="D323" s="3232"/>
      <c r="E323" s="3232"/>
      <c r="F323" s="3232">
        <v>880</v>
      </c>
      <c r="G323" s="3245"/>
    </row>
    <row r="324" spans="1:7" s="3221" customFormat="1" ht="14.25" customHeight="1">
      <c r="A324" s="3232" t="s">
        <v>306</v>
      </c>
      <c r="B324" s="3232" t="s">
        <v>3056</v>
      </c>
      <c r="C324" s="3232"/>
      <c r="D324" s="3232"/>
      <c r="E324" s="3232"/>
      <c r="F324" s="3232">
        <v>930</v>
      </c>
      <c r="G324" s="3245"/>
    </row>
    <row r="325" spans="1:7" s="3221" customFormat="1" ht="14.25" customHeight="1">
      <c r="A325" s="3232" t="s">
        <v>306</v>
      </c>
      <c r="B325" s="3233" t="s">
        <v>3058</v>
      </c>
      <c r="C325" s="3232"/>
      <c r="D325" s="3232"/>
      <c r="E325" s="3232"/>
      <c r="F325" s="3232">
        <v>900</v>
      </c>
      <c r="G325" s="3245"/>
    </row>
    <row r="326" spans="1:7" s="3221" customFormat="1" ht="14.25" customHeight="1" thickBot="1">
      <c r="A326" s="3246" t="s">
        <v>306</v>
      </c>
      <c r="B326" s="3239" t="s">
        <v>3060</v>
      </c>
      <c r="C326" s="3239"/>
      <c r="D326" s="3239"/>
      <c r="E326" s="3239"/>
      <c r="F326" s="3239">
        <v>790</v>
      </c>
      <c r="G326" s="3247"/>
    </row>
    <row r="327" spans="1:7" s="3221" customFormat="1" ht="14.25" customHeight="1">
      <c r="A327" s="3237" t="s">
        <v>307</v>
      </c>
      <c r="B327" s="3228" t="s">
        <v>3159</v>
      </c>
      <c r="C327" s="3232">
        <v>3750</v>
      </c>
      <c r="D327" s="3232">
        <v>3710</v>
      </c>
      <c r="E327" s="3232">
        <v>4080</v>
      </c>
      <c r="F327" s="3232">
        <v>860</v>
      </c>
      <c r="G327" s="3232">
        <v>2210</v>
      </c>
    </row>
    <row r="328" spans="1:7" s="3221" customFormat="1" ht="14.25" customHeight="1">
      <c r="A328" s="3232" t="s">
        <v>307</v>
      </c>
      <c r="B328" s="3232" t="s">
        <v>136</v>
      </c>
      <c r="C328" s="3232">
        <v>3330</v>
      </c>
      <c r="D328" s="3232">
        <v>3290</v>
      </c>
      <c r="E328" s="3232">
        <v>3610</v>
      </c>
      <c r="F328" s="3232">
        <v>850</v>
      </c>
      <c r="G328" s="3232">
        <v>1960</v>
      </c>
    </row>
    <row r="329" spans="1:7" s="3221" customFormat="1" ht="14.25" customHeight="1">
      <c r="A329" s="3232" t="s">
        <v>307</v>
      </c>
      <c r="B329" s="3232" t="s">
        <v>3160</v>
      </c>
      <c r="C329" s="3232">
        <v>2730</v>
      </c>
      <c r="D329" s="3232">
        <v>2690</v>
      </c>
      <c r="E329" s="3232">
        <v>3100</v>
      </c>
      <c r="F329" s="3232">
        <v>660</v>
      </c>
      <c r="G329" s="3232">
        <v>1610</v>
      </c>
    </row>
    <row r="330" spans="1:7" s="3221" customFormat="1" ht="14.25" customHeight="1">
      <c r="A330" s="3232" t="s">
        <v>307</v>
      </c>
      <c r="B330" s="3232" t="s">
        <v>3161</v>
      </c>
      <c r="C330" s="3232">
        <v>3270</v>
      </c>
      <c r="D330" s="3232">
        <v>3240</v>
      </c>
      <c r="E330" s="3232">
        <v>3560</v>
      </c>
      <c r="F330" s="3232">
        <v>680</v>
      </c>
      <c r="G330" s="3232">
        <v>1940</v>
      </c>
    </row>
    <row r="331" spans="1:7" s="3221" customFormat="1" ht="14.25" customHeight="1">
      <c r="A331" s="3232" t="s">
        <v>307</v>
      </c>
      <c r="B331" s="3232" t="s">
        <v>161</v>
      </c>
      <c r="C331" s="3232">
        <v>3770</v>
      </c>
      <c r="D331" s="3232">
        <v>3740</v>
      </c>
      <c r="E331" s="3232">
        <v>4110</v>
      </c>
      <c r="F331" s="3232">
        <v>730</v>
      </c>
      <c r="G331" s="3232">
        <v>2230</v>
      </c>
    </row>
    <row r="332" spans="1:7" s="3221" customFormat="1" ht="14.25" customHeight="1">
      <c r="A332" s="3232" t="s">
        <v>307</v>
      </c>
      <c r="B332" s="3232" t="s">
        <v>2894</v>
      </c>
      <c r="C332" s="3232">
        <v>3520</v>
      </c>
      <c r="D332" s="3232">
        <v>3480</v>
      </c>
      <c r="E332" s="3232">
        <v>3830</v>
      </c>
      <c r="F332" s="3232">
        <v>720</v>
      </c>
      <c r="G332" s="3232">
        <v>2090</v>
      </c>
    </row>
    <row r="333" spans="1:7" s="3221" customFormat="1" ht="14.25" customHeight="1">
      <c r="A333" s="3232" t="s">
        <v>307</v>
      </c>
      <c r="B333" s="3232" t="s">
        <v>3162</v>
      </c>
      <c r="C333" s="3232">
        <v>3840</v>
      </c>
      <c r="D333" s="3232">
        <v>3800</v>
      </c>
      <c r="E333" s="3232">
        <v>4200</v>
      </c>
      <c r="F333" s="3232">
        <v>760</v>
      </c>
      <c r="G333" s="3232">
        <v>2270</v>
      </c>
    </row>
    <row r="334" spans="1:7" s="3221" customFormat="1" ht="14.25" customHeight="1">
      <c r="A334" s="3232" t="s">
        <v>307</v>
      </c>
      <c r="B334" s="3232" t="s">
        <v>183</v>
      </c>
      <c r="C334" s="3232">
        <v>3960</v>
      </c>
      <c r="D334" s="3232">
        <v>3910</v>
      </c>
      <c r="E334" s="3232">
        <v>4340</v>
      </c>
      <c r="F334" s="3232">
        <v>780</v>
      </c>
      <c r="G334" s="3232">
        <v>2340</v>
      </c>
    </row>
    <row r="335" spans="1:7" s="3221" customFormat="1" ht="14.25" customHeight="1">
      <c r="A335" s="3232" t="s">
        <v>307</v>
      </c>
      <c r="B335" s="3232" t="s">
        <v>193</v>
      </c>
      <c r="C335" s="3232">
        <v>3710</v>
      </c>
      <c r="D335" s="3232">
        <v>3670</v>
      </c>
      <c r="E335" s="3232">
        <v>4030</v>
      </c>
      <c r="F335" s="3232">
        <v>750</v>
      </c>
      <c r="G335" s="3232">
        <v>2200</v>
      </c>
    </row>
    <row r="336" spans="1:7" s="3221" customFormat="1" ht="14.25" customHeight="1">
      <c r="A336" s="3232" t="s">
        <v>307</v>
      </c>
      <c r="B336" s="3232" t="s">
        <v>2904</v>
      </c>
      <c r="C336" s="3232">
        <v>3570</v>
      </c>
      <c r="D336" s="3232">
        <v>3530</v>
      </c>
      <c r="E336" s="3232">
        <v>3880</v>
      </c>
      <c r="F336" s="3232">
        <v>770</v>
      </c>
      <c r="G336" s="3232">
        <v>2110</v>
      </c>
    </row>
    <row r="337" spans="1:10" s="3221" customFormat="1" ht="14.25" customHeight="1">
      <c r="A337" s="3232" t="s">
        <v>307</v>
      </c>
      <c r="B337" s="3232" t="s">
        <v>3163</v>
      </c>
      <c r="C337" s="3232">
        <v>3780</v>
      </c>
      <c r="D337" s="3232">
        <v>3750</v>
      </c>
      <c r="E337" s="3232">
        <v>4130</v>
      </c>
      <c r="F337" s="3232">
        <v>750</v>
      </c>
      <c r="G337" s="3232">
        <v>2240</v>
      </c>
    </row>
    <row r="338" spans="1:10" s="3221" customFormat="1" ht="14.25" customHeight="1">
      <c r="A338" s="3232" t="s">
        <v>307</v>
      </c>
      <c r="B338" s="3232" t="s">
        <v>220</v>
      </c>
      <c r="C338" s="3232">
        <v>3600</v>
      </c>
      <c r="D338" s="3232">
        <v>3570</v>
      </c>
      <c r="E338" s="3232">
        <v>3920</v>
      </c>
      <c r="F338" s="3232">
        <v>790</v>
      </c>
      <c r="G338" s="3232">
        <v>2140</v>
      </c>
    </row>
    <row r="339" spans="1:10" s="3221" customFormat="1" ht="14.25" customHeight="1">
      <c r="A339" s="3232" t="s">
        <v>307</v>
      </c>
      <c r="B339" s="3232" t="s">
        <v>228</v>
      </c>
      <c r="C339" s="3232">
        <v>3540</v>
      </c>
      <c r="D339" s="3232">
        <v>3500</v>
      </c>
      <c r="E339" s="3232">
        <v>3850</v>
      </c>
      <c r="F339" s="3232">
        <v>780</v>
      </c>
      <c r="G339" s="3232">
        <v>2100</v>
      </c>
    </row>
    <row r="340" spans="1:10" s="3221" customFormat="1" ht="14.25" customHeight="1">
      <c r="A340" s="3232" t="s">
        <v>307</v>
      </c>
      <c r="B340" s="3232" t="s">
        <v>3164</v>
      </c>
      <c r="C340" s="3232">
        <v>3850</v>
      </c>
      <c r="D340" s="3232">
        <v>3810</v>
      </c>
      <c r="E340" s="3232">
        <v>4210</v>
      </c>
      <c r="F340" s="3232">
        <v>750</v>
      </c>
      <c r="G340" s="3232">
        <v>2280</v>
      </c>
    </row>
    <row r="341" spans="1:10" s="3221" customFormat="1" ht="14.25" customHeight="1">
      <c r="A341" s="3232" t="s">
        <v>307</v>
      </c>
      <c r="B341" s="3232" t="s">
        <v>207</v>
      </c>
      <c r="C341" s="3232">
        <v>3780</v>
      </c>
      <c r="D341" s="3232">
        <v>3750</v>
      </c>
      <c r="E341" s="3232">
        <v>4140</v>
      </c>
      <c r="F341" s="3232">
        <v>720</v>
      </c>
      <c r="G341" s="3232">
        <v>2240</v>
      </c>
    </row>
    <row r="342" spans="1:10" s="3221" customFormat="1" ht="14.25" customHeight="1">
      <c r="A342" s="3232" t="s">
        <v>307</v>
      </c>
      <c r="B342" s="3232" t="s">
        <v>3165</v>
      </c>
      <c r="C342" s="3232">
        <v>3670</v>
      </c>
      <c r="D342" s="3232">
        <v>3620</v>
      </c>
      <c r="E342" s="3232">
        <v>3990</v>
      </c>
      <c r="F342" s="3232">
        <v>760</v>
      </c>
      <c r="G342" s="3232">
        <v>2170</v>
      </c>
    </row>
    <row r="343" spans="1:10" s="3221" customFormat="1" ht="14.25" customHeight="1">
      <c r="A343" s="3232" t="s">
        <v>307</v>
      </c>
      <c r="B343" s="3232" t="s">
        <v>257</v>
      </c>
      <c r="C343" s="3232">
        <v>3760</v>
      </c>
      <c r="D343" s="3232">
        <v>3720</v>
      </c>
      <c r="E343" s="3232">
        <v>4090</v>
      </c>
      <c r="F343" s="3232">
        <v>780</v>
      </c>
      <c r="G343" s="3232">
        <v>2220</v>
      </c>
    </row>
    <row r="344" spans="1:10" s="3221" customFormat="1" ht="14.25" customHeight="1">
      <c r="A344" s="3232" t="s">
        <v>307</v>
      </c>
      <c r="B344" s="3232" t="s">
        <v>265</v>
      </c>
      <c r="C344" s="3232">
        <v>3680</v>
      </c>
      <c r="D344" s="3232">
        <v>3640</v>
      </c>
      <c r="E344" s="3232">
        <v>4010</v>
      </c>
      <c r="F344" s="3232">
        <v>750</v>
      </c>
      <c r="G344" s="3232">
        <v>2180</v>
      </c>
    </row>
    <row r="345" spans="1:10">
      <c r="A345" s="3232" t="s">
        <v>307</v>
      </c>
      <c r="B345" s="3232" t="s">
        <v>2929</v>
      </c>
      <c r="C345" s="3232">
        <v>3190</v>
      </c>
      <c r="D345" s="3232">
        <v>3140</v>
      </c>
      <c r="E345" s="3232">
        <v>3450</v>
      </c>
      <c r="F345" s="3232">
        <v>720</v>
      </c>
      <c r="G345" s="3232">
        <v>1880</v>
      </c>
      <c r="J345" s="3221"/>
    </row>
    <row r="346" spans="1:10">
      <c r="A346" s="3232" t="s">
        <v>307</v>
      </c>
      <c r="B346" s="3232" t="s">
        <v>3166</v>
      </c>
      <c r="C346" s="3232">
        <v>3630</v>
      </c>
      <c r="D346" s="3232">
        <v>3590</v>
      </c>
      <c r="E346" s="3232">
        <v>3940</v>
      </c>
      <c r="F346" s="3232">
        <v>730</v>
      </c>
      <c r="G346" s="3232">
        <v>2150</v>
      </c>
      <c r="J346" s="3221"/>
    </row>
    <row r="347" spans="1:10">
      <c r="A347" s="3232" t="s">
        <v>307</v>
      </c>
      <c r="B347" s="3232" t="s">
        <v>243</v>
      </c>
      <c r="C347" s="3232">
        <v>3860</v>
      </c>
      <c r="D347" s="3232">
        <v>3820</v>
      </c>
      <c r="E347" s="3232">
        <v>4220</v>
      </c>
      <c r="F347" s="3232">
        <v>750</v>
      </c>
      <c r="G347" s="3232">
        <v>2280</v>
      </c>
      <c r="J347" s="3221"/>
    </row>
    <row r="348" spans="1:10">
      <c r="A348" s="3232" t="s">
        <v>307</v>
      </c>
      <c r="B348" s="3232" t="s">
        <v>2938</v>
      </c>
      <c r="C348" s="3232">
        <v>4000</v>
      </c>
      <c r="D348" s="3232">
        <v>3950</v>
      </c>
      <c r="E348" s="3232">
        <v>4430</v>
      </c>
      <c r="F348" s="3232">
        <v>760</v>
      </c>
      <c r="G348" s="3232">
        <v>2360</v>
      </c>
      <c r="J348" s="3221"/>
    </row>
    <row r="349" spans="1:10">
      <c r="A349" s="3232" t="s">
        <v>307</v>
      </c>
      <c r="B349" s="3232" t="s">
        <v>2943</v>
      </c>
      <c r="C349" s="3232">
        <v>3820</v>
      </c>
      <c r="D349" s="3232">
        <v>3780</v>
      </c>
      <c r="E349" s="3232">
        <v>4170</v>
      </c>
      <c r="F349" s="3232">
        <v>710</v>
      </c>
      <c r="G349" s="3232">
        <v>2260</v>
      </c>
      <c r="J349" s="3221"/>
    </row>
    <row r="350" spans="1:10">
      <c r="A350" s="3232" t="s">
        <v>307</v>
      </c>
      <c r="B350" s="3232" t="s">
        <v>3167</v>
      </c>
      <c r="C350" s="3232">
        <v>3760</v>
      </c>
      <c r="D350" s="3232">
        <v>3730</v>
      </c>
      <c r="E350" s="3232">
        <v>4100</v>
      </c>
      <c r="F350" s="3232">
        <v>800</v>
      </c>
      <c r="G350" s="3232">
        <v>2230</v>
      </c>
      <c r="J350" s="3221"/>
    </row>
    <row r="351" spans="1:10">
      <c r="A351" s="3232" t="s">
        <v>307</v>
      </c>
      <c r="B351" s="3232" t="s">
        <v>2951</v>
      </c>
      <c r="C351" s="3232">
        <v>3610</v>
      </c>
      <c r="D351" s="3232">
        <v>3580</v>
      </c>
      <c r="E351" s="3232">
        <v>3930</v>
      </c>
      <c r="F351" s="3232">
        <v>700</v>
      </c>
      <c r="G351" s="3232">
        <v>2140</v>
      </c>
      <c r="J351" s="3221"/>
    </row>
    <row r="352" spans="1:10">
      <c r="A352" s="3232" t="s">
        <v>307</v>
      </c>
      <c r="B352" s="3232" t="s">
        <v>2956</v>
      </c>
      <c r="C352" s="3232">
        <v>3670</v>
      </c>
      <c r="D352" s="3232">
        <v>3630</v>
      </c>
      <c r="E352" s="3232">
        <v>4000</v>
      </c>
      <c r="F352" s="3232">
        <v>750</v>
      </c>
      <c r="G352" s="3232">
        <v>2180</v>
      </c>
    </row>
    <row r="353" spans="1:7" s="3225" customFormat="1">
      <c r="A353" s="3232" t="s">
        <v>307</v>
      </c>
      <c r="B353" s="3232" t="s">
        <v>3168</v>
      </c>
      <c r="C353" s="3232">
        <v>3190</v>
      </c>
      <c r="D353" s="3232">
        <v>3150</v>
      </c>
      <c r="E353" s="3232">
        <v>3640</v>
      </c>
      <c r="F353" s="3232">
        <v>630</v>
      </c>
      <c r="G353" s="3232">
        <v>1890</v>
      </c>
    </row>
    <row r="354" spans="1:7" s="3225" customFormat="1">
      <c r="A354" s="3232" t="s">
        <v>307</v>
      </c>
      <c r="B354" s="3232" t="s">
        <v>280</v>
      </c>
      <c r="C354" s="3232">
        <v>3450</v>
      </c>
      <c r="D354" s="3232">
        <v>3420</v>
      </c>
      <c r="E354" s="3232">
        <v>3960</v>
      </c>
      <c r="F354" s="3232">
        <v>660</v>
      </c>
      <c r="G354" s="3232">
        <v>2050</v>
      </c>
    </row>
    <row r="355" spans="1:7" s="3225" customFormat="1">
      <c r="A355" s="3232" t="s">
        <v>307</v>
      </c>
      <c r="B355" s="3232" t="s">
        <v>2976</v>
      </c>
      <c r="C355" s="3232">
        <v>3650</v>
      </c>
      <c r="D355" s="3232">
        <v>3610</v>
      </c>
      <c r="E355" s="3232">
        <v>4200</v>
      </c>
      <c r="F355" s="3232">
        <v>640</v>
      </c>
      <c r="G355" s="3232">
        <v>2160</v>
      </c>
    </row>
    <row r="356" spans="1:7" s="3225" customFormat="1">
      <c r="A356" s="3232" t="s">
        <v>307</v>
      </c>
      <c r="B356" s="3232" t="s">
        <v>2983</v>
      </c>
      <c r="C356" s="3232">
        <v>3260</v>
      </c>
      <c r="D356" s="3232">
        <v>3230</v>
      </c>
      <c r="E356" s="3232">
        <v>3740</v>
      </c>
      <c r="F356" s="3232">
        <v>600</v>
      </c>
      <c r="G356" s="3232">
        <v>1930</v>
      </c>
    </row>
    <row r="357" spans="1:7" s="3225" customFormat="1" ht="12" thickBot="1">
      <c r="A357" s="3240" t="s">
        <v>307</v>
      </c>
      <c r="B357" s="3243" t="s">
        <v>3169</v>
      </c>
      <c r="C357" s="3243">
        <v>3690</v>
      </c>
      <c r="D357" s="3243">
        <v>3650</v>
      </c>
      <c r="E357" s="3243">
        <v>4020</v>
      </c>
      <c r="F357" s="3243">
        <v>700</v>
      </c>
      <c r="G357" s="3243">
        <v>2190</v>
      </c>
    </row>
    <row r="358" spans="1:7" s="3225" customFormat="1">
      <c r="A358" s="3237" t="s">
        <v>3170</v>
      </c>
      <c r="B358" s="3228" t="s">
        <v>3171</v>
      </c>
      <c r="C358" s="3228">
        <v>2080</v>
      </c>
      <c r="D358" s="3228">
        <v>2040</v>
      </c>
      <c r="E358" s="3228">
        <v>2010</v>
      </c>
      <c r="F358" s="3228">
        <v>530</v>
      </c>
      <c r="G358" s="3244">
        <v>1230</v>
      </c>
    </row>
    <row r="359" spans="1:7" s="3225" customFormat="1">
      <c r="A359" s="3232" t="s">
        <v>3170</v>
      </c>
      <c r="B359" s="3232" t="s">
        <v>3172</v>
      </c>
      <c r="C359" s="3232">
        <v>1850</v>
      </c>
      <c r="D359" s="3232">
        <v>1820</v>
      </c>
      <c r="E359" s="3232">
        <v>1780</v>
      </c>
      <c r="F359" s="3232">
        <v>520</v>
      </c>
      <c r="G359" s="3245">
        <v>1100</v>
      </c>
    </row>
    <row r="360" spans="1:7" s="3225" customFormat="1">
      <c r="A360" s="3232" t="s">
        <v>3170</v>
      </c>
      <c r="B360" s="3232" t="s">
        <v>3173</v>
      </c>
      <c r="C360" s="3232">
        <v>2020</v>
      </c>
      <c r="D360" s="3232">
        <v>1990</v>
      </c>
      <c r="E360" s="3232">
        <v>1950</v>
      </c>
      <c r="F360" s="3232">
        <v>500</v>
      </c>
      <c r="G360" s="3245">
        <v>1200</v>
      </c>
    </row>
    <row r="361" spans="1:7" s="3225" customFormat="1">
      <c r="A361" s="3232" t="s">
        <v>3170</v>
      </c>
      <c r="B361" s="3232" t="s">
        <v>153</v>
      </c>
      <c r="C361" s="3232">
        <v>2260</v>
      </c>
      <c r="D361" s="3232">
        <v>2220</v>
      </c>
      <c r="E361" s="3232">
        <v>2180</v>
      </c>
      <c r="F361" s="3232">
        <v>580</v>
      </c>
      <c r="G361" s="3245">
        <v>1340</v>
      </c>
    </row>
    <row r="362" spans="1:7" s="3225" customFormat="1">
      <c r="A362" s="3232" t="s">
        <v>3170</v>
      </c>
      <c r="B362" s="3232" t="s">
        <v>3174</v>
      </c>
      <c r="C362" s="3232">
        <v>2650</v>
      </c>
      <c r="D362" s="3232">
        <v>2610</v>
      </c>
      <c r="E362" s="3232">
        <v>2570</v>
      </c>
      <c r="F362" s="3232">
        <v>630</v>
      </c>
      <c r="G362" s="3245">
        <v>1570</v>
      </c>
    </row>
    <row r="363" spans="1:7" s="3225" customFormat="1">
      <c r="A363" s="3232" t="s">
        <v>3170</v>
      </c>
      <c r="B363" s="3232" t="s">
        <v>2895</v>
      </c>
      <c r="C363" s="3232">
        <v>2390</v>
      </c>
      <c r="D363" s="3232">
        <v>2360</v>
      </c>
      <c r="E363" s="3232">
        <v>2320</v>
      </c>
      <c r="F363" s="3232">
        <v>600</v>
      </c>
      <c r="G363" s="3245">
        <v>1420</v>
      </c>
    </row>
    <row r="364" spans="1:7" s="3225" customFormat="1">
      <c r="A364" s="3232" t="s">
        <v>3170</v>
      </c>
      <c r="B364" s="3232" t="s">
        <v>3175</v>
      </c>
      <c r="C364" s="3232">
        <v>2050</v>
      </c>
      <c r="D364" s="3232">
        <v>2030</v>
      </c>
      <c r="E364" s="3232">
        <v>1990</v>
      </c>
      <c r="F364" s="3232">
        <v>550</v>
      </c>
      <c r="G364" s="3245">
        <v>1220</v>
      </c>
    </row>
    <row r="365" spans="1:7" s="3225" customFormat="1">
      <c r="A365" s="3232" t="s">
        <v>3170</v>
      </c>
      <c r="B365" s="3232" t="s">
        <v>200</v>
      </c>
      <c r="C365" s="3232">
        <v>2140</v>
      </c>
      <c r="D365" s="3232">
        <v>2100</v>
      </c>
      <c r="E365" s="3232">
        <v>2060</v>
      </c>
      <c r="F365" s="3232">
        <v>540</v>
      </c>
      <c r="G365" s="3245">
        <v>1270</v>
      </c>
    </row>
    <row r="366" spans="1:7" s="3225" customFormat="1">
      <c r="A366" s="3232" t="s">
        <v>3170</v>
      </c>
      <c r="B366" s="3232" t="s">
        <v>2902</v>
      </c>
      <c r="C366" s="3232">
        <v>2410</v>
      </c>
      <c r="D366" s="3232">
        <v>2370</v>
      </c>
      <c r="E366" s="3232">
        <v>2330</v>
      </c>
      <c r="F366" s="3232">
        <v>570</v>
      </c>
      <c r="G366" s="3245">
        <v>1440</v>
      </c>
    </row>
    <row r="367" spans="1:7" s="3225" customFormat="1">
      <c r="A367" s="3232" t="s">
        <v>3170</v>
      </c>
      <c r="B367" s="3232" t="s">
        <v>3176</v>
      </c>
      <c r="C367" s="3232">
        <v>2300</v>
      </c>
      <c r="D367" s="3232">
        <v>2260</v>
      </c>
      <c r="E367" s="3232">
        <v>2220</v>
      </c>
      <c r="F367" s="3232">
        <v>560</v>
      </c>
      <c r="G367" s="3245">
        <v>1370</v>
      </c>
    </row>
    <row r="368" spans="1:7" s="3225" customFormat="1">
      <c r="A368" s="3232" t="s">
        <v>3170</v>
      </c>
      <c r="B368" s="3232" t="s">
        <v>3177</v>
      </c>
      <c r="C368" s="3232">
        <v>2430</v>
      </c>
      <c r="D368" s="3232">
        <v>2390</v>
      </c>
      <c r="E368" s="3232">
        <v>2350</v>
      </c>
      <c r="F368" s="3232">
        <v>570</v>
      </c>
      <c r="G368" s="3245">
        <v>1450</v>
      </c>
    </row>
    <row r="369" spans="1:7" s="3225" customFormat="1">
      <c r="A369" s="3232" t="s">
        <v>3170</v>
      </c>
      <c r="B369" s="3232" t="s">
        <v>214</v>
      </c>
      <c r="C369" s="3232">
        <v>2320</v>
      </c>
      <c r="D369" s="3232">
        <v>2290</v>
      </c>
      <c r="E369" s="3232">
        <v>2250</v>
      </c>
      <c r="F369" s="3232">
        <v>550</v>
      </c>
      <c r="G369" s="3245">
        <v>1380</v>
      </c>
    </row>
    <row r="370" spans="1:7" s="3225" customFormat="1">
      <c r="A370" s="3232" t="s">
        <v>3170</v>
      </c>
      <c r="B370" s="3232" t="s">
        <v>221</v>
      </c>
      <c r="C370" s="3232">
        <v>2190</v>
      </c>
      <c r="D370" s="3232">
        <v>2170</v>
      </c>
      <c r="E370" s="3232">
        <v>2130</v>
      </c>
      <c r="F370" s="3232">
        <v>530</v>
      </c>
      <c r="G370" s="3245">
        <v>1310</v>
      </c>
    </row>
    <row r="371" spans="1:7" s="3225" customFormat="1">
      <c r="A371" s="3232" t="s">
        <v>3170</v>
      </c>
      <c r="B371" s="3232" t="s">
        <v>229</v>
      </c>
      <c r="C371" s="3232">
        <v>2460</v>
      </c>
      <c r="D371" s="3232">
        <v>2420</v>
      </c>
      <c r="E371" s="3232">
        <v>2370</v>
      </c>
      <c r="F371" s="3232">
        <v>560</v>
      </c>
      <c r="G371" s="3245">
        <v>1470</v>
      </c>
    </row>
    <row r="372" spans="1:7" s="3225" customFormat="1">
      <c r="A372" s="3232" t="s">
        <v>3170</v>
      </c>
      <c r="B372" s="3232" t="s">
        <v>3178</v>
      </c>
      <c r="C372" s="3232">
        <v>2250</v>
      </c>
      <c r="D372" s="3232">
        <v>2210</v>
      </c>
      <c r="E372" s="3232">
        <v>2180</v>
      </c>
      <c r="F372" s="3232">
        <v>550</v>
      </c>
      <c r="G372" s="3245">
        <v>1340</v>
      </c>
    </row>
    <row r="373" spans="1:7" s="3225" customFormat="1">
      <c r="A373" s="3232" t="s">
        <v>3170</v>
      </c>
      <c r="B373" s="3232" t="s">
        <v>258</v>
      </c>
      <c r="C373" s="3232">
        <v>2210</v>
      </c>
      <c r="D373" s="3232">
        <v>2190</v>
      </c>
      <c r="E373" s="3232">
        <v>2150</v>
      </c>
      <c r="F373" s="3232">
        <v>530</v>
      </c>
      <c r="G373" s="3245">
        <v>1320</v>
      </c>
    </row>
    <row r="374" spans="1:7" s="3225" customFormat="1">
      <c r="A374" s="3232" t="s">
        <v>3170</v>
      </c>
      <c r="B374" s="3232" t="s">
        <v>266</v>
      </c>
      <c r="C374" s="3232">
        <v>2320</v>
      </c>
      <c r="D374" s="3232">
        <v>2280</v>
      </c>
      <c r="E374" s="3232">
        <v>2230</v>
      </c>
      <c r="F374" s="3232">
        <v>580</v>
      </c>
      <c r="G374" s="3245">
        <v>1380</v>
      </c>
    </row>
    <row r="375" spans="1:7" s="3225" customFormat="1">
      <c r="A375" s="3232" t="s">
        <v>3170</v>
      </c>
      <c r="B375" s="3232" t="s">
        <v>3179</v>
      </c>
      <c r="C375" s="3232">
        <v>2090</v>
      </c>
      <c r="D375" s="3232">
        <v>2050</v>
      </c>
      <c r="E375" s="3232">
        <v>2020</v>
      </c>
      <c r="F375" s="3232">
        <v>520</v>
      </c>
      <c r="G375" s="3245">
        <v>1240</v>
      </c>
    </row>
    <row r="376" spans="1:7" s="3225" customFormat="1">
      <c r="A376" s="3232" t="s">
        <v>3170</v>
      </c>
      <c r="B376" s="3232" t="s">
        <v>277</v>
      </c>
      <c r="C376" s="3232">
        <v>2010</v>
      </c>
      <c r="D376" s="3232">
        <v>1980</v>
      </c>
      <c r="E376" s="3232">
        <v>1940</v>
      </c>
      <c r="F376" s="3232">
        <v>540</v>
      </c>
      <c r="G376" s="3245">
        <v>1190</v>
      </c>
    </row>
    <row r="377" spans="1:7" s="3225" customFormat="1" ht="12" thickBot="1">
      <c r="A377" s="3240" t="s">
        <v>3170</v>
      </c>
      <c r="B377" s="3243" t="s">
        <v>2932</v>
      </c>
      <c r="C377" s="3243">
        <v>1930</v>
      </c>
      <c r="D377" s="3243">
        <v>1890</v>
      </c>
      <c r="E377" s="3243">
        <v>1860</v>
      </c>
      <c r="F377" s="3243">
        <v>530</v>
      </c>
      <c r="G377" s="3248">
        <v>1150</v>
      </c>
    </row>
    <row r="378" spans="1:7" s="3225" customFormat="1">
      <c r="A378" s="3249" t="s">
        <v>3180</v>
      </c>
      <c r="B378" s="3228" t="s">
        <v>3181</v>
      </c>
      <c r="C378" s="3228">
        <v>1520</v>
      </c>
      <c r="D378" s="3228">
        <v>1490</v>
      </c>
      <c r="E378" s="3228">
        <v>1460</v>
      </c>
      <c r="F378" s="3228">
        <v>460</v>
      </c>
      <c r="G378" s="3244">
        <v>940</v>
      </c>
    </row>
    <row r="379" spans="1:7" s="3225" customFormat="1">
      <c r="A379" s="3250" t="s">
        <v>3180</v>
      </c>
      <c r="B379" s="3232" t="s">
        <v>3182</v>
      </c>
      <c r="C379" s="3232">
        <v>1500</v>
      </c>
      <c r="D379" s="3232">
        <v>1470</v>
      </c>
      <c r="E379" s="3232">
        <v>1430</v>
      </c>
      <c r="F379" s="3232">
        <v>460</v>
      </c>
      <c r="G379" s="3245">
        <v>920</v>
      </c>
    </row>
    <row r="380" spans="1:7" s="3225" customFormat="1">
      <c r="A380" s="3250" t="s">
        <v>3180</v>
      </c>
      <c r="B380" s="3232" t="s">
        <v>3183</v>
      </c>
      <c r="C380" s="3232">
        <v>1620</v>
      </c>
      <c r="D380" s="3232">
        <v>1590</v>
      </c>
      <c r="E380" s="3232">
        <v>1560</v>
      </c>
      <c r="F380" s="3232">
        <v>480</v>
      </c>
      <c r="G380" s="3245">
        <v>1000</v>
      </c>
    </row>
    <row r="381" spans="1:7" s="3225" customFormat="1">
      <c r="A381" s="3250" t="s">
        <v>3180</v>
      </c>
      <c r="B381" s="3232" t="s">
        <v>3184</v>
      </c>
      <c r="C381" s="3232">
        <v>1460</v>
      </c>
      <c r="D381" s="3232">
        <v>1430</v>
      </c>
      <c r="E381" s="3232">
        <v>1390</v>
      </c>
      <c r="F381" s="3232">
        <v>450</v>
      </c>
      <c r="G381" s="3245">
        <v>900</v>
      </c>
    </row>
    <row r="382" spans="1:7" s="3225" customFormat="1">
      <c r="A382" s="3250" t="s">
        <v>3180</v>
      </c>
      <c r="B382" s="3232" t="s">
        <v>3185</v>
      </c>
      <c r="C382" s="3232">
        <v>1310</v>
      </c>
      <c r="D382" s="3232">
        <v>1280</v>
      </c>
      <c r="E382" s="3232">
        <v>1250</v>
      </c>
      <c r="F382" s="3232">
        <v>440</v>
      </c>
      <c r="G382" s="3245">
        <v>800</v>
      </c>
    </row>
    <row r="383" spans="1:7" s="3225" customFormat="1">
      <c r="A383" s="3250" t="s">
        <v>3180</v>
      </c>
      <c r="B383" s="3232" t="s">
        <v>3186</v>
      </c>
      <c r="C383" s="3232">
        <v>1260</v>
      </c>
      <c r="D383" s="3232">
        <v>1230</v>
      </c>
      <c r="E383" s="3232">
        <v>1200</v>
      </c>
      <c r="F383" s="3232">
        <v>420</v>
      </c>
      <c r="G383" s="3245">
        <v>770</v>
      </c>
    </row>
    <row r="384" spans="1:7" s="3225" customFormat="1" ht="12" thickBot="1">
      <c r="A384" s="3251" t="s">
        <v>3180</v>
      </c>
      <c r="B384" s="3239" t="s">
        <v>3187</v>
      </c>
      <c r="C384" s="3239">
        <v>1170</v>
      </c>
      <c r="D384" s="3239">
        <v>1140</v>
      </c>
      <c r="E384" s="3239">
        <v>1120</v>
      </c>
      <c r="F384" s="3239">
        <v>400</v>
      </c>
      <c r="G384" s="3247">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8" customWidth="1"/>
    <col min="2" max="2" width="20" style="3288" customWidth="1"/>
    <col min="3" max="7" width="8.875" style="3252"/>
    <col min="8" max="16384" width="8.875" style="3253"/>
  </cols>
  <sheetData>
    <row r="1" spans="1:7">
      <c r="A1" s="3887" t="s">
        <v>3188</v>
      </c>
      <c r="B1" s="3887"/>
    </row>
    <row r="2" spans="1:7" ht="14.25" thickBot="1">
      <c r="A2" s="3254"/>
      <c r="B2" s="3254"/>
    </row>
    <row r="3" spans="1:7" ht="14.25" thickBot="1">
      <c r="A3" s="3254"/>
      <c r="B3" s="3254"/>
      <c r="C3" s="3255" t="s">
        <v>2814</v>
      </c>
      <c r="D3" s="3255" t="s">
        <v>2874</v>
      </c>
      <c r="E3" s="3255" t="s">
        <v>2816</v>
      </c>
      <c r="F3" s="3255" t="s">
        <v>2875</v>
      </c>
      <c r="G3" s="3255" t="s">
        <v>2634</v>
      </c>
    </row>
    <row r="4" spans="1:7" ht="14.25" thickBot="1">
      <c r="A4" s="3256" t="s">
        <v>2873</v>
      </c>
      <c r="B4" s="3257" t="s">
        <v>2879</v>
      </c>
      <c r="C4" s="3255"/>
      <c r="D4" s="3255"/>
      <c r="E4" s="3255"/>
      <c r="F4" s="3255"/>
      <c r="G4" s="3255"/>
    </row>
    <row r="5" spans="1:7">
      <c r="A5" s="3258" t="s">
        <v>2847</v>
      </c>
      <c r="B5" s="3259" t="s">
        <v>2861</v>
      </c>
      <c r="C5" s="3260">
        <v>9.8000000000000004E-2</v>
      </c>
      <c r="D5" s="3260">
        <v>8.6999999999999994E-2</v>
      </c>
      <c r="E5" s="3260">
        <v>8.6999999999999994E-2</v>
      </c>
      <c r="F5" s="3260">
        <v>9.8000000000000004E-2</v>
      </c>
      <c r="G5" s="3261">
        <v>9.5000000000000001E-2</v>
      </c>
    </row>
    <row r="6" spans="1:7">
      <c r="A6" s="3262" t="s">
        <v>144</v>
      </c>
      <c r="B6" s="3263" t="s">
        <v>2876</v>
      </c>
      <c r="C6" s="3264">
        <v>9.8000000000000004E-2</v>
      </c>
      <c r="D6" s="3264">
        <v>9.8000000000000004E-2</v>
      </c>
      <c r="E6" s="3264">
        <v>9.8000000000000004E-2</v>
      </c>
      <c r="F6" s="3264">
        <v>0.1</v>
      </c>
      <c r="G6" s="3265">
        <v>9.9000000000000005E-2</v>
      </c>
    </row>
    <row r="7" spans="1:7">
      <c r="A7" s="3262" t="s">
        <v>144</v>
      </c>
      <c r="B7" s="3263" t="s">
        <v>137</v>
      </c>
      <c r="C7" s="3264">
        <v>9.7000000000000003E-2</v>
      </c>
      <c r="D7" s="3264">
        <v>9.7000000000000003E-2</v>
      </c>
      <c r="E7" s="3264">
        <v>9.6000000000000002E-2</v>
      </c>
      <c r="F7" s="3264">
        <v>0.1</v>
      </c>
      <c r="G7" s="3265">
        <v>9.8000000000000004E-2</v>
      </c>
    </row>
    <row r="8" spans="1:7">
      <c r="A8" s="3262" t="s">
        <v>144</v>
      </c>
      <c r="B8" s="3263" t="s">
        <v>145</v>
      </c>
      <c r="C8" s="3264">
        <v>8.1000000000000003E-2</v>
      </c>
      <c r="D8" s="3264">
        <v>8.2000000000000003E-2</v>
      </c>
      <c r="E8" s="3264">
        <v>7.0000000000000007E-2</v>
      </c>
      <c r="F8" s="3264">
        <v>9.6000000000000002E-2</v>
      </c>
      <c r="G8" s="3265">
        <v>8.8999999999999996E-2</v>
      </c>
    </row>
    <row r="9" spans="1:7" ht="14.25" thickBot="1">
      <c r="A9" s="3266" t="s">
        <v>144</v>
      </c>
      <c r="B9" s="3267" t="s">
        <v>154</v>
      </c>
      <c r="C9" s="3268">
        <v>0.1</v>
      </c>
      <c r="D9" s="3268">
        <v>0.1</v>
      </c>
      <c r="E9" s="3268">
        <v>0.1</v>
      </c>
      <c r="F9" s="3269"/>
      <c r="G9" s="3270">
        <v>0.1</v>
      </c>
    </row>
    <row r="10" spans="1:7">
      <c r="A10" s="3258" t="s">
        <v>184</v>
      </c>
      <c r="B10" s="3259" t="s">
        <v>2862</v>
      </c>
      <c r="C10" s="3260">
        <v>6.7000000000000004E-2</v>
      </c>
      <c r="D10" s="3260">
        <v>7.9000000000000001E-2</v>
      </c>
      <c r="E10" s="3260">
        <v>7.9000000000000001E-2</v>
      </c>
      <c r="F10" s="3260">
        <v>0.1</v>
      </c>
      <c r="G10" s="3261">
        <v>9.0999999999999998E-2</v>
      </c>
    </row>
    <row r="11" spans="1:7">
      <c r="A11" s="3262" t="s">
        <v>184</v>
      </c>
      <c r="B11" s="3263" t="s">
        <v>128</v>
      </c>
      <c r="C11" s="3264">
        <v>0.05</v>
      </c>
      <c r="D11" s="3264">
        <v>5.2999999999999999E-2</v>
      </c>
      <c r="E11" s="3264">
        <v>6.3E-2</v>
      </c>
      <c r="F11" s="3264">
        <v>0.1</v>
      </c>
      <c r="G11" s="3265">
        <v>7.1999999999999995E-2</v>
      </c>
    </row>
    <row r="12" spans="1:7">
      <c r="A12" s="3262" t="s">
        <v>184</v>
      </c>
      <c r="B12" s="3263" t="s">
        <v>111</v>
      </c>
      <c r="C12" s="3264">
        <v>5.2999999999999999E-2</v>
      </c>
      <c r="D12" s="3264">
        <v>0.09</v>
      </c>
      <c r="E12" s="3264">
        <v>7.1999999999999995E-2</v>
      </c>
      <c r="F12" s="3264">
        <v>0.1</v>
      </c>
      <c r="G12" s="3265">
        <v>9.7000000000000003E-2</v>
      </c>
    </row>
    <row r="13" spans="1:7">
      <c r="A13" s="3262" t="s">
        <v>184</v>
      </c>
      <c r="B13" s="3263" t="s">
        <v>146</v>
      </c>
      <c r="C13" s="3264">
        <v>9.7000000000000003E-2</v>
      </c>
      <c r="D13" s="3264">
        <v>9.1999999999999998E-2</v>
      </c>
      <c r="E13" s="3264">
        <v>9.5000000000000001E-2</v>
      </c>
      <c r="F13" s="3264">
        <v>0.1</v>
      </c>
      <c r="G13" s="3265">
        <v>9.7000000000000003E-2</v>
      </c>
    </row>
    <row r="14" spans="1:7">
      <c r="A14" s="3262" t="s">
        <v>184</v>
      </c>
      <c r="B14" s="3263" t="s">
        <v>155</v>
      </c>
      <c r="C14" s="3264">
        <v>9.7000000000000003E-2</v>
      </c>
      <c r="D14" s="3264">
        <v>9.7000000000000003E-2</v>
      </c>
      <c r="E14" s="3264">
        <v>9.7000000000000003E-2</v>
      </c>
      <c r="F14" s="3264">
        <v>0.1</v>
      </c>
      <c r="G14" s="3265">
        <v>9.8000000000000004E-2</v>
      </c>
    </row>
    <row r="15" spans="1:7">
      <c r="A15" s="3262" t="s">
        <v>184</v>
      </c>
      <c r="B15" s="3263" t="s">
        <v>162</v>
      </c>
      <c r="C15" s="3264">
        <v>9.8000000000000004E-2</v>
      </c>
      <c r="D15" s="3264">
        <v>9.0999999999999998E-2</v>
      </c>
      <c r="E15" s="3264">
        <v>0.06</v>
      </c>
      <c r="F15" s="3264">
        <v>0.1</v>
      </c>
      <c r="G15" s="3265">
        <v>9.7000000000000003E-2</v>
      </c>
    </row>
    <row r="16" spans="1:7">
      <c r="A16" s="3262" t="s">
        <v>184</v>
      </c>
      <c r="B16" s="3263" t="s">
        <v>168</v>
      </c>
      <c r="C16" s="3264">
        <v>9.8000000000000004E-2</v>
      </c>
      <c r="D16" s="3264">
        <v>9.7000000000000003E-2</v>
      </c>
      <c r="E16" s="3264">
        <v>9.5000000000000001E-2</v>
      </c>
      <c r="F16" s="3264">
        <v>0.1</v>
      </c>
      <c r="G16" s="3265">
        <v>9.9000000000000005E-2</v>
      </c>
    </row>
    <row r="17" spans="1:7">
      <c r="A17" s="3262" t="s">
        <v>184</v>
      </c>
      <c r="B17" s="3263" t="s">
        <v>175</v>
      </c>
      <c r="C17" s="3264">
        <v>8.8999999999999996E-2</v>
      </c>
      <c r="D17" s="3264">
        <v>9.1999999999999998E-2</v>
      </c>
      <c r="E17" s="3264">
        <v>6.0999999999999999E-2</v>
      </c>
      <c r="F17" s="3264">
        <v>0.1</v>
      </c>
      <c r="G17" s="3265">
        <v>9.7000000000000003E-2</v>
      </c>
    </row>
    <row r="18" spans="1:7">
      <c r="A18" s="3262" t="s">
        <v>184</v>
      </c>
      <c r="B18" s="3263" t="s">
        <v>185</v>
      </c>
      <c r="C18" s="3264">
        <v>9.8000000000000004E-2</v>
      </c>
      <c r="D18" s="3264">
        <v>9.8000000000000004E-2</v>
      </c>
      <c r="E18" s="3264">
        <v>9.8000000000000004E-2</v>
      </c>
      <c r="F18" s="3271"/>
      <c r="G18" s="3265">
        <v>9.9000000000000005E-2</v>
      </c>
    </row>
    <row r="19" spans="1:7">
      <c r="A19" s="3262" t="s">
        <v>184</v>
      </c>
      <c r="B19" s="3263" t="s">
        <v>194</v>
      </c>
      <c r="C19" s="3264">
        <v>9.9000000000000005E-2</v>
      </c>
      <c r="D19" s="3264">
        <v>7.3999999999999996E-2</v>
      </c>
      <c r="E19" s="3264">
        <v>8.1000000000000003E-2</v>
      </c>
      <c r="F19" s="3271"/>
      <c r="G19" s="3265">
        <v>9.2999999999999999E-2</v>
      </c>
    </row>
    <row r="20" spans="1:7">
      <c r="A20" s="3262" t="s">
        <v>184</v>
      </c>
      <c r="B20" s="3263" t="s">
        <v>201</v>
      </c>
      <c r="C20" s="3264">
        <v>0.1</v>
      </c>
      <c r="D20" s="3264">
        <v>8.8999999999999996E-2</v>
      </c>
      <c r="E20" s="3264">
        <v>8.8999999999999996E-2</v>
      </c>
      <c r="F20" s="3271"/>
      <c r="G20" s="3265">
        <v>9.5000000000000001E-2</v>
      </c>
    </row>
    <row r="21" spans="1:7">
      <c r="A21" s="3262" t="s">
        <v>184</v>
      </c>
      <c r="B21" s="3263" t="s">
        <v>208</v>
      </c>
      <c r="C21" s="3264">
        <v>0.1</v>
      </c>
      <c r="D21" s="3264">
        <v>9.0999999999999998E-2</v>
      </c>
      <c r="E21" s="3264">
        <v>8.2000000000000003E-2</v>
      </c>
      <c r="F21" s="3271"/>
      <c r="G21" s="3265">
        <v>9.7000000000000003E-2</v>
      </c>
    </row>
    <row r="22" spans="1:7">
      <c r="A22" s="3262" t="s">
        <v>184</v>
      </c>
      <c r="B22" s="3263" t="s">
        <v>2912</v>
      </c>
      <c r="C22" s="3264">
        <v>9.5000000000000001E-2</v>
      </c>
      <c r="D22" s="3264">
        <v>9.9000000000000005E-2</v>
      </c>
      <c r="E22" s="3264">
        <v>9.8000000000000004E-2</v>
      </c>
      <c r="F22" s="3271"/>
      <c r="G22" s="3265">
        <v>0.1</v>
      </c>
    </row>
    <row r="23" spans="1:7">
      <c r="A23" s="3262" t="s">
        <v>184</v>
      </c>
      <c r="B23" s="3263" t="s">
        <v>222</v>
      </c>
      <c r="C23" s="3264">
        <v>9.9000000000000005E-2</v>
      </c>
      <c r="D23" s="3264">
        <v>0.1</v>
      </c>
      <c r="E23" s="3264">
        <v>0.1</v>
      </c>
      <c r="F23" s="3271"/>
      <c r="G23" s="3265">
        <v>0.1</v>
      </c>
    </row>
    <row r="24" spans="1:7">
      <c r="A24" s="3262" t="s">
        <v>184</v>
      </c>
      <c r="B24" s="3263" t="s">
        <v>230</v>
      </c>
      <c r="C24" s="3264">
        <v>9.5000000000000001E-2</v>
      </c>
      <c r="D24" s="3264">
        <v>0.1</v>
      </c>
      <c r="E24" s="3264">
        <v>9.8000000000000004E-2</v>
      </c>
      <c r="F24" s="3271"/>
      <c r="G24" s="3265">
        <v>0.1</v>
      </c>
    </row>
    <row r="25" spans="1:7">
      <c r="A25" s="3262" t="s">
        <v>184</v>
      </c>
      <c r="B25" s="3263" t="s">
        <v>235</v>
      </c>
      <c r="C25" s="3264">
        <v>0.05</v>
      </c>
      <c r="D25" s="3264">
        <v>9.6000000000000002E-2</v>
      </c>
      <c r="E25" s="3264">
        <v>9.6000000000000002E-2</v>
      </c>
      <c r="F25" s="3271"/>
      <c r="G25" s="3265">
        <v>9.6000000000000002E-2</v>
      </c>
    </row>
    <row r="26" spans="1:7">
      <c r="A26" s="3262" t="s">
        <v>184</v>
      </c>
      <c r="B26" s="3263" t="s">
        <v>244</v>
      </c>
      <c r="C26" s="3264">
        <v>6.3E-2</v>
      </c>
      <c r="D26" s="3264">
        <v>9.9000000000000005E-2</v>
      </c>
      <c r="E26" s="3264">
        <v>9.8000000000000004E-2</v>
      </c>
      <c r="F26" s="3271"/>
      <c r="G26" s="3265">
        <v>0.1</v>
      </c>
    </row>
    <row r="27" spans="1:7">
      <c r="A27" s="3262" t="s">
        <v>184</v>
      </c>
      <c r="B27" s="3263" t="s">
        <v>251</v>
      </c>
      <c r="C27" s="3264">
        <v>5.1999999999999998E-2</v>
      </c>
      <c r="D27" s="3264">
        <v>9.5000000000000001E-2</v>
      </c>
      <c r="E27" s="3264">
        <v>6.4000000000000001E-2</v>
      </c>
      <c r="F27" s="3271"/>
      <c r="G27" s="3265">
        <v>9.7000000000000003E-2</v>
      </c>
    </row>
    <row r="28" spans="1:7">
      <c r="A28" s="3262" t="s">
        <v>184</v>
      </c>
      <c r="B28" s="3263" t="s">
        <v>259</v>
      </c>
      <c r="C28" s="3271"/>
      <c r="D28" s="3264">
        <v>6.3E-2</v>
      </c>
      <c r="E28" s="3264">
        <v>5.1999999999999998E-2</v>
      </c>
      <c r="F28" s="3271"/>
      <c r="G28" s="3265">
        <v>6.3E-2</v>
      </c>
    </row>
    <row r="29" spans="1:7" ht="14.25" thickBot="1">
      <c r="A29" s="3266" t="s">
        <v>184</v>
      </c>
      <c r="B29" s="3267" t="s">
        <v>2930</v>
      </c>
      <c r="C29" s="3272"/>
      <c r="D29" s="3268">
        <v>5.1999999999999998E-2</v>
      </c>
      <c r="E29" s="3268">
        <v>7.0000000000000007E-2</v>
      </c>
      <c r="F29" s="3272"/>
      <c r="G29" s="3270">
        <v>7.0999999999999994E-2</v>
      </c>
    </row>
    <row r="30" spans="1:7">
      <c r="A30" s="3273" t="s">
        <v>296</v>
      </c>
      <c r="B30" s="3259" t="s">
        <v>2863</v>
      </c>
      <c r="C30" s="3260">
        <v>6.6000000000000003E-2</v>
      </c>
      <c r="D30" s="3260">
        <v>6.6000000000000003E-2</v>
      </c>
      <c r="E30" s="3260">
        <v>5.7000000000000002E-2</v>
      </c>
      <c r="F30" s="3260">
        <v>0.1</v>
      </c>
      <c r="G30" s="3261">
        <v>6.8000000000000005E-2</v>
      </c>
    </row>
    <row r="31" spans="1:7">
      <c r="A31" s="3274" t="s">
        <v>296</v>
      </c>
      <c r="B31" s="3263" t="s">
        <v>129</v>
      </c>
      <c r="C31" s="3264">
        <v>5.5E-2</v>
      </c>
      <c r="D31" s="3264">
        <v>8.2000000000000003E-2</v>
      </c>
      <c r="E31" s="3264">
        <v>6.4000000000000001E-2</v>
      </c>
      <c r="F31" s="3264">
        <v>0.1</v>
      </c>
      <c r="G31" s="3265">
        <v>9.5000000000000001E-2</v>
      </c>
    </row>
    <row r="32" spans="1:7">
      <c r="A32" s="3274" t="s">
        <v>296</v>
      </c>
      <c r="B32" s="3263" t="s">
        <v>138</v>
      </c>
      <c r="C32" s="3264">
        <v>8.2000000000000003E-2</v>
      </c>
      <c r="D32" s="3264">
        <v>8.6999999999999994E-2</v>
      </c>
      <c r="E32" s="3264">
        <v>9.5000000000000001E-2</v>
      </c>
      <c r="F32" s="3264">
        <v>0.1</v>
      </c>
      <c r="G32" s="3265">
        <v>9.6000000000000002E-2</v>
      </c>
    </row>
    <row r="33" spans="1:7">
      <c r="A33" s="3274" t="s">
        <v>296</v>
      </c>
      <c r="B33" s="3263" t="s">
        <v>147</v>
      </c>
      <c r="C33" s="3264">
        <v>9.9000000000000005E-2</v>
      </c>
      <c r="D33" s="3264">
        <v>9.1999999999999998E-2</v>
      </c>
      <c r="E33" s="3264">
        <v>8.6999999999999994E-2</v>
      </c>
      <c r="F33" s="3264">
        <v>0.1</v>
      </c>
      <c r="G33" s="3265">
        <v>9.7000000000000003E-2</v>
      </c>
    </row>
    <row r="34" spans="1:7">
      <c r="A34" s="3274" t="s">
        <v>296</v>
      </c>
      <c r="B34" s="3263" t="s">
        <v>156</v>
      </c>
      <c r="C34" s="3264">
        <v>8.4000000000000005E-2</v>
      </c>
      <c r="D34" s="3264">
        <v>9.7000000000000003E-2</v>
      </c>
      <c r="E34" s="3264">
        <v>7.0999999999999994E-2</v>
      </c>
      <c r="F34" s="3264">
        <v>0.1</v>
      </c>
      <c r="G34" s="3265">
        <v>9.8000000000000004E-2</v>
      </c>
    </row>
    <row r="35" spans="1:7">
      <c r="A35" s="3274" t="s">
        <v>296</v>
      </c>
      <c r="B35" s="3263" t="s">
        <v>163</v>
      </c>
      <c r="C35" s="3264">
        <v>8.3000000000000004E-2</v>
      </c>
      <c r="D35" s="3264">
        <v>9.7000000000000003E-2</v>
      </c>
      <c r="E35" s="3264">
        <v>6.0999999999999999E-2</v>
      </c>
      <c r="F35" s="3264">
        <v>0.1</v>
      </c>
      <c r="G35" s="3265">
        <v>9.9000000000000005E-2</v>
      </c>
    </row>
    <row r="36" spans="1:7">
      <c r="A36" s="3274" t="s">
        <v>296</v>
      </c>
      <c r="B36" s="3263" t="s">
        <v>169</v>
      </c>
      <c r="C36" s="3264">
        <v>9.7000000000000003E-2</v>
      </c>
      <c r="D36" s="3264">
        <v>9.7000000000000003E-2</v>
      </c>
      <c r="E36" s="3264">
        <v>7.8E-2</v>
      </c>
      <c r="F36" s="3264">
        <v>0.1</v>
      </c>
      <c r="G36" s="3265">
        <v>9.9000000000000005E-2</v>
      </c>
    </row>
    <row r="37" spans="1:7">
      <c r="A37" s="3274" t="s">
        <v>296</v>
      </c>
      <c r="B37" s="3263" t="s">
        <v>176</v>
      </c>
      <c r="C37" s="3264">
        <v>9.7000000000000003E-2</v>
      </c>
      <c r="D37" s="3264">
        <v>9.5000000000000001E-2</v>
      </c>
      <c r="E37" s="3264">
        <v>7.8E-2</v>
      </c>
      <c r="F37" s="3264">
        <v>0.1</v>
      </c>
      <c r="G37" s="3265">
        <v>9.7000000000000003E-2</v>
      </c>
    </row>
    <row r="38" spans="1:7">
      <c r="A38" s="3274" t="s">
        <v>296</v>
      </c>
      <c r="B38" s="3263" t="s">
        <v>186</v>
      </c>
      <c r="C38" s="3264">
        <v>9.7000000000000003E-2</v>
      </c>
      <c r="D38" s="3264">
        <v>7.6999999999999999E-2</v>
      </c>
      <c r="E38" s="3264">
        <v>7.0000000000000007E-2</v>
      </c>
      <c r="F38" s="3264">
        <v>0.1</v>
      </c>
      <c r="G38" s="3265">
        <v>7.6999999999999999E-2</v>
      </c>
    </row>
    <row r="39" spans="1:7">
      <c r="A39" s="3274" t="s">
        <v>296</v>
      </c>
      <c r="B39" s="3263" t="s">
        <v>195</v>
      </c>
      <c r="C39" s="3264">
        <v>9.5000000000000001E-2</v>
      </c>
      <c r="D39" s="3264">
        <v>7.6999999999999999E-2</v>
      </c>
      <c r="E39" s="3264">
        <v>6.6000000000000003E-2</v>
      </c>
      <c r="F39" s="3264">
        <v>0.1</v>
      </c>
      <c r="G39" s="3265">
        <v>8.5999999999999993E-2</v>
      </c>
    </row>
    <row r="40" spans="1:7">
      <c r="A40" s="3274" t="s">
        <v>296</v>
      </c>
      <c r="B40" s="3263" t="s">
        <v>202</v>
      </c>
      <c r="C40" s="3264">
        <v>7.6999999999999999E-2</v>
      </c>
      <c r="D40" s="3264">
        <v>7.8E-2</v>
      </c>
      <c r="E40" s="3264">
        <v>8.2000000000000003E-2</v>
      </c>
      <c r="F40" s="3275"/>
      <c r="G40" s="3265">
        <v>7.8E-2</v>
      </c>
    </row>
    <row r="41" spans="1:7">
      <c r="A41" s="3274" t="s">
        <v>296</v>
      </c>
      <c r="B41" s="3263" t="s">
        <v>209</v>
      </c>
      <c r="C41" s="3264">
        <v>7.8E-2</v>
      </c>
      <c r="D41" s="3264">
        <v>7.8E-2</v>
      </c>
      <c r="E41" s="3264">
        <v>8.2000000000000003E-2</v>
      </c>
      <c r="F41" s="3275"/>
      <c r="G41" s="3265">
        <v>8.5999999999999993E-2</v>
      </c>
    </row>
    <row r="42" spans="1:7">
      <c r="A42" s="3274" t="s">
        <v>296</v>
      </c>
      <c r="B42" s="3263" t="s">
        <v>215</v>
      </c>
      <c r="C42" s="3264">
        <v>7.8E-2</v>
      </c>
      <c r="D42" s="3264">
        <v>9.6000000000000002E-2</v>
      </c>
      <c r="E42" s="3264">
        <v>7.1999999999999995E-2</v>
      </c>
      <c r="F42" s="3275"/>
      <c r="G42" s="3265">
        <v>9.8000000000000004E-2</v>
      </c>
    </row>
    <row r="43" spans="1:7">
      <c r="A43" s="3274" t="s">
        <v>2849</v>
      </c>
      <c r="B43" s="3263" t="s">
        <v>223</v>
      </c>
      <c r="C43" s="3264">
        <v>7.8E-2</v>
      </c>
      <c r="D43" s="3264">
        <v>9.9000000000000005E-2</v>
      </c>
      <c r="E43" s="3264">
        <v>9.6000000000000002E-2</v>
      </c>
      <c r="F43" s="3275"/>
      <c r="G43" s="3265">
        <v>0.1</v>
      </c>
    </row>
    <row r="44" spans="1:7">
      <c r="A44" s="3274" t="s">
        <v>296</v>
      </c>
      <c r="B44" s="3263" t="s">
        <v>231</v>
      </c>
      <c r="C44" s="3264">
        <v>9.6000000000000002E-2</v>
      </c>
      <c r="D44" s="3264">
        <v>0.1</v>
      </c>
      <c r="E44" s="3264">
        <v>9.8000000000000004E-2</v>
      </c>
      <c r="F44" s="3275"/>
      <c r="G44" s="3265">
        <v>0.1</v>
      </c>
    </row>
    <row r="45" spans="1:7">
      <c r="A45" s="3274" t="s">
        <v>296</v>
      </c>
      <c r="B45" s="3263" t="s">
        <v>236</v>
      </c>
      <c r="C45" s="3264">
        <v>9.9000000000000005E-2</v>
      </c>
      <c r="D45" s="3264">
        <v>9.8000000000000004E-2</v>
      </c>
      <c r="E45" s="3264">
        <v>9.5000000000000001E-2</v>
      </c>
      <c r="F45" s="3275"/>
      <c r="G45" s="3265">
        <v>9.8000000000000004E-2</v>
      </c>
    </row>
    <row r="46" spans="1:7">
      <c r="A46" s="3274" t="s">
        <v>296</v>
      </c>
      <c r="B46" s="3263" t="s">
        <v>245</v>
      </c>
      <c r="C46" s="3264">
        <v>0.1</v>
      </c>
      <c r="D46" s="3264">
        <v>9.9000000000000005E-2</v>
      </c>
      <c r="E46" s="3264">
        <v>9.6000000000000002E-2</v>
      </c>
      <c r="F46" s="3275"/>
      <c r="G46" s="3265">
        <v>0.1</v>
      </c>
    </row>
    <row r="47" spans="1:7">
      <c r="A47" s="3274" t="s">
        <v>296</v>
      </c>
      <c r="B47" s="3263" t="s">
        <v>252</v>
      </c>
      <c r="C47" s="3264">
        <v>9.8000000000000004E-2</v>
      </c>
      <c r="D47" s="3264">
        <v>8.6999999999999994E-2</v>
      </c>
      <c r="E47" s="3264">
        <v>5.8999999999999997E-2</v>
      </c>
      <c r="F47" s="3275"/>
      <c r="G47" s="3265">
        <v>9.6000000000000002E-2</v>
      </c>
    </row>
    <row r="48" spans="1:7">
      <c r="A48" s="3274" t="s">
        <v>296</v>
      </c>
      <c r="B48" s="3263" t="s">
        <v>260</v>
      </c>
      <c r="C48" s="3264">
        <v>9.9000000000000005E-2</v>
      </c>
      <c r="D48" s="3264">
        <v>9.8000000000000004E-2</v>
      </c>
      <c r="E48" s="3264">
        <v>9.5000000000000001E-2</v>
      </c>
      <c r="F48" s="3275"/>
      <c r="G48" s="3265">
        <v>9.8000000000000004E-2</v>
      </c>
    </row>
    <row r="49" spans="1:7">
      <c r="A49" s="3274" t="s">
        <v>296</v>
      </c>
      <c r="B49" s="3263" t="s">
        <v>267</v>
      </c>
      <c r="C49" s="3264">
        <v>8.7999999999999995E-2</v>
      </c>
      <c r="D49" s="3264">
        <v>9.9000000000000005E-2</v>
      </c>
      <c r="E49" s="3264">
        <v>7.0000000000000007E-2</v>
      </c>
      <c r="F49" s="3275"/>
      <c r="G49" s="3265">
        <v>0.1</v>
      </c>
    </row>
    <row r="50" spans="1:7">
      <c r="A50" s="3274" t="s">
        <v>296</v>
      </c>
      <c r="B50" s="3263" t="s">
        <v>2933</v>
      </c>
      <c r="C50" s="3264">
        <v>9.8000000000000004E-2</v>
      </c>
      <c r="D50" s="3264">
        <v>7.2999999999999995E-2</v>
      </c>
      <c r="E50" s="3264">
        <v>7.0999999999999994E-2</v>
      </c>
      <c r="F50" s="3275"/>
      <c r="G50" s="3265">
        <v>7.2999999999999995E-2</v>
      </c>
    </row>
    <row r="51" spans="1:7">
      <c r="A51" s="3274" t="s">
        <v>296</v>
      </c>
      <c r="B51" s="3263" t="s">
        <v>2935</v>
      </c>
      <c r="C51" s="3264">
        <v>9.9000000000000005E-2</v>
      </c>
      <c r="D51" s="3264">
        <v>8.5000000000000006E-2</v>
      </c>
      <c r="E51" s="3264">
        <v>6.3E-2</v>
      </c>
      <c r="F51" s="3275"/>
      <c r="G51" s="3265">
        <v>9.6000000000000002E-2</v>
      </c>
    </row>
    <row r="52" spans="1:7">
      <c r="A52" s="3274" t="s">
        <v>296</v>
      </c>
      <c r="B52" s="3263" t="s">
        <v>2939</v>
      </c>
      <c r="C52" s="3264">
        <v>7.3999999999999996E-2</v>
      </c>
      <c r="D52" s="3264">
        <v>9.6000000000000002E-2</v>
      </c>
      <c r="E52" s="3264">
        <v>0.05</v>
      </c>
      <c r="F52" s="3275"/>
      <c r="G52" s="3265">
        <v>9.8000000000000004E-2</v>
      </c>
    </row>
    <row r="53" spans="1:7">
      <c r="A53" s="3274" t="s">
        <v>296</v>
      </c>
      <c r="B53" s="3263" t="s">
        <v>2944</v>
      </c>
      <c r="C53" s="3264">
        <v>8.5999999999999993E-2</v>
      </c>
      <c r="D53" s="3275"/>
      <c r="E53" s="3264">
        <v>9.1999999999999998E-2</v>
      </c>
      <c r="F53" s="3275"/>
      <c r="G53" s="3276"/>
    </row>
    <row r="54" spans="1:7" ht="14.25" thickBot="1">
      <c r="A54" s="3277" t="s">
        <v>296</v>
      </c>
      <c r="B54" s="3267" t="s">
        <v>2947</v>
      </c>
      <c r="C54" s="3268">
        <v>9.6000000000000002E-2</v>
      </c>
      <c r="D54" s="3269"/>
      <c r="E54" s="3278"/>
      <c r="F54" s="3269"/>
      <c r="G54" s="3279"/>
    </row>
    <row r="55" spans="1:7">
      <c r="A55" s="3273" t="s">
        <v>110</v>
      </c>
      <c r="B55" s="3259" t="s">
        <v>2864</v>
      </c>
      <c r="C55" s="3260">
        <v>9.6000000000000002E-2</v>
      </c>
      <c r="D55" s="3260">
        <v>8.4000000000000005E-2</v>
      </c>
      <c r="E55" s="3260">
        <v>9.1999999999999998E-2</v>
      </c>
      <c r="F55" s="3260">
        <v>0.1</v>
      </c>
      <c r="G55" s="3261">
        <v>9.5000000000000001E-2</v>
      </c>
    </row>
    <row r="56" spans="1:7">
      <c r="A56" s="3274" t="s">
        <v>110</v>
      </c>
      <c r="B56" s="3263" t="s">
        <v>130</v>
      </c>
      <c r="C56" s="3264">
        <v>8.4000000000000005E-2</v>
      </c>
      <c r="D56" s="3264">
        <v>9.1999999999999998E-2</v>
      </c>
      <c r="E56" s="3264">
        <v>9.5000000000000001E-2</v>
      </c>
      <c r="F56" s="3264">
        <v>9.1999999999999998E-2</v>
      </c>
      <c r="G56" s="3265">
        <v>9.6000000000000002E-2</v>
      </c>
    </row>
    <row r="57" spans="1:7">
      <c r="A57" s="3274" t="s">
        <v>110</v>
      </c>
      <c r="B57" s="3263" t="s">
        <v>139</v>
      </c>
      <c r="C57" s="3264">
        <v>9.9000000000000005E-2</v>
      </c>
      <c r="D57" s="3264">
        <v>9.6000000000000002E-2</v>
      </c>
      <c r="E57" s="3264">
        <v>9.1999999999999998E-2</v>
      </c>
      <c r="F57" s="3264">
        <v>0.1</v>
      </c>
      <c r="G57" s="3265">
        <v>9.8000000000000004E-2</v>
      </c>
    </row>
    <row r="58" spans="1:7">
      <c r="A58" s="3274" t="s">
        <v>110</v>
      </c>
      <c r="B58" s="3263" t="s">
        <v>148</v>
      </c>
      <c r="C58" s="3264">
        <v>9.8000000000000004E-2</v>
      </c>
      <c r="D58" s="3264">
        <v>9.5000000000000001E-2</v>
      </c>
      <c r="E58" s="3264">
        <v>5.7000000000000002E-2</v>
      </c>
      <c r="F58" s="3264">
        <v>0.1</v>
      </c>
      <c r="G58" s="3265">
        <v>9.6000000000000002E-2</v>
      </c>
    </row>
    <row r="59" spans="1:7">
      <c r="A59" s="3274" t="s">
        <v>110</v>
      </c>
      <c r="B59" s="3263" t="s">
        <v>157</v>
      </c>
      <c r="C59" s="3264">
        <v>9.5000000000000001E-2</v>
      </c>
      <c r="D59" s="3264">
        <v>0.1</v>
      </c>
      <c r="E59" s="3264">
        <v>7.4999999999999997E-2</v>
      </c>
      <c r="F59" s="3264">
        <v>0.1</v>
      </c>
      <c r="G59" s="3265">
        <v>0.1</v>
      </c>
    </row>
    <row r="60" spans="1:7">
      <c r="A60" s="3274" t="s">
        <v>110</v>
      </c>
      <c r="B60" s="3263" t="s">
        <v>164</v>
      </c>
      <c r="C60" s="3264">
        <v>0.1</v>
      </c>
      <c r="D60" s="3264">
        <v>9.7000000000000003E-2</v>
      </c>
      <c r="E60" s="3264">
        <v>0.1</v>
      </c>
      <c r="F60" s="3264">
        <v>0.1</v>
      </c>
      <c r="G60" s="3265">
        <v>9.7000000000000003E-2</v>
      </c>
    </row>
    <row r="61" spans="1:7">
      <c r="A61" s="3274" t="s">
        <v>110</v>
      </c>
      <c r="B61" s="3263" t="s">
        <v>170</v>
      </c>
      <c r="C61" s="3264">
        <v>9.7000000000000003E-2</v>
      </c>
      <c r="D61" s="3264">
        <v>0.1</v>
      </c>
      <c r="E61" s="3264">
        <v>9.2999999999999999E-2</v>
      </c>
      <c r="F61" s="3264">
        <v>0.1</v>
      </c>
      <c r="G61" s="3265">
        <v>0.1</v>
      </c>
    </row>
    <row r="62" spans="1:7">
      <c r="A62" s="3274" t="s">
        <v>110</v>
      </c>
      <c r="B62" s="3263" t="s">
        <v>177</v>
      </c>
      <c r="C62" s="3264">
        <v>0.1</v>
      </c>
      <c r="D62" s="3264">
        <v>9.7000000000000003E-2</v>
      </c>
      <c r="E62" s="3264">
        <v>8.8999999999999996E-2</v>
      </c>
      <c r="F62" s="3264">
        <v>0.1</v>
      </c>
      <c r="G62" s="3265">
        <v>9.8000000000000004E-2</v>
      </c>
    </row>
    <row r="63" spans="1:7">
      <c r="A63" s="3274" t="s">
        <v>110</v>
      </c>
      <c r="B63" s="3263" t="s">
        <v>187</v>
      </c>
      <c r="C63" s="3264">
        <v>9.7000000000000003E-2</v>
      </c>
      <c r="D63" s="3264">
        <v>9.7000000000000003E-2</v>
      </c>
      <c r="E63" s="3264">
        <v>9.9000000000000005E-2</v>
      </c>
      <c r="F63" s="3264">
        <v>0.1</v>
      </c>
      <c r="G63" s="3265">
        <v>9.7000000000000003E-2</v>
      </c>
    </row>
    <row r="64" spans="1:7">
      <c r="A64" s="3274" t="s">
        <v>110</v>
      </c>
      <c r="B64" s="3263" t="s">
        <v>196</v>
      </c>
      <c r="C64" s="3264">
        <v>9.7000000000000003E-2</v>
      </c>
      <c r="D64" s="3264">
        <v>7.3999999999999996E-2</v>
      </c>
      <c r="E64" s="3264">
        <v>7.8E-2</v>
      </c>
      <c r="F64" s="3264">
        <v>0.1</v>
      </c>
      <c r="G64" s="3265">
        <v>8.8999999999999996E-2</v>
      </c>
    </row>
    <row r="65" spans="1:7">
      <c r="A65" s="3274" t="s">
        <v>110</v>
      </c>
      <c r="B65" s="3263" t="s">
        <v>203</v>
      </c>
      <c r="C65" s="3264">
        <v>7.2999999999999995E-2</v>
      </c>
      <c r="D65" s="3264">
        <v>9.8000000000000004E-2</v>
      </c>
      <c r="E65" s="3264">
        <v>9.5000000000000001E-2</v>
      </c>
      <c r="F65" s="3264">
        <v>0.1</v>
      </c>
      <c r="G65" s="3265">
        <v>9.9000000000000005E-2</v>
      </c>
    </row>
    <row r="66" spans="1:7">
      <c r="A66" s="3274" t="s">
        <v>110</v>
      </c>
      <c r="B66" s="3263" t="s">
        <v>210</v>
      </c>
      <c r="C66" s="3264">
        <v>9.8000000000000004E-2</v>
      </c>
      <c r="D66" s="3264">
        <v>9.5000000000000001E-2</v>
      </c>
      <c r="E66" s="3264">
        <v>0.05</v>
      </c>
      <c r="F66" s="3264">
        <v>0.1</v>
      </c>
      <c r="G66" s="3265">
        <v>9.7000000000000003E-2</v>
      </c>
    </row>
    <row r="67" spans="1:7">
      <c r="A67" s="3274" t="s">
        <v>110</v>
      </c>
      <c r="B67" s="3263" t="s">
        <v>216</v>
      </c>
      <c r="C67" s="3264">
        <v>9.5000000000000001E-2</v>
      </c>
      <c r="D67" s="3264">
        <v>9.7000000000000003E-2</v>
      </c>
      <c r="E67" s="3264">
        <v>9.7000000000000003E-2</v>
      </c>
      <c r="F67" s="3264">
        <v>0.1</v>
      </c>
      <c r="G67" s="3265">
        <v>9.9000000000000005E-2</v>
      </c>
    </row>
    <row r="68" spans="1:7">
      <c r="A68" s="3274" t="s">
        <v>110</v>
      </c>
      <c r="B68" s="3263" t="s">
        <v>224</v>
      </c>
      <c r="C68" s="3264">
        <v>9.7000000000000003E-2</v>
      </c>
      <c r="D68" s="3264">
        <v>6.8000000000000005E-2</v>
      </c>
      <c r="E68" s="3264">
        <v>6.6000000000000003E-2</v>
      </c>
      <c r="F68" s="3264">
        <v>0.1</v>
      </c>
      <c r="G68" s="3265">
        <v>8.4000000000000005E-2</v>
      </c>
    </row>
    <row r="69" spans="1:7">
      <c r="A69" s="3274" t="s">
        <v>110</v>
      </c>
      <c r="B69" s="3263" t="s">
        <v>232</v>
      </c>
      <c r="C69" s="3264">
        <v>6.8000000000000005E-2</v>
      </c>
      <c r="D69" s="3264">
        <v>9.8000000000000004E-2</v>
      </c>
      <c r="E69" s="3264">
        <v>9.5000000000000001E-2</v>
      </c>
      <c r="F69" s="3264">
        <v>0.1</v>
      </c>
      <c r="G69" s="3265">
        <v>0.1</v>
      </c>
    </row>
    <row r="70" spans="1:7">
      <c r="A70" s="3274" t="s">
        <v>110</v>
      </c>
      <c r="B70" s="3263" t="s">
        <v>237</v>
      </c>
      <c r="C70" s="3264">
        <v>9.8000000000000004E-2</v>
      </c>
      <c r="D70" s="3264">
        <v>8.8999999999999996E-2</v>
      </c>
      <c r="E70" s="3264">
        <v>5.8999999999999997E-2</v>
      </c>
      <c r="F70" s="3264">
        <v>0.1</v>
      </c>
      <c r="G70" s="3265">
        <v>9.6000000000000002E-2</v>
      </c>
    </row>
    <row r="71" spans="1:7">
      <c r="A71" s="3274" t="s">
        <v>110</v>
      </c>
      <c r="B71" s="3263" t="s">
        <v>246</v>
      </c>
      <c r="C71" s="3264">
        <v>8.8999999999999996E-2</v>
      </c>
      <c r="D71" s="3264">
        <v>9.9000000000000005E-2</v>
      </c>
      <c r="E71" s="3264">
        <v>9.6000000000000002E-2</v>
      </c>
      <c r="F71" s="3264">
        <v>0.1</v>
      </c>
      <c r="G71" s="3265">
        <v>0.1</v>
      </c>
    </row>
    <row r="72" spans="1:7">
      <c r="A72" s="3274" t="s">
        <v>110</v>
      </c>
      <c r="B72" s="3263" t="s">
        <v>253</v>
      </c>
      <c r="C72" s="3264">
        <v>9.9000000000000005E-2</v>
      </c>
      <c r="D72" s="3264">
        <v>0.1</v>
      </c>
      <c r="E72" s="3264">
        <v>7.0000000000000007E-2</v>
      </c>
      <c r="F72" s="3275"/>
      <c r="G72" s="3265">
        <v>0.1</v>
      </c>
    </row>
    <row r="73" spans="1:7">
      <c r="A73" s="3274" t="s">
        <v>110</v>
      </c>
      <c r="B73" s="3263" t="s">
        <v>261</v>
      </c>
      <c r="C73" s="3264">
        <v>0.1</v>
      </c>
      <c r="D73" s="3264">
        <v>0.1</v>
      </c>
      <c r="E73" s="3264">
        <v>9.6000000000000002E-2</v>
      </c>
      <c r="F73" s="3275"/>
      <c r="G73" s="3265">
        <v>0.1</v>
      </c>
    </row>
    <row r="74" spans="1:7">
      <c r="A74" s="3274" t="s">
        <v>110</v>
      </c>
      <c r="B74" s="3263" t="s">
        <v>268</v>
      </c>
      <c r="C74" s="3264">
        <v>0.1</v>
      </c>
      <c r="D74" s="3264">
        <v>0.1</v>
      </c>
      <c r="E74" s="3264">
        <v>9.8000000000000004E-2</v>
      </c>
      <c r="F74" s="3275"/>
      <c r="G74" s="3265">
        <v>0.1</v>
      </c>
    </row>
    <row r="75" spans="1:7">
      <c r="A75" s="3274" t="s">
        <v>110</v>
      </c>
      <c r="B75" s="3263" t="s">
        <v>272</v>
      </c>
      <c r="C75" s="3264">
        <v>0.1</v>
      </c>
      <c r="D75" s="3264">
        <v>9.9000000000000005E-2</v>
      </c>
      <c r="E75" s="3264">
        <v>9.8000000000000004E-2</v>
      </c>
      <c r="F75" s="3275"/>
      <c r="G75" s="3265">
        <v>0.1</v>
      </c>
    </row>
    <row r="76" spans="1:7">
      <c r="A76" s="3274" t="s">
        <v>110</v>
      </c>
      <c r="B76" s="3263" t="s">
        <v>278</v>
      </c>
      <c r="C76" s="3264">
        <v>9.9000000000000005E-2</v>
      </c>
      <c r="D76" s="3264">
        <v>0.1</v>
      </c>
      <c r="E76" s="3264">
        <v>9.7000000000000003E-2</v>
      </c>
      <c r="F76" s="3275"/>
      <c r="G76" s="3265">
        <v>0.1</v>
      </c>
    </row>
    <row r="77" spans="1:7">
      <c r="A77" s="3274" t="s">
        <v>110</v>
      </c>
      <c r="B77" s="3263" t="s">
        <v>281</v>
      </c>
      <c r="C77" s="3264">
        <v>0.1</v>
      </c>
      <c r="D77" s="3264">
        <v>0.1</v>
      </c>
      <c r="E77" s="3264">
        <v>9.6000000000000002E-2</v>
      </c>
      <c r="F77" s="3275"/>
      <c r="G77" s="3265">
        <v>0.1</v>
      </c>
    </row>
    <row r="78" spans="1:7">
      <c r="A78" s="3274" t="s">
        <v>110</v>
      </c>
      <c r="B78" s="3263" t="s">
        <v>2945</v>
      </c>
      <c r="C78" s="3264">
        <v>0.1</v>
      </c>
      <c r="D78" s="3264">
        <v>8.5000000000000006E-2</v>
      </c>
      <c r="E78" s="3264">
        <v>9.6000000000000002E-2</v>
      </c>
      <c r="F78" s="3275"/>
      <c r="G78" s="3265">
        <v>9.6000000000000002E-2</v>
      </c>
    </row>
    <row r="79" spans="1:7">
      <c r="A79" s="3274" t="s">
        <v>110</v>
      </c>
      <c r="B79" s="3263" t="s">
        <v>2948</v>
      </c>
      <c r="C79" s="3264">
        <v>0.05</v>
      </c>
      <c r="D79" s="3264">
        <v>9.6000000000000002E-2</v>
      </c>
      <c r="E79" s="3264">
        <v>9.5000000000000001E-2</v>
      </c>
      <c r="F79" s="3275"/>
      <c r="G79" s="3265">
        <v>9.8000000000000004E-2</v>
      </c>
    </row>
    <row r="80" spans="1:7">
      <c r="A80" s="3274" t="s">
        <v>110</v>
      </c>
      <c r="B80" s="3263" t="s">
        <v>2952</v>
      </c>
      <c r="C80" s="3264">
        <v>8.5999999999999993E-2</v>
      </c>
      <c r="D80" s="3280"/>
      <c r="E80" s="3264">
        <v>0.1</v>
      </c>
      <c r="F80" s="3275"/>
      <c r="G80" s="3276"/>
    </row>
    <row r="81" spans="1:7">
      <c r="A81" s="3274" t="s">
        <v>110</v>
      </c>
      <c r="B81" s="3263" t="s">
        <v>2957</v>
      </c>
      <c r="C81" s="3264">
        <v>9.6000000000000002E-2</v>
      </c>
      <c r="D81" s="3275"/>
      <c r="E81" s="3264">
        <v>9.8000000000000004E-2</v>
      </c>
      <c r="F81" s="3275"/>
      <c r="G81" s="3276"/>
    </row>
    <row r="82" spans="1:7">
      <c r="A82" s="3274" t="s">
        <v>110</v>
      </c>
      <c r="B82" s="3263" t="s">
        <v>2964</v>
      </c>
      <c r="C82" s="3280"/>
      <c r="D82" s="3275"/>
      <c r="E82" s="3264">
        <v>7.6999999999999999E-2</v>
      </c>
      <c r="F82" s="3275"/>
      <c r="G82" s="3276"/>
    </row>
    <row r="83" spans="1:7">
      <c r="A83" s="3274" t="s">
        <v>110</v>
      </c>
      <c r="B83" s="3263" t="s">
        <v>2970</v>
      </c>
      <c r="C83" s="3275"/>
      <c r="D83" s="3275"/>
      <c r="E83" s="3275"/>
      <c r="F83" s="3264">
        <v>0.1</v>
      </c>
      <c r="G83" s="3281"/>
    </row>
    <row r="84" spans="1:7">
      <c r="A84" s="3274" t="s">
        <v>110</v>
      </c>
      <c r="B84" s="3263" t="s">
        <v>2977</v>
      </c>
      <c r="C84" s="3275"/>
      <c r="D84" s="3275"/>
      <c r="E84" s="3275"/>
      <c r="F84" s="3264">
        <v>0.1</v>
      </c>
      <c r="G84" s="3281"/>
    </row>
    <row r="85" spans="1:7">
      <c r="A85" s="3274" t="s">
        <v>110</v>
      </c>
      <c r="B85" s="3263" t="s">
        <v>2984</v>
      </c>
      <c r="C85" s="3275"/>
      <c r="D85" s="3275"/>
      <c r="E85" s="3275"/>
      <c r="F85" s="3264">
        <v>0.1</v>
      </c>
      <c r="G85" s="3281"/>
    </row>
    <row r="86" spans="1:7" ht="14.25" thickBot="1">
      <c r="A86" s="3277" t="s">
        <v>110</v>
      </c>
      <c r="B86" s="3267" t="s">
        <v>2989</v>
      </c>
      <c r="C86" s="3268">
        <v>9.8000000000000004E-2</v>
      </c>
      <c r="D86" s="3268">
        <v>9.8000000000000004E-2</v>
      </c>
      <c r="E86" s="3268">
        <v>9.6000000000000002E-2</v>
      </c>
      <c r="F86" s="3278"/>
      <c r="G86" s="3270">
        <v>0.1</v>
      </c>
    </row>
    <row r="87" spans="1:7">
      <c r="A87" s="3273" t="s">
        <v>303</v>
      </c>
      <c r="B87" s="3259" t="s">
        <v>2865</v>
      </c>
      <c r="C87" s="3260">
        <v>0.1</v>
      </c>
      <c r="D87" s="3260">
        <v>0.1</v>
      </c>
      <c r="E87" s="3260">
        <v>9.8000000000000004E-2</v>
      </c>
      <c r="F87" s="3260">
        <v>0.1</v>
      </c>
      <c r="G87" s="3261">
        <v>0.1</v>
      </c>
    </row>
    <row r="88" spans="1:7">
      <c r="A88" s="3274" t="s">
        <v>303</v>
      </c>
      <c r="B88" s="3263" t="s">
        <v>131</v>
      </c>
      <c r="C88" s="3264">
        <v>9.0999999999999998E-2</v>
      </c>
      <c r="D88" s="3264">
        <v>9.1999999999999998E-2</v>
      </c>
      <c r="E88" s="3264">
        <v>0.1</v>
      </c>
      <c r="F88" s="3264">
        <v>0.1</v>
      </c>
      <c r="G88" s="3265">
        <v>9.6000000000000002E-2</v>
      </c>
    </row>
    <row r="89" spans="1:7">
      <c r="A89" s="3274" t="s">
        <v>303</v>
      </c>
      <c r="B89" s="3263" t="s">
        <v>140</v>
      </c>
      <c r="C89" s="3264">
        <v>0.1</v>
      </c>
      <c r="D89" s="3264">
        <v>0.1</v>
      </c>
      <c r="E89" s="3264">
        <v>6.7000000000000004E-2</v>
      </c>
      <c r="F89" s="3264">
        <v>9.2999999999999999E-2</v>
      </c>
      <c r="G89" s="3265">
        <v>0.1</v>
      </c>
    </row>
    <row r="90" spans="1:7">
      <c r="A90" s="3274" t="s">
        <v>303</v>
      </c>
      <c r="B90" s="3263" t="s">
        <v>149</v>
      </c>
      <c r="C90" s="3264">
        <v>9.6000000000000002E-2</v>
      </c>
      <c r="D90" s="3264">
        <v>9.6000000000000002E-2</v>
      </c>
      <c r="E90" s="3264">
        <v>0.1</v>
      </c>
      <c r="F90" s="3264">
        <v>0.1</v>
      </c>
      <c r="G90" s="3265">
        <v>9.8000000000000004E-2</v>
      </c>
    </row>
    <row r="91" spans="1:7">
      <c r="A91" s="3274" t="s">
        <v>303</v>
      </c>
      <c r="B91" s="3263" t="s">
        <v>158</v>
      </c>
      <c r="C91" s="3264">
        <v>7.6999999999999999E-2</v>
      </c>
      <c r="D91" s="3264">
        <v>7.6999999999999999E-2</v>
      </c>
      <c r="E91" s="3264">
        <v>9.6000000000000002E-2</v>
      </c>
      <c r="F91" s="3264">
        <v>0.1</v>
      </c>
      <c r="G91" s="3265">
        <v>7.6999999999999999E-2</v>
      </c>
    </row>
    <row r="92" spans="1:7">
      <c r="A92" s="3274" t="s">
        <v>303</v>
      </c>
      <c r="B92" s="3263" t="s">
        <v>165</v>
      </c>
      <c r="C92" s="3264">
        <v>0.1</v>
      </c>
      <c r="D92" s="3264">
        <v>0.1</v>
      </c>
      <c r="E92" s="3264">
        <v>9.1999999999999998E-2</v>
      </c>
      <c r="F92" s="3264">
        <v>0.1</v>
      </c>
      <c r="G92" s="3265">
        <v>0.1</v>
      </c>
    </row>
    <row r="93" spans="1:7">
      <c r="A93" s="3274" t="s">
        <v>303</v>
      </c>
      <c r="B93" s="3263" t="s">
        <v>171</v>
      </c>
      <c r="C93" s="3264">
        <v>9.8000000000000004E-2</v>
      </c>
      <c r="D93" s="3264">
        <v>9.8000000000000004E-2</v>
      </c>
      <c r="E93" s="3264">
        <v>9.6000000000000002E-2</v>
      </c>
      <c r="F93" s="3264">
        <v>0.1</v>
      </c>
      <c r="G93" s="3265">
        <v>9.9000000000000005E-2</v>
      </c>
    </row>
    <row r="94" spans="1:7">
      <c r="A94" s="3274" t="s">
        <v>303</v>
      </c>
      <c r="B94" s="3263" t="s">
        <v>178</v>
      </c>
      <c r="C94" s="3264">
        <v>8.7999999999999995E-2</v>
      </c>
      <c r="D94" s="3264">
        <v>8.7999999999999995E-2</v>
      </c>
      <c r="E94" s="3264">
        <v>9.6000000000000002E-2</v>
      </c>
      <c r="F94" s="3264">
        <v>0.1</v>
      </c>
      <c r="G94" s="3265">
        <v>8.7999999999999995E-2</v>
      </c>
    </row>
    <row r="95" spans="1:7">
      <c r="A95" s="3274" t="s">
        <v>303</v>
      </c>
      <c r="B95" s="3263" t="s">
        <v>188</v>
      </c>
      <c r="C95" s="3264">
        <v>9.6000000000000002E-2</v>
      </c>
      <c r="D95" s="3264">
        <v>9.6000000000000002E-2</v>
      </c>
      <c r="E95" s="3264">
        <v>0.1</v>
      </c>
      <c r="F95" s="3264">
        <v>0.1</v>
      </c>
      <c r="G95" s="3265">
        <v>9.8000000000000004E-2</v>
      </c>
    </row>
    <row r="96" spans="1:7">
      <c r="A96" s="3274" t="s">
        <v>303</v>
      </c>
      <c r="B96" s="3263" t="s">
        <v>197</v>
      </c>
      <c r="C96" s="3264">
        <v>9.7000000000000003E-2</v>
      </c>
      <c r="D96" s="3264">
        <v>9.7000000000000003E-2</v>
      </c>
      <c r="E96" s="3264">
        <v>0.1</v>
      </c>
      <c r="F96" s="3264">
        <v>0.1</v>
      </c>
      <c r="G96" s="3265">
        <v>9.8000000000000004E-2</v>
      </c>
    </row>
    <row r="97" spans="1:7">
      <c r="A97" s="3274" t="s">
        <v>303</v>
      </c>
      <c r="B97" s="3263" t="s">
        <v>204</v>
      </c>
      <c r="C97" s="3264">
        <v>9.6000000000000002E-2</v>
      </c>
      <c r="D97" s="3264">
        <v>9.6000000000000002E-2</v>
      </c>
      <c r="E97" s="3264">
        <v>9.9000000000000005E-2</v>
      </c>
      <c r="F97" s="3264">
        <v>0.1</v>
      </c>
      <c r="G97" s="3265">
        <v>9.8000000000000004E-2</v>
      </c>
    </row>
    <row r="98" spans="1:7">
      <c r="A98" s="3274" t="s">
        <v>303</v>
      </c>
      <c r="B98" s="3263" t="s">
        <v>211</v>
      </c>
      <c r="C98" s="3264">
        <v>9.8000000000000004E-2</v>
      </c>
      <c r="D98" s="3264">
        <v>9.8000000000000004E-2</v>
      </c>
      <c r="E98" s="3264">
        <v>0.1</v>
      </c>
      <c r="F98" s="3264">
        <v>0.1</v>
      </c>
      <c r="G98" s="3265">
        <v>9.9000000000000005E-2</v>
      </c>
    </row>
    <row r="99" spans="1:7">
      <c r="A99" s="3274" t="s">
        <v>303</v>
      </c>
      <c r="B99" s="3263" t="s">
        <v>217</v>
      </c>
      <c r="C99" s="3264">
        <v>9.6000000000000002E-2</v>
      </c>
      <c r="D99" s="3264">
        <v>9.6000000000000002E-2</v>
      </c>
      <c r="E99" s="3264">
        <v>0.1</v>
      </c>
      <c r="F99" s="3264">
        <v>0.1</v>
      </c>
      <c r="G99" s="3265">
        <v>9.7000000000000003E-2</v>
      </c>
    </row>
    <row r="100" spans="1:7">
      <c r="A100" s="3274" t="s">
        <v>303</v>
      </c>
      <c r="B100" s="3263" t="s">
        <v>225</v>
      </c>
      <c r="C100" s="3264">
        <v>0.1</v>
      </c>
      <c r="D100" s="3264">
        <v>0.1</v>
      </c>
      <c r="E100" s="3264">
        <v>9.7000000000000003E-2</v>
      </c>
      <c r="F100" s="3264">
        <v>9.8000000000000004E-2</v>
      </c>
      <c r="G100" s="3265">
        <v>0.1</v>
      </c>
    </row>
    <row r="101" spans="1:7">
      <c r="A101" s="3274" t="s">
        <v>303</v>
      </c>
      <c r="B101" s="3263" t="s">
        <v>233</v>
      </c>
      <c r="C101" s="3264">
        <v>0.1</v>
      </c>
      <c r="D101" s="3264">
        <v>0.1</v>
      </c>
      <c r="E101" s="3264">
        <v>9.5000000000000001E-2</v>
      </c>
      <c r="F101" s="3264">
        <v>0.1</v>
      </c>
      <c r="G101" s="3265">
        <v>0.1</v>
      </c>
    </row>
    <row r="102" spans="1:7">
      <c r="A102" s="3274" t="s">
        <v>303</v>
      </c>
      <c r="B102" s="3263" t="s">
        <v>238</v>
      </c>
      <c r="C102" s="3264">
        <v>0.1</v>
      </c>
      <c r="D102" s="3264">
        <v>0.1</v>
      </c>
      <c r="E102" s="3264">
        <v>9.9000000000000005E-2</v>
      </c>
      <c r="F102" s="3264">
        <v>9.7000000000000003E-2</v>
      </c>
      <c r="G102" s="3265">
        <v>0.1</v>
      </c>
    </row>
    <row r="103" spans="1:7">
      <c r="A103" s="3274" t="s">
        <v>303</v>
      </c>
      <c r="B103" s="3263" t="s">
        <v>247</v>
      </c>
      <c r="C103" s="3264">
        <v>0.1</v>
      </c>
      <c r="D103" s="3264">
        <v>0.1</v>
      </c>
      <c r="E103" s="3264">
        <v>9.8000000000000004E-2</v>
      </c>
      <c r="F103" s="3264">
        <v>0.1</v>
      </c>
      <c r="G103" s="3265">
        <v>0.1</v>
      </c>
    </row>
    <row r="104" spans="1:7">
      <c r="A104" s="3274" t="s">
        <v>303</v>
      </c>
      <c r="B104" s="3263" t="s">
        <v>254</v>
      </c>
      <c r="C104" s="3264">
        <v>0.1</v>
      </c>
      <c r="D104" s="3264">
        <v>0.1</v>
      </c>
      <c r="E104" s="3264">
        <v>9.8000000000000004E-2</v>
      </c>
      <c r="F104" s="3264">
        <v>0.1</v>
      </c>
      <c r="G104" s="3265">
        <v>0.1</v>
      </c>
    </row>
    <row r="105" spans="1:7">
      <c r="A105" s="3274" t="s">
        <v>303</v>
      </c>
      <c r="B105" s="3263" t="s">
        <v>262</v>
      </c>
      <c r="C105" s="3264">
        <v>9.8000000000000004E-2</v>
      </c>
      <c r="D105" s="3264">
        <v>9.8000000000000004E-2</v>
      </c>
      <c r="E105" s="3264">
        <v>9.8000000000000004E-2</v>
      </c>
      <c r="F105" s="3264">
        <v>0.1</v>
      </c>
      <c r="G105" s="3265">
        <v>9.9000000000000005E-2</v>
      </c>
    </row>
    <row r="106" spans="1:7">
      <c r="A106" s="3274" t="s">
        <v>303</v>
      </c>
      <c r="B106" s="3263" t="s">
        <v>269</v>
      </c>
      <c r="C106" s="3264">
        <v>9.7000000000000003E-2</v>
      </c>
      <c r="D106" s="3264">
        <v>9.7000000000000003E-2</v>
      </c>
      <c r="E106" s="3264">
        <v>9.7000000000000003E-2</v>
      </c>
      <c r="F106" s="3264">
        <v>0.1</v>
      </c>
      <c r="G106" s="3265">
        <v>9.9000000000000005E-2</v>
      </c>
    </row>
    <row r="107" spans="1:7">
      <c r="A107" s="3274" t="s">
        <v>303</v>
      </c>
      <c r="B107" s="3263" t="s">
        <v>273</v>
      </c>
      <c r="C107" s="3264">
        <v>0.1</v>
      </c>
      <c r="D107" s="3264">
        <v>0.1</v>
      </c>
      <c r="E107" s="3264">
        <v>8.5999999999999993E-2</v>
      </c>
      <c r="F107" s="3264">
        <v>0.09</v>
      </c>
      <c r="G107" s="3265">
        <v>0.1</v>
      </c>
    </row>
    <row r="108" spans="1:7">
      <c r="A108" s="3274" t="s">
        <v>303</v>
      </c>
      <c r="B108" s="3263" t="s">
        <v>279</v>
      </c>
      <c r="C108" s="3264">
        <v>0.1</v>
      </c>
      <c r="D108" s="3264">
        <v>0.1</v>
      </c>
      <c r="E108" s="3264">
        <v>9.6000000000000002E-2</v>
      </c>
      <c r="F108" s="3275"/>
      <c r="G108" s="3265">
        <v>0.1</v>
      </c>
    </row>
    <row r="109" spans="1:7">
      <c r="A109" s="3274" t="s">
        <v>303</v>
      </c>
      <c r="B109" s="3263" t="s">
        <v>282</v>
      </c>
      <c r="C109" s="3264">
        <v>0.1</v>
      </c>
      <c r="D109" s="3264">
        <v>0.1</v>
      </c>
      <c r="E109" s="3264">
        <v>0.1</v>
      </c>
      <c r="F109" s="3275"/>
      <c r="G109" s="3265">
        <v>0.1</v>
      </c>
    </row>
    <row r="110" spans="1:7">
      <c r="A110" s="3274" t="s">
        <v>303</v>
      </c>
      <c r="B110" s="3263" t="s">
        <v>284</v>
      </c>
      <c r="C110" s="3264">
        <v>0.1</v>
      </c>
      <c r="D110" s="3264">
        <v>0.1</v>
      </c>
      <c r="E110" s="3264">
        <v>0.1</v>
      </c>
      <c r="F110" s="3275"/>
      <c r="G110" s="3265">
        <v>0.1</v>
      </c>
    </row>
    <row r="111" spans="1:7">
      <c r="A111" s="3274" t="s">
        <v>303</v>
      </c>
      <c r="B111" s="3263" t="s">
        <v>287</v>
      </c>
      <c r="C111" s="3264">
        <v>0.1</v>
      </c>
      <c r="D111" s="3264">
        <v>0.1</v>
      </c>
      <c r="E111" s="3264">
        <v>9.5000000000000001E-2</v>
      </c>
      <c r="F111" s="3275"/>
      <c r="G111" s="3265">
        <v>0.1</v>
      </c>
    </row>
    <row r="112" spans="1:7">
      <c r="A112" s="3274" t="s">
        <v>303</v>
      </c>
      <c r="B112" s="3263" t="s">
        <v>291</v>
      </c>
      <c r="C112" s="3264">
        <v>9.7000000000000003E-2</v>
      </c>
      <c r="D112" s="3264">
        <v>9.7000000000000003E-2</v>
      </c>
      <c r="E112" s="3264">
        <v>0.05</v>
      </c>
      <c r="F112" s="3275"/>
      <c r="G112" s="3265">
        <v>9.8000000000000004E-2</v>
      </c>
    </row>
    <row r="113" spans="1:7">
      <c r="A113" s="3274" t="s">
        <v>303</v>
      </c>
      <c r="B113" s="3263" t="s">
        <v>2958</v>
      </c>
      <c r="C113" s="3264">
        <v>0.1</v>
      </c>
      <c r="D113" s="3264">
        <v>0.1</v>
      </c>
      <c r="E113" s="3275"/>
      <c r="F113" s="3275"/>
      <c r="G113" s="3265">
        <v>0.1</v>
      </c>
    </row>
    <row r="114" spans="1:7">
      <c r="A114" s="3274" t="s">
        <v>303</v>
      </c>
      <c r="B114" s="3263" t="s">
        <v>2965</v>
      </c>
      <c r="C114" s="3264">
        <v>9.7000000000000003E-2</v>
      </c>
      <c r="D114" s="3264">
        <v>9.7000000000000003E-2</v>
      </c>
      <c r="E114" s="3275"/>
      <c r="F114" s="3275"/>
      <c r="G114" s="3265">
        <v>9.9000000000000005E-2</v>
      </c>
    </row>
    <row r="115" spans="1:7">
      <c r="A115" s="3274" t="s">
        <v>303</v>
      </c>
      <c r="B115" s="3263" t="s">
        <v>2971</v>
      </c>
      <c r="C115" s="3264">
        <v>0.1</v>
      </c>
      <c r="D115" s="3264">
        <v>0.1</v>
      </c>
      <c r="E115" s="3275"/>
      <c r="F115" s="3275"/>
      <c r="G115" s="3265">
        <v>0.1</v>
      </c>
    </row>
    <row r="116" spans="1:7">
      <c r="A116" s="3274" t="s">
        <v>303</v>
      </c>
      <c r="B116" s="3263" t="s">
        <v>2978</v>
      </c>
      <c r="C116" s="3264">
        <v>0.1</v>
      </c>
      <c r="D116" s="3264">
        <v>0.1</v>
      </c>
      <c r="E116" s="3275"/>
      <c r="F116" s="3275"/>
      <c r="G116" s="3265">
        <v>0.1</v>
      </c>
    </row>
    <row r="117" spans="1:7">
      <c r="A117" s="3274" t="s">
        <v>303</v>
      </c>
      <c r="B117" s="3263" t="s">
        <v>2985</v>
      </c>
      <c r="C117" s="3264">
        <v>9.7000000000000003E-2</v>
      </c>
      <c r="D117" s="3264">
        <v>9.7000000000000003E-2</v>
      </c>
      <c r="E117" s="3275"/>
      <c r="F117" s="3275"/>
      <c r="G117" s="3265">
        <v>9.7000000000000003E-2</v>
      </c>
    </row>
    <row r="118" spans="1:7">
      <c r="A118" s="3274" t="s">
        <v>303</v>
      </c>
      <c r="B118" s="3263" t="s">
        <v>2990</v>
      </c>
      <c r="C118" s="3264">
        <v>0.1</v>
      </c>
      <c r="D118" s="3264">
        <v>0.1</v>
      </c>
      <c r="E118" s="3275"/>
      <c r="F118" s="3275"/>
      <c r="G118" s="3265">
        <v>0.1</v>
      </c>
    </row>
    <row r="119" spans="1:7">
      <c r="A119" s="3274" t="s">
        <v>303</v>
      </c>
      <c r="B119" s="3263" t="s">
        <v>2994</v>
      </c>
      <c r="C119" s="3264">
        <v>5.0999999999999997E-2</v>
      </c>
      <c r="D119" s="3264">
        <v>5.1999999999999998E-2</v>
      </c>
      <c r="E119" s="3275"/>
      <c r="F119" s="3280"/>
      <c r="G119" s="3265">
        <v>0.06</v>
      </c>
    </row>
    <row r="120" spans="1:7">
      <c r="A120" s="3274" t="s">
        <v>303</v>
      </c>
      <c r="B120" s="3263" t="s">
        <v>2998</v>
      </c>
      <c r="C120" s="3275"/>
      <c r="D120" s="3275"/>
      <c r="E120" s="3275"/>
      <c r="F120" s="3264">
        <v>0.1</v>
      </c>
      <c r="G120" s="3281"/>
    </row>
    <row r="121" spans="1:7">
      <c r="A121" s="3274" t="s">
        <v>303</v>
      </c>
      <c r="B121" s="3263" t="s">
        <v>3003</v>
      </c>
      <c r="C121" s="3275"/>
      <c r="D121" s="3275"/>
      <c r="E121" s="3275"/>
      <c r="F121" s="3264">
        <v>0.1</v>
      </c>
      <c r="G121" s="3281"/>
    </row>
    <row r="122" spans="1:7">
      <c r="A122" s="3274" t="s">
        <v>303</v>
      </c>
      <c r="B122" s="3263" t="s">
        <v>3008</v>
      </c>
      <c r="C122" s="3264">
        <v>0.1</v>
      </c>
      <c r="D122" s="3264">
        <v>0.1</v>
      </c>
      <c r="E122" s="3264">
        <v>9.8000000000000004E-2</v>
      </c>
      <c r="F122" s="3264">
        <v>0.1</v>
      </c>
      <c r="G122" s="3265">
        <v>0.1</v>
      </c>
    </row>
    <row r="123" spans="1:7">
      <c r="A123" s="3274" t="s">
        <v>303</v>
      </c>
      <c r="B123" s="3263" t="s">
        <v>3013</v>
      </c>
      <c r="C123" s="3264">
        <v>0.1</v>
      </c>
      <c r="D123" s="3264">
        <v>0.1</v>
      </c>
      <c r="E123" s="3264">
        <v>9.8000000000000004E-2</v>
      </c>
      <c r="F123" s="3264">
        <v>0.1</v>
      </c>
      <c r="G123" s="3265">
        <v>0.1</v>
      </c>
    </row>
    <row r="124" spans="1:7">
      <c r="A124" s="3274" t="s">
        <v>303</v>
      </c>
      <c r="B124" s="3263" t="s">
        <v>3018</v>
      </c>
      <c r="C124" s="3264">
        <v>0.1</v>
      </c>
      <c r="D124" s="3264">
        <v>0.1</v>
      </c>
      <c r="E124" s="3264">
        <v>9.8000000000000004E-2</v>
      </c>
      <c r="F124" s="3280"/>
      <c r="G124" s="3265">
        <v>0.1</v>
      </c>
    </row>
    <row r="125" spans="1:7">
      <c r="A125" s="3274" t="s">
        <v>303</v>
      </c>
      <c r="B125" s="3263" t="s">
        <v>3023</v>
      </c>
      <c r="C125" s="3264">
        <v>9.8000000000000004E-2</v>
      </c>
      <c r="D125" s="3264">
        <v>9.8000000000000004E-2</v>
      </c>
      <c r="E125" s="3264">
        <v>9.6000000000000002E-2</v>
      </c>
      <c r="F125" s="3280"/>
      <c r="G125" s="3265">
        <v>0.1</v>
      </c>
    </row>
    <row r="126" spans="1:7" ht="14.25" thickBot="1">
      <c r="A126" s="3277" t="s">
        <v>303</v>
      </c>
      <c r="B126" s="3267" t="s">
        <v>3189</v>
      </c>
      <c r="C126" s="3268">
        <v>0.1</v>
      </c>
      <c r="D126" s="3268">
        <v>0.1</v>
      </c>
      <c r="E126" s="3268">
        <v>9.8000000000000004E-2</v>
      </c>
      <c r="F126" s="3268">
        <v>0.1</v>
      </c>
      <c r="G126" s="3270">
        <v>0.1</v>
      </c>
    </row>
    <row r="127" spans="1:7">
      <c r="A127" s="3273" t="s">
        <v>29</v>
      </c>
      <c r="B127" s="3259" t="s">
        <v>2866</v>
      </c>
      <c r="C127" s="3260">
        <v>0.121</v>
      </c>
      <c r="D127" s="3260">
        <v>0.121</v>
      </c>
      <c r="E127" s="3260">
        <v>0.107</v>
      </c>
      <c r="F127" s="3260">
        <v>0.13</v>
      </c>
      <c r="G127" s="3261">
        <v>0.122</v>
      </c>
    </row>
    <row r="128" spans="1:7">
      <c r="A128" s="3274" t="s">
        <v>29</v>
      </c>
      <c r="B128" s="3263" t="s">
        <v>132</v>
      </c>
      <c r="C128" s="3264">
        <v>0.11600000000000001</v>
      </c>
      <c r="D128" s="3264">
        <v>0.11700000000000001</v>
      </c>
      <c r="E128" s="3264">
        <v>0.104</v>
      </c>
      <c r="F128" s="3264">
        <v>0.13</v>
      </c>
      <c r="G128" s="3265">
        <v>0.11700000000000001</v>
      </c>
    </row>
    <row r="129" spans="1:7">
      <c r="A129" s="3274" t="s">
        <v>29</v>
      </c>
      <c r="B129" s="3263" t="s">
        <v>141</v>
      </c>
      <c r="C129" s="3264">
        <v>0.107</v>
      </c>
      <c r="D129" s="3264">
        <v>0.108</v>
      </c>
      <c r="E129" s="3264">
        <v>0.1</v>
      </c>
      <c r="F129" s="3264">
        <v>0.13</v>
      </c>
      <c r="G129" s="3265">
        <v>0.11700000000000001</v>
      </c>
    </row>
    <row r="130" spans="1:7">
      <c r="A130" s="3274" t="s">
        <v>29</v>
      </c>
      <c r="B130" s="3263" t="s">
        <v>150</v>
      </c>
      <c r="C130" s="3264">
        <v>0.13</v>
      </c>
      <c r="D130" s="3264">
        <v>0.13</v>
      </c>
      <c r="E130" s="3264">
        <v>0.126</v>
      </c>
      <c r="F130" s="3264">
        <v>0.13</v>
      </c>
      <c r="G130" s="3265">
        <v>0.13</v>
      </c>
    </row>
    <row r="131" spans="1:7">
      <c r="A131" s="3274" t="s">
        <v>29</v>
      </c>
      <c r="B131" s="3263" t="s">
        <v>159</v>
      </c>
      <c r="C131" s="3264">
        <v>0.13</v>
      </c>
      <c r="D131" s="3264">
        <v>0.13</v>
      </c>
      <c r="E131" s="3264">
        <v>0.13</v>
      </c>
      <c r="F131" s="3264">
        <v>0.13</v>
      </c>
      <c r="G131" s="3265">
        <v>0.13</v>
      </c>
    </row>
    <row r="132" spans="1:7">
      <c r="A132" s="3274" t="s">
        <v>29</v>
      </c>
      <c r="B132" s="3263" t="s">
        <v>166</v>
      </c>
      <c r="C132" s="3264">
        <v>0.13</v>
      </c>
      <c r="D132" s="3264">
        <v>0.13</v>
      </c>
      <c r="E132" s="3264">
        <v>0.126</v>
      </c>
      <c r="F132" s="3264">
        <v>0.13</v>
      </c>
      <c r="G132" s="3265">
        <v>0.13</v>
      </c>
    </row>
    <row r="133" spans="1:7">
      <c r="A133" s="3274" t="s">
        <v>29</v>
      </c>
      <c r="B133" s="3263" t="s">
        <v>172</v>
      </c>
      <c r="C133" s="3264">
        <v>0.111</v>
      </c>
      <c r="D133" s="3264">
        <v>0.111</v>
      </c>
      <c r="E133" s="3264">
        <v>0.10199999999999999</v>
      </c>
      <c r="F133" s="3264">
        <v>0.13</v>
      </c>
      <c r="G133" s="3265">
        <v>0.121</v>
      </c>
    </row>
    <row r="134" spans="1:7">
      <c r="A134" s="3274" t="s">
        <v>29</v>
      </c>
      <c r="B134" s="3263" t="s">
        <v>179</v>
      </c>
      <c r="C134" s="3264">
        <v>0.121</v>
      </c>
      <c r="D134" s="3264">
        <v>0.121</v>
      </c>
      <c r="E134" s="3264">
        <v>0.1</v>
      </c>
      <c r="F134" s="3264">
        <v>0.13</v>
      </c>
      <c r="G134" s="3265">
        <v>0.123</v>
      </c>
    </row>
    <row r="135" spans="1:7">
      <c r="A135" s="3274" t="s">
        <v>29</v>
      </c>
      <c r="B135" s="3263" t="s">
        <v>189</v>
      </c>
      <c r="C135" s="3264">
        <v>0.105</v>
      </c>
      <c r="D135" s="3264">
        <v>0.106</v>
      </c>
      <c r="E135" s="3264">
        <v>0.1</v>
      </c>
      <c r="F135" s="3264">
        <v>0.13</v>
      </c>
      <c r="G135" s="3265">
        <v>0.115</v>
      </c>
    </row>
    <row r="136" spans="1:7">
      <c r="A136" s="3274" t="s">
        <v>29</v>
      </c>
      <c r="B136" s="3263" t="s">
        <v>198</v>
      </c>
      <c r="C136" s="3264">
        <v>0.127</v>
      </c>
      <c r="D136" s="3264">
        <v>0.127</v>
      </c>
      <c r="E136" s="3264">
        <v>0.121</v>
      </c>
      <c r="F136" s="3264">
        <v>0.123</v>
      </c>
      <c r="G136" s="3265">
        <v>0.129</v>
      </c>
    </row>
    <row r="137" spans="1:7">
      <c r="A137" s="3274" t="s">
        <v>29</v>
      </c>
      <c r="B137" s="3263" t="s">
        <v>205</v>
      </c>
      <c r="C137" s="3264">
        <v>0.13</v>
      </c>
      <c r="D137" s="3264">
        <v>0.13</v>
      </c>
      <c r="E137" s="3264">
        <v>0.129</v>
      </c>
      <c r="F137" s="3264">
        <v>0.13</v>
      </c>
      <c r="G137" s="3265">
        <v>0.13</v>
      </c>
    </row>
    <row r="138" spans="1:7">
      <c r="A138" s="3274" t="s">
        <v>29</v>
      </c>
      <c r="B138" s="3263" t="s">
        <v>212</v>
      </c>
      <c r="C138" s="3264">
        <v>0.13</v>
      </c>
      <c r="D138" s="3264">
        <v>0.13</v>
      </c>
      <c r="E138" s="3264">
        <v>0.125</v>
      </c>
      <c r="F138" s="3264">
        <v>0.13</v>
      </c>
      <c r="G138" s="3265">
        <v>0.13</v>
      </c>
    </row>
    <row r="139" spans="1:7">
      <c r="A139" s="3274" t="s">
        <v>29</v>
      </c>
      <c r="B139" s="3263" t="s">
        <v>218</v>
      </c>
      <c r="C139" s="3264">
        <v>0.13</v>
      </c>
      <c r="D139" s="3264">
        <v>0.13</v>
      </c>
      <c r="E139" s="3264">
        <v>0.126</v>
      </c>
      <c r="F139" s="3264">
        <v>0.13</v>
      </c>
      <c r="G139" s="3265">
        <v>0.13</v>
      </c>
    </row>
    <row r="140" spans="1:7">
      <c r="A140" s="3274" t="s">
        <v>29</v>
      </c>
      <c r="B140" s="3263" t="s">
        <v>226</v>
      </c>
      <c r="C140" s="3264">
        <v>0.1</v>
      </c>
      <c r="D140" s="3264">
        <v>0.1</v>
      </c>
      <c r="E140" s="3264">
        <v>0.1</v>
      </c>
      <c r="F140" s="3264">
        <v>0.123</v>
      </c>
      <c r="G140" s="3265">
        <v>0.107</v>
      </c>
    </row>
    <row r="141" spans="1:7">
      <c r="A141" s="3274" t="s">
        <v>29</v>
      </c>
      <c r="B141" s="3263" t="s">
        <v>234</v>
      </c>
      <c r="C141" s="3264">
        <v>0.127</v>
      </c>
      <c r="D141" s="3264">
        <v>0.127</v>
      </c>
      <c r="E141" s="3264">
        <v>0.122</v>
      </c>
      <c r="F141" s="3264">
        <v>0.1</v>
      </c>
      <c r="G141" s="3265">
        <v>0.129</v>
      </c>
    </row>
    <row r="142" spans="1:7">
      <c r="A142" s="3274" t="s">
        <v>29</v>
      </c>
      <c r="B142" s="3263" t="s">
        <v>239</v>
      </c>
      <c r="C142" s="3264">
        <v>0.121</v>
      </c>
      <c r="D142" s="3264">
        <v>0.122</v>
      </c>
      <c r="E142" s="3264">
        <v>0.1</v>
      </c>
      <c r="F142" s="3264">
        <v>0.123</v>
      </c>
      <c r="G142" s="3265">
        <v>0.123</v>
      </c>
    </row>
    <row r="143" spans="1:7">
      <c r="A143" s="3274" t="s">
        <v>29</v>
      </c>
      <c r="B143" s="3263" t="s">
        <v>248</v>
      </c>
      <c r="C143" s="3264">
        <v>0.1</v>
      </c>
      <c r="D143" s="3264">
        <v>0.1</v>
      </c>
      <c r="E143" s="3264">
        <v>0.1</v>
      </c>
      <c r="F143" s="3264">
        <v>0.13</v>
      </c>
      <c r="G143" s="3265">
        <v>0.1</v>
      </c>
    </row>
    <row r="144" spans="1:7">
      <c r="A144" s="3274" t="s">
        <v>29</v>
      </c>
      <c r="B144" s="3263" t="s">
        <v>255</v>
      </c>
      <c r="C144" s="3264">
        <v>0.106</v>
      </c>
      <c r="D144" s="3264">
        <v>0.105</v>
      </c>
      <c r="E144" s="3264">
        <v>0.1</v>
      </c>
      <c r="F144" s="3264">
        <v>0.13</v>
      </c>
      <c r="G144" s="3265">
        <v>0.11799999999999999</v>
      </c>
    </row>
    <row r="145" spans="1:7">
      <c r="A145" s="3274" t="s">
        <v>29</v>
      </c>
      <c r="B145" s="3263" t="s">
        <v>263</v>
      </c>
      <c r="C145" s="3264">
        <v>0.123</v>
      </c>
      <c r="D145" s="3264">
        <v>0.123</v>
      </c>
      <c r="E145" s="3264">
        <v>0.11700000000000001</v>
      </c>
      <c r="F145" s="3264">
        <v>0.13</v>
      </c>
      <c r="G145" s="3265">
        <v>0.126</v>
      </c>
    </row>
    <row r="146" spans="1:7">
      <c r="A146" s="3274" t="s">
        <v>29</v>
      </c>
      <c r="B146" s="3263" t="s">
        <v>270</v>
      </c>
      <c r="C146" s="3264">
        <v>0.127</v>
      </c>
      <c r="D146" s="3264">
        <v>0.127</v>
      </c>
      <c r="E146" s="3264">
        <v>0.12</v>
      </c>
      <c r="F146" s="3275"/>
      <c r="G146" s="3265">
        <v>0.129</v>
      </c>
    </row>
    <row r="147" spans="1:7">
      <c r="A147" s="3274" t="s">
        <v>29</v>
      </c>
      <c r="B147" s="3263" t="s">
        <v>274</v>
      </c>
      <c r="C147" s="3264">
        <v>0.13</v>
      </c>
      <c r="D147" s="3264">
        <v>0.13</v>
      </c>
      <c r="E147" s="3264">
        <v>0.126</v>
      </c>
      <c r="F147" s="3275"/>
      <c r="G147" s="3265">
        <v>0.13</v>
      </c>
    </row>
    <row r="148" spans="1:7">
      <c r="A148" s="3274" t="s">
        <v>29</v>
      </c>
      <c r="B148" s="3263" t="s">
        <v>2936</v>
      </c>
      <c r="C148" s="3264">
        <v>0.13</v>
      </c>
      <c r="D148" s="3264">
        <v>0.13</v>
      </c>
      <c r="E148" s="3264">
        <v>0.13</v>
      </c>
      <c r="F148" s="3275"/>
      <c r="G148" s="3265">
        <v>0.13</v>
      </c>
    </row>
    <row r="149" spans="1:7">
      <c r="A149" s="3274" t="s">
        <v>29</v>
      </c>
      <c r="B149" s="3263" t="s">
        <v>2940</v>
      </c>
      <c r="C149" s="3264">
        <v>0.13</v>
      </c>
      <c r="D149" s="3264">
        <v>0.13</v>
      </c>
      <c r="E149" s="3264">
        <v>0.13</v>
      </c>
      <c r="F149" s="3264">
        <v>0.13</v>
      </c>
      <c r="G149" s="3265">
        <v>0.13</v>
      </c>
    </row>
    <row r="150" spans="1:7">
      <c r="A150" s="3274" t="s">
        <v>29</v>
      </c>
      <c r="B150" s="3263" t="s">
        <v>292</v>
      </c>
      <c r="C150" s="3264">
        <v>0.13</v>
      </c>
      <c r="D150" s="3264">
        <v>0.13</v>
      </c>
      <c r="E150" s="3264">
        <v>0.127</v>
      </c>
      <c r="F150" s="3264">
        <v>0.13</v>
      </c>
      <c r="G150" s="3265">
        <v>0.13</v>
      </c>
    </row>
    <row r="151" spans="1:7">
      <c r="A151" s="3274" t="s">
        <v>29</v>
      </c>
      <c r="B151" s="3263" t="s">
        <v>294</v>
      </c>
      <c r="C151" s="3264">
        <v>0.13</v>
      </c>
      <c r="D151" s="3264">
        <v>0.13</v>
      </c>
      <c r="E151" s="3264">
        <v>0.13</v>
      </c>
      <c r="F151" s="3264">
        <v>0.13</v>
      </c>
      <c r="G151" s="3265">
        <v>0.13</v>
      </c>
    </row>
    <row r="152" spans="1:7">
      <c r="A152" s="3274" t="s">
        <v>29</v>
      </c>
      <c r="B152" s="3263" t="s">
        <v>297</v>
      </c>
      <c r="C152" s="3264">
        <v>0.13</v>
      </c>
      <c r="D152" s="3264">
        <v>0.13</v>
      </c>
      <c r="E152" s="3264">
        <v>0.13</v>
      </c>
      <c r="F152" s="3264">
        <v>0.13</v>
      </c>
      <c r="G152" s="3265">
        <v>0.13</v>
      </c>
    </row>
    <row r="153" spans="1:7">
      <c r="A153" s="3274" t="s">
        <v>29</v>
      </c>
      <c r="B153" s="3263" t="s">
        <v>2959</v>
      </c>
      <c r="C153" s="3264">
        <v>0.13</v>
      </c>
      <c r="D153" s="3264">
        <v>0.13</v>
      </c>
      <c r="E153" s="3264">
        <v>0.13</v>
      </c>
      <c r="F153" s="3264">
        <v>0.13</v>
      </c>
      <c r="G153" s="3265">
        <v>0.13</v>
      </c>
    </row>
    <row r="154" spans="1:7">
      <c r="A154" s="3274" t="s">
        <v>29</v>
      </c>
      <c r="B154" s="3263" t="s">
        <v>2966</v>
      </c>
      <c r="C154" s="3264">
        <v>0.121</v>
      </c>
      <c r="D154" s="3264">
        <v>0.121</v>
      </c>
      <c r="E154" s="3264">
        <v>0.105</v>
      </c>
      <c r="F154" s="3264">
        <v>0.121</v>
      </c>
      <c r="G154" s="3265">
        <v>0.123</v>
      </c>
    </row>
    <row r="155" spans="1:7">
      <c r="A155" s="3274" t="s">
        <v>29</v>
      </c>
      <c r="B155" s="3263" t="s">
        <v>2972</v>
      </c>
      <c r="C155" s="3264">
        <v>0.1</v>
      </c>
      <c r="D155" s="3264">
        <v>0.1</v>
      </c>
      <c r="E155" s="3264">
        <v>0.1</v>
      </c>
      <c r="F155" s="3264">
        <v>0.1</v>
      </c>
      <c r="G155" s="3265">
        <v>0.1</v>
      </c>
    </row>
    <row r="156" spans="1:7">
      <c r="A156" s="3274" t="s">
        <v>29</v>
      </c>
      <c r="B156" s="3263" t="s">
        <v>2979</v>
      </c>
      <c r="C156" s="3264">
        <v>0.13</v>
      </c>
      <c r="D156" s="3264">
        <v>0.13</v>
      </c>
      <c r="E156" s="3264">
        <v>0.13</v>
      </c>
      <c r="F156" s="3264">
        <v>0.13</v>
      </c>
      <c r="G156" s="3265">
        <v>0.13</v>
      </c>
    </row>
    <row r="157" spans="1:7">
      <c r="A157" s="3274" t="s">
        <v>29</v>
      </c>
      <c r="B157" s="3263" t="s">
        <v>300</v>
      </c>
      <c r="C157" s="3264">
        <v>0.13</v>
      </c>
      <c r="D157" s="3264">
        <v>0.13</v>
      </c>
      <c r="E157" s="3264">
        <v>0.125</v>
      </c>
      <c r="F157" s="3264">
        <v>0.13</v>
      </c>
      <c r="G157" s="3265">
        <v>0.13</v>
      </c>
    </row>
    <row r="158" spans="1:7">
      <c r="A158" s="3274" t="s">
        <v>29</v>
      </c>
      <c r="B158" s="3263" t="s">
        <v>301</v>
      </c>
      <c r="C158" s="3264">
        <v>0.124</v>
      </c>
      <c r="D158" s="3264">
        <v>0.124</v>
      </c>
      <c r="E158" s="3264">
        <v>0.11700000000000001</v>
      </c>
      <c r="F158" s="3264">
        <v>0.121</v>
      </c>
      <c r="G158" s="3265">
        <v>0.124</v>
      </c>
    </row>
    <row r="159" spans="1:7">
      <c r="A159" s="3274" t="s">
        <v>29</v>
      </c>
      <c r="B159" s="3263" t="s">
        <v>302</v>
      </c>
      <c r="C159" s="3264">
        <v>0.127</v>
      </c>
      <c r="D159" s="3264">
        <v>0.127</v>
      </c>
      <c r="E159" s="3264">
        <v>0.122</v>
      </c>
      <c r="F159" s="3264">
        <v>0.13</v>
      </c>
      <c r="G159" s="3265">
        <v>0.129</v>
      </c>
    </row>
    <row r="160" spans="1:7">
      <c r="A160" s="3274" t="s">
        <v>29</v>
      </c>
      <c r="B160" s="3263" t="s">
        <v>2999</v>
      </c>
      <c r="C160" s="3264">
        <v>0.13</v>
      </c>
      <c r="D160" s="3264">
        <v>0.13</v>
      </c>
      <c r="E160" s="3264">
        <v>0.124</v>
      </c>
      <c r="F160" s="3264">
        <v>0.126</v>
      </c>
      <c r="G160" s="3265">
        <v>0.13</v>
      </c>
    </row>
    <row r="161" spans="1:7">
      <c r="A161" s="3274" t="s">
        <v>29</v>
      </c>
      <c r="B161" s="3263" t="s">
        <v>3004</v>
      </c>
      <c r="C161" s="3264">
        <v>0.13</v>
      </c>
      <c r="D161" s="3264">
        <v>0.13</v>
      </c>
      <c r="E161" s="3264">
        <v>0.124</v>
      </c>
      <c r="F161" s="3264">
        <v>0.127</v>
      </c>
      <c r="G161" s="3265">
        <v>0.13</v>
      </c>
    </row>
    <row r="162" spans="1:7">
      <c r="A162" s="3274" t="s">
        <v>29</v>
      </c>
      <c r="B162" s="3263" t="s">
        <v>3009</v>
      </c>
      <c r="C162" s="3264">
        <v>0.1</v>
      </c>
      <c r="D162" s="3264">
        <v>0.1</v>
      </c>
      <c r="E162" s="3264">
        <v>0.1</v>
      </c>
      <c r="F162" s="3264">
        <v>0.121</v>
      </c>
      <c r="G162" s="3265">
        <v>0.105</v>
      </c>
    </row>
    <row r="163" spans="1:7">
      <c r="A163" s="3274" t="s">
        <v>29</v>
      </c>
      <c r="B163" s="3263" t="s">
        <v>3014</v>
      </c>
      <c r="C163" s="3264">
        <v>0.1</v>
      </c>
      <c r="D163" s="3264">
        <v>0.1</v>
      </c>
      <c r="E163" s="3264">
        <v>0.1</v>
      </c>
      <c r="F163" s="3264">
        <v>0.1</v>
      </c>
      <c r="G163" s="3265">
        <v>0.1</v>
      </c>
    </row>
    <row r="164" spans="1:7">
      <c r="A164" s="3274" t="s">
        <v>29</v>
      </c>
      <c r="B164" s="3263" t="s">
        <v>3019</v>
      </c>
      <c r="C164" s="3280"/>
      <c r="D164" s="3280"/>
      <c r="E164" s="3280"/>
      <c r="F164" s="3264">
        <v>0.1</v>
      </c>
      <c r="G164" s="3276"/>
    </row>
    <row r="165" spans="1:7">
      <c r="A165" s="3274" t="s">
        <v>29</v>
      </c>
      <c r="B165" s="3263" t="s">
        <v>3190</v>
      </c>
      <c r="C165" s="3264">
        <v>0.126</v>
      </c>
      <c r="D165" s="3264">
        <v>0.126</v>
      </c>
      <c r="E165" s="3264">
        <v>0.11899999999999999</v>
      </c>
      <c r="F165" s="3264">
        <v>0.13</v>
      </c>
      <c r="G165" s="3265">
        <v>0.128</v>
      </c>
    </row>
    <row r="166" spans="1:7">
      <c r="A166" s="3274" t="s">
        <v>29</v>
      </c>
      <c r="B166" s="3263" t="s">
        <v>3029</v>
      </c>
      <c r="C166" s="3264">
        <v>0.129</v>
      </c>
      <c r="D166" s="3264">
        <v>0.129</v>
      </c>
      <c r="E166" s="3264">
        <v>0.123</v>
      </c>
      <c r="F166" s="3264">
        <v>0.128</v>
      </c>
      <c r="G166" s="3265">
        <v>0.13</v>
      </c>
    </row>
    <row r="167" spans="1:7">
      <c r="A167" s="3274" t="s">
        <v>29</v>
      </c>
      <c r="B167" s="3263" t="s">
        <v>3033</v>
      </c>
      <c r="C167" s="3264">
        <v>0.125</v>
      </c>
      <c r="D167" s="3264">
        <v>0.125</v>
      </c>
      <c r="E167" s="3264">
        <v>0.11700000000000001</v>
      </c>
      <c r="F167" s="3264">
        <v>0.13</v>
      </c>
      <c r="G167" s="3265">
        <v>0.126</v>
      </c>
    </row>
    <row r="168" spans="1:7">
      <c r="A168" s="3274" t="s">
        <v>29</v>
      </c>
      <c r="B168" s="3263" t="s">
        <v>3038</v>
      </c>
      <c r="C168" s="3264">
        <v>0.128</v>
      </c>
      <c r="D168" s="3264">
        <v>0.128</v>
      </c>
      <c r="E168" s="3264">
        <v>0.123</v>
      </c>
      <c r="F168" s="3275"/>
      <c r="G168" s="3265">
        <v>0.13</v>
      </c>
    </row>
    <row r="169" spans="1:7">
      <c r="A169" s="3274" t="s">
        <v>29</v>
      </c>
      <c r="B169" s="3263" t="s">
        <v>3191</v>
      </c>
      <c r="C169" s="3280"/>
      <c r="D169" s="3280"/>
      <c r="E169" s="3280"/>
      <c r="F169" s="3264">
        <v>0.05</v>
      </c>
      <c r="G169" s="3276"/>
    </row>
    <row r="170" spans="1:7">
      <c r="A170" s="3274" t="s">
        <v>29</v>
      </c>
      <c r="B170" s="3263" t="s">
        <v>3192</v>
      </c>
      <c r="C170" s="3280"/>
      <c r="D170" s="3280"/>
      <c r="E170" s="3280"/>
      <c r="F170" s="3264">
        <v>0.05</v>
      </c>
      <c r="G170" s="3276"/>
    </row>
    <row r="171" spans="1:7">
      <c r="A171" s="3274" t="s">
        <v>29</v>
      </c>
      <c r="B171" s="3263" t="s">
        <v>3193</v>
      </c>
      <c r="C171" s="3280"/>
      <c r="D171" s="3280"/>
      <c r="E171" s="3280"/>
      <c r="F171" s="3264">
        <v>0.05</v>
      </c>
      <c r="G171" s="3281"/>
    </row>
    <row r="172" spans="1:7">
      <c r="A172" s="3274" t="s">
        <v>29</v>
      </c>
      <c r="B172" s="3263" t="s">
        <v>3194</v>
      </c>
      <c r="C172" s="3280"/>
      <c r="D172" s="3280"/>
      <c r="E172" s="3280"/>
      <c r="F172" s="3264">
        <v>0.05</v>
      </c>
      <c r="G172" s="3281"/>
    </row>
    <row r="173" spans="1:7">
      <c r="A173" s="3274" t="s">
        <v>29</v>
      </c>
      <c r="B173" s="3263" t="s">
        <v>3195</v>
      </c>
      <c r="C173" s="3280"/>
      <c r="D173" s="3280"/>
      <c r="E173" s="3280"/>
      <c r="F173" s="3264">
        <v>0.05</v>
      </c>
      <c r="G173" s="3276"/>
    </row>
    <row r="174" spans="1:7">
      <c r="A174" s="3274" t="s">
        <v>29</v>
      </c>
      <c r="B174" s="3263" t="s">
        <v>3196</v>
      </c>
      <c r="C174" s="3280"/>
      <c r="D174" s="3280"/>
      <c r="E174" s="3280"/>
      <c r="F174" s="3264">
        <v>0.05</v>
      </c>
      <c r="G174" s="3276"/>
    </row>
    <row r="175" spans="1:7">
      <c r="A175" s="3274" t="s">
        <v>29</v>
      </c>
      <c r="B175" s="3263" t="s">
        <v>3197</v>
      </c>
      <c r="C175" s="3280"/>
      <c r="D175" s="3280"/>
      <c r="E175" s="3280"/>
      <c r="F175" s="3264">
        <v>0.05</v>
      </c>
      <c r="G175" s="3276"/>
    </row>
    <row r="176" spans="1:7">
      <c r="A176" s="3274" t="s">
        <v>29</v>
      </c>
      <c r="B176" s="3263" t="s">
        <v>3198</v>
      </c>
      <c r="C176" s="3280"/>
      <c r="D176" s="3280"/>
      <c r="E176" s="3280"/>
      <c r="F176" s="3264">
        <v>0.05</v>
      </c>
      <c r="G176" s="3276"/>
    </row>
    <row r="177" spans="1:7">
      <c r="A177" s="3274" t="s">
        <v>29</v>
      </c>
      <c r="B177" s="3263" t="s">
        <v>3199</v>
      </c>
      <c r="C177" s="3275"/>
      <c r="D177" s="3275"/>
      <c r="E177" s="3275"/>
      <c r="F177" s="3264">
        <v>0.05</v>
      </c>
      <c r="G177" s="3281"/>
    </row>
    <row r="178" spans="1:7">
      <c r="A178" s="3274" t="s">
        <v>29</v>
      </c>
      <c r="B178" s="3263" t="s">
        <v>3200</v>
      </c>
      <c r="C178" s="3275"/>
      <c r="D178" s="3275"/>
      <c r="E178" s="3275"/>
      <c r="F178" s="3264">
        <v>0.05</v>
      </c>
      <c r="G178" s="3281"/>
    </row>
    <row r="179" spans="1:7">
      <c r="A179" s="3274" t="s">
        <v>29</v>
      </c>
      <c r="B179" s="3263" t="s">
        <v>3201</v>
      </c>
      <c r="C179" s="3275"/>
      <c r="D179" s="3275"/>
      <c r="E179" s="3275"/>
      <c r="F179" s="3264">
        <v>0.05</v>
      </c>
      <c r="G179" s="3281"/>
    </row>
    <row r="180" spans="1:7">
      <c r="A180" s="3274" t="s">
        <v>29</v>
      </c>
      <c r="B180" s="3263" t="s">
        <v>3202</v>
      </c>
      <c r="C180" s="3275"/>
      <c r="D180" s="3275"/>
      <c r="E180" s="3275"/>
      <c r="F180" s="3264">
        <v>0.05</v>
      </c>
      <c r="G180" s="3281"/>
    </row>
    <row r="181" spans="1:7">
      <c r="A181" s="3274" t="s">
        <v>29</v>
      </c>
      <c r="B181" s="3263" t="s">
        <v>3203</v>
      </c>
      <c r="C181" s="3275"/>
      <c r="D181" s="3275"/>
      <c r="E181" s="3275"/>
      <c r="F181" s="3264">
        <v>0.05</v>
      </c>
      <c r="G181" s="3281"/>
    </row>
    <row r="182" spans="1:7">
      <c r="A182" s="3274" t="s">
        <v>29</v>
      </c>
      <c r="B182" s="3263" t="s">
        <v>3204</v>
      </c>
      <c r="C182" s="3275"/>
      <c r="D182" s="3275"/>
      <c r="E182" s="3275"/>
      <c r="F182" s="3264">
        <v>0.05</v>
      </c>
      <c r="G182" s="3281"/>
    </row>
    <row r="183" spans="1:7">
      <c r="A183" s="3274" t="s">
        <v>29</v>
      </c>
      <c r="B183" s="3263" t="s">
        <v>3205</v>
      </c>
      <c r="C183" s="3275"/>
      <c r="D183" s="3275"/>
      <c r="E183" s="3275"/>
      <c r="F183" s="3264">
        <v>0.05</v>
      </c>
      <c r="G183" s="3281"/>
    </row>
    <row r="184" spans="1:7">
      <c r="A184" s="3274" t="s">
        <v>29</v>
      </c>
      <c r="B184" s="3263" t="s">
        <v>3206</v>
      </c>
      <c r="C184" s="3275"/>
      <c r="D184" s="3275"/>
      <c r="E184" s="3275"/>
      <c r="F184" s="3264">
        <v>0.05</v>
      </c>
      <c r="G184" s="3281"/>
    </row>
    <row r="185" spans="1:7">
      <c r="A185" s="3274" t="s">
        <v>29</v>
      </c>
      <c r="B185" s="3263" t="s">
        <v>3207</v>
      </c>
      <c r="C185" s="3275"/>
      <c r="D185" s="3275"/>
      <c r="E185" s="3275"/>
      <c r="F185" s="3264">
        <v>0.05</v>
      </c>
      <c r="G185" s="3281"/>
    </row>
    <row r="186" spans="1:7">
      <c r="A186" s="3274" t="s">
        <v>29</v>
      </c>
      <c r="B186" s="3263" t="s">
        <v>3208</v>
      </c>
      <c r="C186" s="3275"/>
      <c r="D186" s="3275"/>
      <c r="E186" s="3275"/>
      <c r="F186" s="3264">
        <v>0.05</v>
      </c>
      <c r="G186" s="3281"/>
    </row>
    <row r="187" spans="1:7">
      <c r="A187" s="3274" t="s">
        <v>29</v>
      </c>
      <c r="B187" s="3263" t="s">
        <v>3209</v>
      </c>
      <c r="C187" s="3275"/>
      <c r="D187" s="3275"/>
      <c r="E187" s="3275"/>
      <c r="F187" s="3264">
        <v>0.05</v>
      </c>
      <c r="G187" s="3281"/>
    </row>
    <row r="188" spans="1:7">
      <c r="A188" s="3274" t="s">
        <v>29</v>
      </c>
      <c r="B188" s="3263" t="s">
        <v>3210</v>
      </c>
      <c r="C188" s="3275"/>
      <c r="D188" s="3275"/>
      <c r="E188" s="3275"/>
      <c r="F188" s="3264">
        <v>0.05</v>
      </c>
      <c r="G188" s="3281"/>
    </row>
    <row r="189" spans="1:7" ht="14.25" thickBot="1">
      <c r="A189" s="3277" t="s">
        <v>29</v>
      </c>
      <c r="B189" s="3267" t="s">
        <v>3211</v>
      </c>
      <c r="C189" s="3269"/>
      <c r="D189" s="3269"/>
      <c r="E189" s="3269"/>
      <c r="F189" s="3268">
        <v>0.05</v>
      </c>
      <c r="G189" s="3282"/>
    </row>
    <row r="190" spans="1:7">
      <c r="A190" s="3273" t="s">
        <v>304</v>
      </c>
      <c r="B190" s="3259" t="s">
        <v>2867</v>
      </c>
      <c r="C190" s="3260">
        <v>0.124</v>
      </c>
      <c r="D190" s="3260">
        <v>0.124</v>
      </c>
      <c r="E190" s="3260">
        <v>0.129</v>
      </c>
      <c r="F190" s="3260">
        <v>0.13</v>
      </c>
      <c r="G190" s="3261">
        <v>0.127</v>
      </c>
    </row>
    <row r="191" spans="1:7">
      <c r="A191" s="3274" t="s">
        <v>304</v>
      </c>
      <c r="B191" s="3263" t="s">
        <v>133</v>
      </c>
      <c r="C191" s="3264">
        <v>0.13</v>
      </c>
      <c r="D191" s="3264">
        <v>0.13</v>
      </c>
      <c r="E191" s="3264">
        <v>0.13</v>
      </c>
      <c r="F191" s="3264">
        <v>0.13</v>
      </c>
      <c r="G191" s="3265">
        <v>0.13</v>
      </c>
    </row>
    <row r="192" spans="1:7">
      <c r="A192" s="3274" t="s">
        <v>304</v>
      </c>
      <c r="B192" s="3263" t="s">
        <v>142</v>
      </c>
      <c r="C192" s="3264">
        <v>0.13</v>
      </c>
      <c r="D192" s="3264">
        <v>0.13</v>
      </c>
      <c r="E192" s="3264">
        <v>0.13</v>
      </c>
      <c r="F192" s="3264">
        <v>0.13</v>
      </c>
      <c r="G192" s="3265">
        <v>0.13</v>
      </c>
    </row>
    <row r="193" spans="1:7">
      <c r="A193" s="3274" t="s">
        <v>304</v>
      </c>
      <c r="B193" s="3263" t="s">
        <v>151</v>
      </c>
      <c r="C193" s="3264">
        <v>0.13</v>
      </c>
      <c r="D193" s="3264">
        <v>0.13</v>
      </c>
      <c r="E193" s="3264">
        <v>0.13</v>
      </c>
      <c r="F193" s="3264">
        <v>0.13</v>
      </c>
      <c r="G193" s="3265">
        <v>0.13</v>
      </c>
    </row>
    <row r="194" spans="1:7">
      <c r="A194" s="3274" t="s">
        <v>304</v>
      </c>
      <c r="B194" s="3263" t="s">
        <v>160</v>
      </c>
      <c r="C194" s="3264">
        <v>0.123</v>
      </c>
      <c r="D194" s="3264">
        <v>0.123</v>
      </c>
      <c r="E194" s="3264">
        <v>0.128</v>
      </c>
      <c r="F194" s="3264">
        <v>0.13</v>
      </c>
      <c r="G194" s="3265">
        <v>0.126</v>
      </c>
    </row>
    <row r="195" spans="1:7">
      <c r="A195" s="3274" t="s">
        <v>304</v>
      </c>
      <c r="B195" s="3263" t="s">
        <v>167</v>
      </c>
      <c r="C195" s="3264">
        <v>0.127</v>
      </c>
      <c r="D195" s="3264">
        <v>0.127</v>
      </c>
      <c r="E195" s="3264">
        <v>0.121</v>
      </c>
      <c r="F195" s="3264">
        <v>0.129</v>
      </c>
      <c r="G195" s="3265">
        <v>0.129</v>
      </c>
    </row>
    <row r="196" spans="1:7">
      <c r="A196" s="3274" t="s">
        <v>304</v>
      </c>
      <c r="B196" s="3263" t="s">
        <v>173</v>
      </c>
      <c r="C196" s="3264">
        <v>0.127</v>
      </c>
      <c r="D196" s="3264">
        <v>0.128</v>
      </c>
      <c r="E196" s="3264">
        <v>0.122</v>
      </c>
      <c r="F196" s="3264">
        <v>0.13</v>
      </c>
      <c r="G196" s="3265">
        <v>0.129</v>
      </c>
    </row>
    <row r="197" spans="1:7">
      <c r="A197" s="3274" t="s">
        <v>304</v>
      </c>
      <c r="B197" s="3263" t="s">
        <v>180</v>
      </c>
      <c r="C197" s="3264">
        <v>0.126</v>
      </c>
      <c r="D197" s="3264">
        <v>0.126</v>
      </c>
      <c r="E197" s="3264">
        <v>0.11899999999999999</v>
      </c>
      <c r="F197" s="3264">
        <v>0.13</v>
      </c>
      <c r="G197" s="3265">
        <v>0.128</v>
      </c>
    </row>
    <row r="198" spans="1:7">
      <c r="A198" s="3274" t="s">
        <v>304</v>
      </c>
      <c r="B198" s="3263" t="s">
        <v>190</v>
      </c>
      <c r="C198" s="3264">
        <v>0.13</v>
      </c>
      <c r="D198" s="3264">
        <v>0.13</v>
      </c>
      <c r="E198" s="3264">
        <v>0.126</v>
      </c>
      <c r="F198" s="3280"/>
      <c r="G198" s="3265">
        <v>0.13</v>
      </c>
    </row>
    <row r="199" spans="1:7">
      <c r="A199" s="3274" t="s">
        <v>304</v>
      </c>
      <c r="B199" s="3263" t="s">
        <v>2903</v>
      </c>
      <c r="C199" s="3264">
        <v>0.13</v>
      </c>
      <c r="D199" s="3264">
        <v>0.13</v>
      </c>
      <c r="E199" s="3264">
        <v>0.13</v>
      </c>
      <c r="F199" s="3264">
        <v>0.13</v>
      </c>
      <c r="G199" s="3265">
        <v>0.13</v>
      </c>
    </row>
    <row r="200" spans="1:7">
      <c r="A200" s="3274" t="s">
        <v>304</v>
      </c>
      <c r="B200" s="3263" t="s">
        <v>2906</v>
      </c>
      <c r="C200" s="3280"/>
      <c r="D200" s="3280"/>
      <c r="E200" s="3280"/>
      <c r="F200" s="3264">
        <v>0.13</v>
      </c>
      <c r="G200" s="3276"/>
    </row>
    <row r="201" spans="1:7">
      <c r="A201" s="3274" t="s">
        <v>304</v>
      </c>
      <c r="B201" s="3263" t="s">
        <v>2911</v>
      </c>
      <c r="C201" s="3264">
        <v>0.13</v>
      </c>
      <c r="D201" s="3264">
        <v>0.13</v>
      </c>
      <c r="E201" s="3264">
        <v>0.13</v>
      </c>
      <c r="F201" s="3264">
        <v>0.129</v>
      </c>
      <c r="G201" s="3265">
        <v>0.13</v>
      </c>
    </row>
    <row r="202" spans="1:7">
      <c r="A202" s="3274" t="s">
        <v>304</v>
      </c>
      <c r="B202" s="3263" t="s">
        <v>240</v>
      </c>
      <c r="C202" s="3264">
        <v>0.13</v>
      </c>
      <c r="D202" s="3264">
        <v>0.13</v>
      </c>
      <c r="E202" s="3264">
        <v>0.13</v>
      </c>
      <c r="F202" s="3264">
        <v>0.13</v>
      </c>
      <c r="G202" s="3265">
        <v>0.13</v>
      </c>
    </row>
    <row r="203" spans="1:7">
      <c r="A203" s="3274" t="s">
        <v>304</v>
      </c>
      <c r="B203" s="3263" t="s">
        <v>2914</v>
      </c>
      <c r="C203" s="3264">
        <v>0.129</v>
      </c>
      <c r="D203" s="3264">
        <v>0.129</v>
      </c>
      <c r="E203" s="3264">
        <v>0.13</v>
      </c>
      <c r="F203" s="3264">
        <v>0.13</v>
      </c>
      <c r="G203" s="3265">
        <v>0.13</v>
      </c>
    </row>
    <row r="204" spans="1:7">
      <c r="A204" s="3274" t="s">
        <v>304</v>
      </c>
      <c r="B204" s="3263" t="s">
        <v>2917</v>
      </c>
      <c r="C204" s="3264">
        <v>0.129</v>
      </c>
      <c r="D204" s="3264">
        <v>0.129</v>
      </c>
      <c r="E204" s="3264">
        <v>0.123</v>
      </c>
      <c r="F204" s="3264">
        <v>0.13</v>
      </c>
      <c r="G204" s="3265">
        <v>0.13</v>
      </c>
    </row>
    <row r="205" spans="1:7">
      <c r="A205" s="3274" t="s">
        <v>304</v>
      </c>
      <c r="B205" s="3263" t="s">
        <v>2919</v>
      </c>
      <c r="C205" s="3264">
        <v>0.13</v>
      </c>
      <c r="D205" s="3264">
        <v>0.13</v>
      </c>
      <c r="E205" s="3264">
        <v>0.13</v>
      </c>
      <c r="F205" s="3264">
        <v>0.13</v>
      </c>
      <c r="G205" s="3265">
        <v>0.13</v>
      </c>
    </row>
    <row r="206" spans="1:7">
      <c r="A206" s="3274" t="s">
        <v>304</v>
      </c>
      <c r="B206" s="3263" t="s">
        <v>2922</v>
      </c>
      <c r="C206" s="3264">
        <v>0.13</v>
      </c>
      <c r="D206" s="3264">
        <v>0.13</v>
      </c>
      <c r="E206" s="3264">
        <v>0.13</v>
      </c>
      <c r="F206" s="3264">
        <v>0.128</v>
      </c>
      <c r="G206" s="3265">
        <v>0.13</v>
      </c>
    </row>
    <row r="207" spans="1:7">
      <c r="A207" s="3274" t="s">
        <v>304</v>
      </c>
      <c r="B207" s="3263" t="s">
        <v>2924</v>
      </c>
      <c r="C207" s="3264">
        <v>0.13</v>
      </c>
      <c r="D207" s="3264">
        <v>0.13</v>
      </c>
      <c r="E207" s="3264">
        <v>0.13</v>
      </c>
      <c r="F207" s="3264">
        <v>0.13</v>
      </c>
      <c r="G207" s="3265">
        <v>0.13</v>
      </c>
    </row>
    <row r="208" spans="1:7">
      <c r="A208" s="3274" t="s">
        <v>304</v>
      </c>
      <c r="B208" s="3263" t="s">
        <v>2927</v>
      </c>
      <c r="C208" s="3264">
        <v>0.13</v>
      </c>
      <c r="D208" s="3264">
        <v>0.13</v>
      </c>
      <c r="E208" s="3264">
        <v>0.13</v>
      </c>
      <c r="F208" s="3264">
        <v>0.13</v>
      </c>
      <c r="G208" s="3265">
        <v>0.13</v>
      </c>
    </row>
    <row r="209" spans="1:7">
      <c r="A209" s="3274" t="s">
        <v>304</v>
      </c>
      <c r="B209" s="3263" t="s">
        <v>264</v>
      </c>
      <c r="C209" s="3264">
        <v>0.13</v>
      </c>
      <c r="D209" s="3264">
        <v>0.13</v>
      </c>
      <c r="E209" s="3264">
        <v>0.13</v>
      </c>
      <c r="F209" s="3264">
        <v>0.13</v>
      </c>
      <c r="G209" s="3265">
        <v>0.13</v>
      </c>
    </row>
    <row r="210" spans="1:7">
      <c r="A210" s="3274" t="s">
        <v>304</v>
      </c>
      <c r="B210" s="3263" t="s">
        <v>2934</v>
      </c>
      <c r="C210" s="3264">
        <v>0.121</v>
      </c>
      <c r="D210" s="3264">
        <v>0.121</v>
      </c>
      <c r="E210" s="3264">
        <v>0.125</v>
      </c>
      <c r="F210" s="3264">
        <v>0.13</v>
      </c>
      <c r="G210" s="3265">
        <v>0.123</v>
      </c>
    </row>
    <row r="211" spans="1:7">
      <c r="A211" s="3274" t="s">
        <v>304</v>
      </c>
      <c r="B211" s="3263" t="s">
        <v>2937</v>
      </c>
      <c r="C211" s="3264">
        <v>0.123</v>
      </c>
      <c r="D211" s="3264">
        <v>0.123</v>
      </c>
      <c r="E211" s="3264">
        <v>0.127</v>
      </c>
      <c r="F211" s="3264">
        <v>0.115</v>
      </c>
      <c r="G211" s="3265">
        <v>0.126</v>
      </c>
    </row>
    <row r="212" spans="1:7">
      <c r="A212" s="3274" t="s">
        <v>304</v>
      </c>
      <c r="B212" s="3263" t="s">
        <v>285</v>
      </c>
      <c r="C212" s="3264">
        <v>0.126</v>
      </c>
      <c r="D212" s="3264">
        <v>0.126</v>
      </c>
      <c r="E212" s="3264">
        <v>0.13</v>
      </c>
      <c r="F212" s="3264">
        <v>0.13</v>
      </c>
      <c r="G212" s="3265">
        <v>0.129</v>
      </c>
    </row>
    <row r="213" spans="1:7">
      <c r="A213" s="3274" t="s">
        <v>304</v>
      </c>
      <c r="B213" s="3263" t="s">
        <v>288</v>
      </c>
      <c r="C213" s="3264">
        <v>0.129</v>
      </c>
      <c r="D213" s="3264">
        <v>0.13</v>
      </c>
      <c r="E213" s="3264">
        <v>0.127</v>
      </c>
      <c r="F213" s="3264">
        <v>0.13</v>
      </c>
      <c r="G213" s="3265">
        <v>0.13</v>
      </c>
    </row>
    <row r="214" spans="1:7">
      <c r="A214" s="3274" t="s">
        <v>304</v>
      </c>
      <c r="B214" s="3263" t="s">
        <v>2949</v>
      </c>
      <c r="C214" s="3264">
        <v>0.128</v>
      </c>
      <c r="D214" s="3264">
        <v>0.128</v>
      </c>
      <c r="E214" s="3264">
        <v>0.13</v>
      </c>
      <c r="F214" s="3264">
        <v>0.13</v>
      </c>
      <c r="G214" s="3265">
        <v>0.13</v>
      </c>
    </row>
    <row r="215" spans="1:7">
      <c r="A215" s="3274" t="s">
        <v>304</v>
      </c>
      <c r="B215" s="3263" t="s">
        <v>2953</v>
      </c>
      <c r="C215" s="3264">
        <v>0.13</v>
      </c>
      <c r="D215" s="3264">
        <v>0.13</v>
      </c>
      <c r="E215" s="3264">
        <v>0.13</v>
      </c>
      <c r="F215" s="3264">
        <v>0.129</v>
      </c>
      <c r="G215" s="3265">
        <v>0.13</v>
      </c>
    </row>
    <row r="216" spans="1:7">
      <c r="A216" s="3274" t="s">
        <v>304</v>
      </c>
      <c r="B216" s="3263" t="s">
        <v>2960</v>
      </c>
      <c r="C216" s="3264">
        <v>0.13</v>
      </c>
      <c r="D216" s="3264">
        <v>0.13</v>
      </c>
      <c r="E216" s="3264">
        <v>0.13</v>
      </c>
      <c r="F216" s="3264">
        <v>0.13</v>
      </c>
      <c r="G216" s="3265">
        <v>0.13</v>
      </c>
    </row>
    <row r="217" spans="1:7">
      <c r="A217" s="3274" t="s">
        <v>304</v>
      </c>
      <c r="B217" s="3263" t="s">
        <v>2967</v>
      </c>
      <c r="C217" s="3264">
        <v>0.129</v>
      </c>
      <c r="D217" s="3264">
        <v>0.129</v>
      </c>
      <c r="E217" s="3264">
        <v>0.13</v>
      </c>
      <c r="F217" s="3264">
        <v>0.13</v>
      </c>
      <c r="G217" s="3265">
        <v>0.13</v>
      </c>
    </row>
    <row r="218" spans="1:7">
      <c r="A218" s="3274" t="s">
        <v>304</v>
      </c>
      <c r="B218" s="3263" t="s">
        <v>2973</v>
      </c>
      <c r="C218" s="3275"/>
      <c r="D218" s="3275"/>
      <c r="E218" s="3275"/>
      <c r="F218" s="3264">
        <v>0.05</v>
      </c>
      <c r="G218" s="3281"/>
    </row>
    <row r="219" spans="1:7">
      <c r="A219" s="3274" t="s">
        <v>304</v>
      </c>
      <c r="B219" s="3263" t="s">
        <v>2980</v>
      </c>
      <c r="C219" s="3275"/>
      <c r="D219" s="3275"/>
      <c r="E219" s="3275"/>
      <c r="F219" s="3264">
        <v>0.05</v>
      </c>
      <c r="G219" s="3281"/>
    </row>
    <row r="220" spans="1:7">
      <c r="A220" s="3274" t="s">
        <v>304</v>
      </c>
      <c r="B220" s="3263" t="s">
        <v>2986</v>
      </c>
      <c r="C220" s="3275"/>
      <c r="D220" s="3275"/>
      <c r="E220" s="3275"/>
      <c r="F220" s="3264">
        <v>0.05</v>
      </c>
      <c r="G220" s="3281"/>
    </row>
    <row r="221" spans="1:7">
      <c r="A221" s="3274" t="s">
        <v>304</v>
      </c>
      <c r="B221" s="3263" t="s">
        <v>2991</v>
      </c>
      <c r="C221" s="3275"/>
      <c r="D221" s="3275"/>
      <c r="E221" s="3275"/>
      <c r="F221" s="3264">
        <v>0.05</v>
      </c>
      <c r="G221" s="3281"/>
    </row>
    <row r="222" spans="1:7">
      <c r="A222" s="3274" t="s">
        <v>304</v>
      </c>
      <c r="B222" s="3263" t="s">
        <v>2995</v>
      </c>
      <c r="C222" s="3275"/>
      <c r="D222" s="3275"/>
      <c r="E222" s="3275"/>
      <c r="F222" s="3264">
        <v>0.05</v>
      </c>
      <c r="G222" s="3281"/>
    </row>
    <row r="223" spans="1:7">
      <c r="A223" s="3274" t="s">
        <v>304</v>
      </c>
      <c r="B223" s="3263" t="s">
        <v>3000</v>
      </c>
      <c r="C223" s="3275"/>
      <c r="D223" s="3275"/>
      <c r="E223" s="3275"/>
      <c r="F223" s="3264">
        <v>0.05</v>
      </c>
      <c r="G223" s="3281"/>
    </row>
    <row r="224" spans="1:7">
      <c r="A224" s="3274" t="s">
        <v>304</v>
      </c>
      <c r="B224" s="3263" t="s">
        <v>3005</v>
      </c>
      <c r="C224" s="3275"/>
      <c r="D224" s="3275"/>
      <c r="E224" s="3275"/>
      <c r="F224" s="3264">
        <v>0.05</v>
      </c>
      <c r="G224" s="3281"/>
    </row>
    <row r="225" spans="1:7">
      <c r="A225" s="3274" t="s">
        <v>304</v>
      </c>
      <c r="B225" s="3263" t="s">
        <v>3010</v>
      </c>
      <c r="C225" s="3275"/>
      <c r="D225" s="3275"/>
      <c r="E225" s="3275"/>
      <c r="F225" s="3264">
        <v>0.05</v>
      </c>
      <c r="G225" s="3281"/>
    </row>
    <row r="226" spans="1:7">
      <c r="A226" s="3274" t="s">
        <v>304</v>
      </c>
      <c r="B226" s="3263" t="s">
        <v>3212</v>
      </c>
      <c r="C226" s="3275"/>
      <c r="D226" s="3275"/>
      <c r="E226" s="3275"/>
      <c r="F226" s="3264">
        <v>0.05</v>
      </c>
      <c r="G226" s="3281"/>
    </row>
    <row r="227" spans="1:7">
      <c r="A227" s="3274" t="s">
        <v>304</v>
      </c>
      <c r="B227" s="3263" t="s">
        <v>3213</v>
      </c>
      <c r="C227" s="3275"/>
      <c r="D227" s="3275"/>
      <c r="E227" s="3275"/>
      <c r="F227" s="3264">
        <v>0.05</v>
      </c>
      <c r="G227" s="3281"/>
    </row>
    <row r="228" spans="1:7">
      <c r="A228" s="3274" t="s">
        <v>304</v>
      </c>
      <c r="B228" s="3263" t="s">
        <v>3214</v>
      </c>
      <c r="C228" s="3275"/>
      <c r="D228" s="3275"/>
      <c r="E228" s="3275"/>
      <c r="F228" s="3264">
        <v>0.05</v>
      </c>
      <c r="G228" s="3281"/>
    </row>
    <row r="229" spans="1:7">
      <c r="A229" s="3274" t="s">
        <v>304</v>
      </c>
      <c r="B229" s="3263" t="s">
        <v>3215</v>
      </c>
      <c r="C229" s="3275"/>
      <c r="D229" s="3275"/>
      <c r="E229" s="3275"/>
      <c r="F229" s="3264">
        <v>0.05</v>
      </c>
      <c r="G229" s="3281"/>
    </row>
    <row r="230" spans="1:7">
      <c r="A230" s="3274" t="s">
        <v>304</v>
      </c>
      <c r="B230" s="3263" t="s">
        <v>3216</v>
      </c>
      <c r="C230" s="3275"/>
      <c r="D230" s="3275"/>
      <c r="E230" s="3275"/>
      <c r="F230" s="3264">
        <v>0.05</v>
      </c>
      <c r="G230" s="3281"/>
    </row>
    <row r="231" spans="1:7">
      <c r="A231" s="3274" t="s">
        <v>304</v>
      </c>
      <c r="B231" s="3263" t="s">
        <v>3217</v>
      </c>
      <c r="C231" s="3275"/>
      <c r="D231" s="3275"/>
      <c r="E231" s="3275"/>
      <c r="F231" s="3264">
        <v>0.05</v>
      </c>
      <c r="G231" s="3281"/>
    </row>
    <row r="232" spans="1:7">
      <c r="A232" s="3274" t="s">
        <v>304</v>
      </c>
      <c r="B232" s="3263" t="s">
        <v>3218</v>
      </c>
      <c r="C232" s="3275"/>
      <c r="D232" s="3275"/>
      <c r="E232" s="3275"/>
      <c r="F232" s="3264">
        <v>0.05</v>
      </c>
      <c r="G232" s="3281"/>
    </row>
    <row r="233" spans="1:7" ht="14.25" thickBot="1">
      <c r="A233" s="3277" t="s">
        <v>304</v>
      </c>
      <c r="B233" s="3267" t="s">
        <v>3219</v>
      </c>
      <c r="C233" s="3269"/>
      <c r="D233" s="3269"/>
      <c r="E233" s="3269"/>
      <c r="F233" s="3268">
        <v>0.05</v>
      </c>
      <c r="G233" s="3282"/>
    </row>
    <row r="234" spans="1:7">
      <c r="A234" s="3273" t="s">
        <v>305</v>
      </c>
      <c r="B234" s="3259" t="s">
        <v>2868</v>
      </c>
      <c r="C234" s="3260">
        <v>0.13</v>
      </c>
      <c r="D234" s="3260">
        <v>0.128</v>
      </c>
      <c r="E234" s="3260">
        <v>0.14199999999999999</v>
      </c>
      <c r="F234" s="3260">
        <v>0.14699999999999999</v>
      </c>
      <c r="G234" s="3261">
        <v>0.14000000000000001</v>
      </c>
    </row>
    <row r="235" spans="1:7">
      <c r="A235" s="3274" t="s">
        <v>305</v>
      </c>
      <c r="B235" s="3263" t="s">
        <v>134</v>
      </c>
      <c r="C235" s="3264">
        <v>0.13600000000000001</v>
      </c>
      <c r="D235" s="3264">
        <v>0.13800000000000001</v>
      </c>
      <c r="E235" s="3264">
        <v>0.14499999999999999</v>
      </c>
      <c r="F235" s="3264">
        <v>0.14299999999999999</v>
      </c>
      <c r="G235" s="3265">
        <v>0.14099999999999999</v>
      </c>
    </row>
    <row r="236" spans="1:7">
      <c r="A236" s="3274" t="s">
        <v>305</v>
      </c>
      <c r="B236" s="3263" t="s">
        <v>143</v>
      </c>
      <c r="C236" s="3264">
        <v>0.15</v>
      </c>
      <c r="D236" s="3264">
        <v>0.15</v>
      </c>
      <c r="E236" s="3264">
        <v>0.15</v>
      </c>
      <c r="F236" s="3264">
        <v>0.15</v>
      </c>
      <c r="G236" s="3265">
        <v>0.15</v>
      </c>
    </row>
    <row r="237" spans="1:7">
      <c r="A237" s="3274" t="s">
        <v>305</v>
      </c>
      <c r="B237" s="3263" t="s">
        <v>152</v>
      </c>
      <c r="C237" s="3264">
        <v>0.15</v>
      </c>
      <c r="D237" s="3264">
        <v>0.15</v>
      </c>
      <c r="E237" s="3264">
        <v>0.15</v>
      </c>
      <c r="F237" s="3264">
        <v>0.15</v>
      </c>
      <c r="G237" s="3265">
        <v>0.15</v>
      </c>
    </row>
    <row r="238" spans="1:7">
      <c r="A238" s="3274" t="s">
        <v>305</v>
      </c>
      <c r="B238" s="3263" t="s">
        <v>2888</v>
      </c>
      <c r="C238" s="3264">
        <v>0.14899999999999999</v>
      </c>
      <c r="D238" s="3264">
        <v>0.14899999999999999</v>
      </c>
      <c r="E238" s="3264">
        <v>0.15</v>
      </c>
      <c r="F238" s="3264">
        <v>0.15</v>
      </c>
      <c r="G238" s="3265">
        <v>0.15</v>
      </c>
    </row>
    <row r="239" spans="1:7">
      <c r="A239" s="3274" t="s">
        <v>305</v>
      </c>
      <c r="B239" s="3263" t="s">
        <v>2892</v>
      </c>
      <c r="C239" s="3264">
        <v>0.15</v>
      </c>
      <c r="D239" s="3264">
        <v>0.15</v>
      </c>
      <c r="E239" s="3264">
        <v>0.15</v>
      </c>
      <c r="F239" s="3264">
        <v>0.15</v>
      </c>
      <c r="G239" s="3265">
        <v>0.15</v>
      </c>
    </row>
    <row r="240" spans="1:7">
      <c r="A240" s="3274" t="s">
        <v>305</v>
      </c>
      <c r="B240" s="3263" t="s">
        <v>2897</v>
      </c>
      <c r="C240" s="3264">
        <v>0.15</v>
      </c>
      <c r="D240" s="3264">
        <v>0.15</v>
      </c>
      <c r="E240" s="3264">
        <v>0.15</v>
      </c>
      <c r="F240" s="3264">
        <v>0.15</v>
      </c>
      <c r="G240" s="3265">
        <v>0.15</v>
      </c>
    </row>
    <row r="241" spans="1:7">
      <c r="A241" s="3274" t="s">
        <v>305</v>
      </c>
      <c r="B241" s="3263" t="s">
        <v>2901</v>
      </c>
      <c r="C241" s="3264">
        <v>0.14099999999999999</v>
      </c>
      <c r="D241" s="3264">
        <v>0.14199999999999999</v>
      </c>
      <c r="E241" s="3264">
        <v>0.14899999999999999</v>
      </c>
      <c r="F241" s="3264">
        <v>0.15</v>
      </c>
      <c r="G241" s="3265">
        <v>0.14399999999999999</v>
      </c>
    </row>
    <row r="242" spans="1:7">
      <c r="A242" s="3274" t="s">
        <v>305</v>
      </c>
      <c r="B242" s="3263" t="s">
        <v>181</v>
      </c>
      <c r="C242" s="3264">
        <v>0.14099999999999999</v>
      </c>
      <c r="D242" s="3264">
        <v>0.14199999999999999</v>
      </c>
      <c r="E242" s="3264">
        <v>0.14799999999999999</v>
      </c>
      <c r="F242" s="3264">
        <v>0.127</v>
      </c>
      <c r="G242" s="3265">
        <v>0.14399999999999999</v>
      </c>
    </row>
    <row r="243" spans="1:7">
      <c r="A243" s="3274" t="s">
        <v>305</v>
      </c>
      <c r="B243" s="3263" t="s">
        <v>191</v>
      </c>
      <c r="C243" s="3264">
        <v>0.14699999999999999</v>
      </c>
      <c r="D243" s="3264">
        <v>0.14699999999999999</v>
      </c>
      <c r="E243" s="3264">
        <v>0.15</v>
      </c>
      <c r="F243" s="3264">
        <v>0.15</v>
      </c>
      <c r="G243" s="3265">
        <v>0.14899999999999999</v>
      </c>
    </row>
    <row r="244" spans="1:7">
      <c r="A244" s="3274" t="s">
        <v>305</v>
      </c>
      <c r="B244" s="3263" t="s">
        <v>2907</v>
      </c>
      <c r="C244" s="3264">
        <v>0.15</v>
      </c>
      <c r="D244" s="3264">
        <v>0.15</v>
      </c>
      <c r="E244" s="3264">
        <v>0.15</v>
      </c>
      <c r="F244" s="3264">
        <v>0.15</v>
      </c>
      <c r="G244" s="3265">
        <v>0.15</v>
      </c>
    </row>
    <row r="245" spans="1:7">
      <c r="A245" s="3274" t="s">
        <v>305</v>
      </c>
      <c r="B245" s="3263" t="s">
        <v>206</v>
      </c>
      <c r="C245" s="3264">
        <v>0.14199999999999999</v>
      </c>
      <c r="D245" s="3264">
        <v>0.14199999999999999</v>
      </c>
      <c r="E245" s="3264">
        <v>0.15</v>
      </c>
      <c r="F245" s="3264">
        <v>0.15</v>
      </c>
      <c r="G245" s="3265">
        <v>0.14499999999999999</v>
      </c>
    </row>
    <row r="246" spans="1:7">
      <c r="A246" s="3274" t="s">
        <v>305</v>
      </c>
      <c r="B246" s="3263" t="s">
        <v>213</v>
      </c>
      <c r="C246" s="3264">
        <v>0.14199999999999999</v>
      </c>
      <c r="D246" s="3264">
        <v>0.14299999999999999</v>
      </c>
      <c r="E246" s="3264">
        <v>0.15</v>
      </c>
      <c r="F246" s="3264">
        <v>0.14199999999999999</v>
      </c>
      <c r="G246" s="3265">
        <v>0.14399999999999999</v>
      </c>
    </row>
    <row r="247" spans="1:7">
      <c r="A247" s="3274" t="s">
        <v>305</v>
      </c>
      <c r="B247" s="3263" t="s">
        <v>2915</v>
      </c>
      <c r="C247" s="3264">
        <v>0.14899999999999999</v>
      </c>
      <c r="D247" s="3264">
        <v>0.14899999999999999</v>
      </c>
      <c r="E247" s="3264">
        <v>0.15</v>
      </c>
      <c r="F247" s="3264">
        <v>0.15</v>
      </c>
      <c r="G247" s="3265">
        <v>0.15</v>
      </c>
    </row>
    <row r="248" spans="1:7">
      <c r="A248" s="3274" t="s">
        <v>305</v>
      </c>
      <c r="B248" s="3263" t="s">
        <v>227</v>
      </c>
      <c r="C248" s="3264">
        <v>0.14399999999999999</v>
      </c>
      <c r="D248" s="3264">
        <v>0.14399999999999999</v>
      </c>
      <c r="E248" s="3264">
        <v>0.14899999999999999</v>
      </c>
      <c r="F248" s="3264">
        <v>0.14799999999999999</v>
      </c>
      <c r="G248" s="3265">
        <v>0.14599999999999999</v>
      </c>
    </row>
    <row r="249" spans="1:7">
      <c r="A249" s="3274" t="s">
        <v>305</v>
      </c>
      <c r="B249" s="3263" t="s">
        <v>2920</v>
      </c>
      <c r="C249" s="3264">
        <v>0.14000000000000001</v>
      </c>
      <c r="D249" s="3264">
        <v>0.14000000000000001</v>
      </c>
      <c r="E249" s="3264">
        <v>0.14699999999999999</v>
      </c>
      <c r="F249" s="3264">
        <v>0.14899999999999999</v>
      </c>
      <c r="G249" s="3265">
        <v>0.14199999999999999</v>
      </c>
    </row>
    <row r="250" spans="1:7">
      <c r="A250" s="3274" t="s">
        <v>305</v>
      </c>
      <c r="B250" s="3263" t="s">
        <v>241</v>
      </c>
      <c r="C250" s="3264">
        <v>0.14399999999999999</v>
      </c>
      <c r="D250" s="3264">
        <v>0.14299999999999999</v>
      </c>
      <c r="E250" s="3264">
        <v>0.14899999999999999</v>
      </c>
      <c r="F250" s="3264">
        <v>0.15</v>
      </c>
      <c r="G250" s="3265">
        <v>0.14599999999999999</v>
      </c>
    </row>
    <row r="251" spans="1:7">
      <c r="A251" s="3274" t="s">
        <v>305</v>
      </c>
      <c r="B251" s="3263" t="s">
        <v>249</v>
      </c>
      <c r="C251" s="3280"/>
      <c r="D251" s="3275"/>
      <c r="E251" s="3275"/>
      <c r="F251" s="3264">
        <v>0.1</v>
      </c>
      <c r="G251" s="3281"/>
    </row>
    <row r="252" spans="1:7">
      <c r="A252" s="3274" t="s">
        <v>305</v>
      </c>
      <c r="B252" s="3263" t="s">
        <v>2928</v>
      </c>
      <c r="C252" s="3264">
        <v>0.14399999999999999</v>
      </c>
      <c r="D252" s="3264">
        <v>0.14399999999999999</v>
      </c>
      <c r="E252" s="3264">
        <v>0.15</v>
      </c>
      <c r="F252" s="3264">
        <v>0.14899999999999999</v>
      </c>
      <c r="G252" s="3265">
        <v>0.14599999999999999</v>
      </c>
    </row>
    <row r="253" spans="1:7">
      <c r="A253" s="3274" t="s">
        <v>305</v>
      </c>
      <c r="B253" s="3263" t="s">
        <v>283</v>
      </c>
      <c r="C253" s="3264">
        <v>0.14199999999999999</v>
      </c>
      <c r="D253" s="3264">
        <v>0.14199999999999999</v>
      </c>
      <c r="E253" s="3264">
        <v>0.14599999999999999</v>
      </c>
      <c r="F253" s="3264">
        <v>0.14799999999999999</v>
      </c>
      <c r="G253" s="3265">
        <v>0.14499999999999999</v>
      </c>
    </row>
    <row r="254" spans="1:7">
      <c r="A254" s="3274" t="s">
        <v>305</v>
      </c>
      <c r="B254" s="3263" t="s">
        <v>286</v>
      </c>
      <c r="C254" s="3264">
        <v>0.15</v>
      </c>
      <c r="D254" s="3264">
        <v>0.15</v>
      </c>
      <c r="E254" s="3264">
        <v>0.15</v>
      </c>
      <c r="F254" s="3264">
        <v>0.15</v>
      </c>
      <c r="G254" s="3265">
        <v>0.15</v>
      </c>
    </row>
    <row r="255" spans="1:7">
      <c r="A255" s="3274" t="s">
        <v>305</v>
      </c>
      <c r="B255" s="3263" t="s">
        <v>289</v>
      </c>
      <c r="C255" s="3264">
        <v>0.14299999999999999</v>
      </c>
      <c r="D255" s="3264">
        <v>0.14299999999999999</v>
      </c>
      <c r="E255" s="3264">
        <v>0.15</v>
      </c>
      <c r="F255" s="3264">
        <v>0.15</v>
      </c>
      <c r="G255" s="3265">
        <v>0.14499999999999999</v>
      </c>
    </row>
    <row r="256" spans="1:7">
      <c r="A256" s="3274" t="s">
        <v>305</v>
      </c>
      <c r="B256" s="3263" t="s">
        <v>2941</v>
      </c>
      <c r="C256" s="3264">
        <v>0.15</v>
      </c>
      <c r="D256" s="3264">
        <v>0.15</v>
      </c>
      <c r="E256" s="3264">
        <v>0.15</v>
      </c>
      <c r="F256" s="3264">
        <v>0.14599999999999999</v>
      </c>
      <c r="G256" s="3265">
        <v>0.15</v>
      </c>
    </row>
    <row r="257" spans="1:7">
      <c r="A257" s="3274" t="s">
        <v>305</v>
      </c>
      <c r="B257" s="3263" t="s">
        <v>275</v>
      </c>
      <c r="C257" s="3264">
        <v>0.14199999999999999</v>
      </c>
      <c r="D257" s="3264">
        <v>0.14299999999999999</v>
      </c>
      <c r="E257" s="3264">
        <v>0.14799999999999999</v>
      </c>
      <c r="F257" s="3264">
        <v>0.15</v>
      </c>
      <c r="G257" s="3265">
        <v>0.14499999999999999</v>
      </c>
    </row>
    <row r="258" spans="1:7">
      <c r="A258" s="3274" t="s">
        <v>305</v>
      </c>
      <c r="B258" s="3263" t="s">
        <v>2950</v>
      </c>
      <c r="C258" s="3264">
        <v>0.14299999999999999</v>
      </c>
      <c r="D258" s="3264">
        <v>0.14299999999999999</v>
      </c>
      <c r="E258" s="3264">
        <v>0.15</v>
      </c>
      <c r="F258" s="3264">
        <v>0.14799999999999999</v>
      </c>
      <c r="G258" s="3265">
        <v>0.14599999999999999</v>
      </c>
    </row>
    <row r="259" spans="1:7">
      <c r="A259" s="3274" t="s">
        <v>305</v>
      </c>
      <c r="B259" s="3263" t="s">
        <v>2954</v>
      </c>
      <c r="C259" s="3264">
        <v>0.14399999999999999</v>
      </c>
      <c r="D259" s="3264">
        <v>0.14399999999999999</v>
      </c>
      <c r="E259" s="3264">
        <v>0.14899999999999999</v>
      </c>
      <c r="F259" s="3264">
        <v>0.14699999999999999</v>
      </c>
      <c r="G259" s="3265">
        <v>0.14599999999999999</v>
      </c>
    </row>
    <row r="260" spans="1:7">
      <c r="A260" s="3274" t="s">
        <v>305</v>
      </c>
      <c r="B260" s="3263" t="s">
        <v>2961</v>
      </c>
      <c r="C260" s="3264">
        <v>0.109</v>
      </c>
      <c r="D260" s="3264">
        <v>0.111</v>
      </c>
      <c r="E260" s="3264">
        <v>0.13100000000000001</v>
      </c>
      <c r="F260" s="3264">
        <v>0.126</v>
      </c>
      <c r="G260" s="3265">
        <v>0.11899999999999999</v>
      </c>
    </row>
    <row r="261" spans="1:7">
      <c r="A261" s="3274" t="s">
        <v>305</v>
      </c>
      <c r="B261" s="3263" t="s">
        <v>2968</v>
      </c>
      <c r="C261" s="3264">
        <v>0.1</v>
      </c>
      <c r="D261" s="3264">
        <v>0.1</v>
      </c>
      <c r="E261" s="3264">
        <v>0.11799999999999999</v>
      </c>
      <c r="F261" s="3264">
        <v>0.108</v>
      </c>
      <c r="G261" s="3265">
        <v>0.107</v>
      </c>
    </row>
    <row r="262" spans="1:7">
      <c r="A262" s="3274" t="s">
        <v>305</v>
      </c>
      <c r="B262" s="3263" t="s">
        <v>2974</v>
      </c>
      <c r="C262" s="3264">
        <v>0.1</v>
      </c>
      <c r="D262" s="3264">
        <v>0.1</v>
      </c>
      <c r="E262" s="3264">
        <v>0.1</v>
      </c>
      <c r="F262" s="3264">
        <v>0.14099999999999999</v>
      </c>
      <c r="G262" s="3265">
        <v>0.1</v>
      </c>
    </row>
    <row r="263" spans="1:7">
      <c r="A263" s="3274" t="s">
        <v>305</v>
      </c>
      <c r="B263" s="3263" t="s">
        <v>2981</v>
      </c>
      <c r="C263" s="3264">
        <v>0.14799999999999999</v>
      </c>
      <c r="D263" s="3264">
        <v>0.14799999999999999</v>
      </c>
      <c r="E263" s="3264">
        <v>0.15</v>
      </c>
      <c r="F263" s="3264">
        <v>0.14699999999999999</v>
      </c>
      <c r="G263" s="3265">
        <v>0.15</v>
      </c>
    </row>
    <row r="264" spans="1:7">
      <c r="A264" s="3274" t="s">
        <v>305</v>
      </c>
      <c r="B264" s="3263" t="s">
        <v>299</v>
      </c>
      <c r="C264" s="3264">
        <v>0.14299999999999999</v>
      </c>
      <c r="D264" s="3264">
        <v>0.14299999999999999</v>
      </c>
      <c r="E264" s="3264">
        <v>0.15</v>
      </c>
      <c r="F264" s="3264">
        <v>0.14899999999999999</v>
      </c>
      <c r="G264" s="3265">
        <v>0.14599999999999999</v>
      </c>
    </row>
    <row r="265" spans="1:7">
      <c r="A265" s="3274" t="s">
        <v>305</v>
      </c>
      <c r="B265" s="3263" t="s">
        <v>2992</v>
      </c>
      <c r="C265" s="3275"/>
      <c r="D265" s="3275"/>
      <c r="E265" s="3275"/>
      <c r="F265" s="3264">
        <v>0.05</v>
      </c>
      <c r="G265" s="3281"/>
    </row>
    <row r="266" spans="1:7">
      <c r="A266" s="3274" t="s">
        <v>305</v>
      </c>
      <c r="B266" s="3263" t="s">
        <v>2996</v>
      </c>
      <c r="C266" s="3275"/>
      <c r="D266" s="3275"/>
      <c r="E266" s="3275"/>
      <c r="F266" s="3264">
        <v>0.05</v>
      </c>
      <c r="G266" s="3281"/>
    </row>
    <row r="267" spans="1:7">
      <c r="A267" s="3274" t="s">
        <v>305</v>
      </c>
      <c r="B267" s="3263" t="s">
        <v>3001</v>
      </c>
      <c r="C267" s="3275"/>
      <c r="D267" s="3275"/>
      <c r="E267" s="3275"/>
      <c r="F267" s="3264">
        <v>0.05</v>
      </c>
      <c r="G267" s="3281"/>
    </row>
    <row r="268" spans="1:7">
      <c r="A268" s="3274" t="s">
        <v>305</v>
      </c>
      <c r="B268" s="3263" t="s">
        <v>3006</v>
      </c>
      <c r="C268" s="3275"/>
      <c r="D268" s="3275"/>
      <c r="E268" s="3275"/>
      <c r="F268" s="3264">
        <v>0.05</v>
      </c>
      <c r="G268" s="3281"/>
    </row>
    <row r="269" spans="1:7">
      <c r="A269" s="3274" t="s">
        <v>305</v>
      </c>
      <c r="B269" s="3263" t="s">
        <v>3011</v>
      </c>
      <c r="C269" s="3275"/>
      <c r="D269" s="3275"/>
      <c r="E269" s="3275"/>
      <c r="F269" s="3264">
        <v>0.05</v>
      </c>
      <c r="G269" s="3281"/>
    </row>
    <row r="270" spans="1:7">
      <c r="A270" s="3274" t="s">
        <v>305</v>
      </c>
      <c r="B270" s="3263" t="s">
        <v>3016</v>
      </c>
      <c r="C270" s="3275"/>
      <c r="D270" s="3275"/>
      <c r="E270" s="3275"/>
      <c r="F270" s="3264">
        <v>0.05</v>
      </c>
      <c r="G270" s="3281"/>
    </row>
    <row r="271" spans="1:7">
      <c r="A271" s="3274" t="s">
        <v>305</v>
      </c>
      <c r="B271" s="3263" t="s">
        <v>3220</v>
      </c>
      <c r="C271" s="3275"/>
      <c r="D271" s="3275"/>
      <c r="E271" s="3275"/>
      <c r="F271" s="3264">
        <v>0.05</v>
      </c>
      <c r="G271" s="3281"/>
    </row>
    <row r="272" spans="1:7">
      <c r="A272" s="3274" t="s">
        <v>305</v>
      </c>
      <c r="B272" s="3263" t="s">
        <v>3221</v>
      </c>
      <c r="C272" s="3275"/>
      <c r="D272" s="3275"/>
      <c r="E272" s="3275"/>
      <c r="F272" s="3264">
        <v>0.05</v>
      </c>
      <c r="G272" s="3281"/>
    </row>
    <row r="273" spans="1:7">
      <c r="A273" s="3274" t="s">
        <v>305</v>
      </c>
      <c r="B273" s="3263" t="s">
        <v>3222</v>
      </c>
      <c r="C273" s="3275"/>
      <c r="D273" s="3275"/>
      <c r="E273" s="3275"/>
      <c r="F273" s="3264">
        <v>0.05</v>
      </c>
      <c r="G273" s="3281"/>
    </row>
    <row r="274" spans="1:7">
      <c r="A274" s="3274" t="s">
        <v>305</v>
      </c>
      <c r="B274" s="3263" t="s">
        <v>3223</v>
      </c>
      <c r="C274" s="3275"/>
      <c r="D274" s="3275"/>
      <c r="E274" s="3275"/>
      <c r="F274" s="3264">
        <v>0.05</v>
      </c>
      <c r="G274" s="3281"/>
    </row>
    <row r="275" spans="1:7">
      <c r="A275" s="3274" t="s">
        <v>305</v>
      </c>
      <c r="B275" s="3263" t="s">
        <v>3224</v>
      </c>
      <c r="C275" s="3275"/>
      <c r="D275" s="3275"/>
      <c r="E275" s="3275"/>
      <c r="F275" s="3264">
        <v>0.05</v>
      </c>
      <c r="G275" s="3281"/>
    </row>
    <row r="276" spans="1:7" ht="14.25" thickBot="1">
      <c r="A276" s="3277" t="s">
        <v>305</v>
      </c>
      <c r="B276" s="3267" t="s">
        <v>3225</v>
      </c>
      <c r="C276" s="3269"/>
      <c r="D276" s="3269"/>
      <c r="E276" s="3269"/>
      <c r="F276" s="3268">
        <v>0.05</v>
      </c>
      <c r="G276" s="3282"/>
    </row>
    <row r="277" spans="1:7">
      <c r="A277" s="3273" t="s">
        <v>306</v>
      </c>
      <c r="B277" s="3259" t="s">
        <v>2869</v>
      </c>
      <c r="C277" s="3260">
        <v>0.15</v>
      </c>
      <c r="D277" s="3260">
        <v>0.15</v>
      </c>
      <c r="E277" s="3260">
        <v>0.15</v>
      </c>
      <c r="F277" s="3260">
        <v>0.15</v>
      </c>
      <c r="G277" s="3261">
        <v>0.15</v>
      </c>
    </row>
    <row r="278" spans="1:7">
      <c r="A278" s="3274" t="s">
        <v>306</v>
      </c>
      <c r="B278" s="3263" t="s">
        <v>135</v>
      </c>
      <c r="C278" s="3264">
        <v>0.15</v>
      </c>
      <c r="D278" s="3264">
        <v>0.15</v>
      </c>
      <c r="E278" s="3264">
        <v>0.15</v>
      </c>
      <c r="F278" s="3264">
        <v>0.15</v>
      </c>
      <c r="G278" s="3265">
        <v>0.15</v>
      </c>
    </row>
    <row r="279" spans="1:7">
      <c r="A279" s="3274" t="s">
        <v>306</v>
      </c>
      <c r="B279" s="3263" t="s">
        <v>2881</v>
      </c>
      <c r="C279" s="3264">
        <v>0.15</v>
      </c>
      <c r="D279" s="3264">
        <v>0.15</v>
      </c>
      <c r="E279" s="3264">
        <v>0.15</v>
      </c>
      <c r="F279" s="3264">
        <v>0.15</v>
      </c>
      <c r="G279" s="3265">
        <v>0.15</v>
      </c>
    </row>
    <row r="280" spans="1:7">
      <c r="A280" s="3274" t="s">
        <v>306</v>
      </c>
      <c r="B280" s="3263" t="s">
        <v>2885</v>
      </c>
      <c r="C280" s="3264">
        <v>0.15</v>
      </c>
      <c r="D280" s="3264">
        <v>0.15</v>
      </c>
      <c r="E280" s="3264">
        <v>0.15</v>
      </c>
      <c r="F280" s="3264">
        <v>0.15</v>
      </c>
      <c r="G280" s="3265">
        <v>0.15</v>
      </c>
    </row>
    <row r="281" spans="1:7">
      <c r="A281" s="3274" t="s">
        <v>306</v>
      </c>
      <c r="B281" s="3263" t="s">
        <v>2889</v>
      </c>
      <c r="C281" s="3264">
        <v>0.15</v>
      </c>
      <c r="D281" s="3264">
        <v>0.15</v>
      </c>
      <c r="E281" s="3264">
        <v>0.15</v>
      </c>
      <c r="F281" s="3264">
        <v>0.15</v>
      </c>
      <c r="G281" s="3265">
        <v>0.15</v>
      </c>
    </row>
    <row r="282" spans="1:7">
      <c r="A282" s="3274" t="s">
        <v>306</v>
      </c>
      <c r="B282" s="3263" t="s">
        <v>2893</v>
      </c>
      <c r="C282" s="3264">
        <v>0.15</v>
      </c>
      <c r="D282" s="3264">
        <v>0.15</v>
      </c>
      <c r="E282" s="3264">
        <v>0.15</v>
      </c>
      <c r="F282" s="3264">
        <v>0.14499999999999999</v>
      </c>
      <c r="G282" s="3265">
        <v>0.15</v>
      </c>
    </row>
    <row r="283" spans="1:7">
      <c r="A283" s="3274" t="s">
        <v>306</v>
      </c>
      <c r="B283" s="3263" t="s">
        <v>174</v>
      </c>
      <c r="C283" s="3264">
        <v>0.15</v>
      </c>
      <c r="D283" s="3264">
        <v>0.15</v>
      </c>
      <c r="E283" s="3264">
        <v>0.15</v>
      </c>
      <c r="F283" s="3264">
        <v>0.14199999999999999</v>
      </c>
      <c r="G283" s="3265">
        <v>0.15</v>
      </c>
    </row>
    <row r="284" spans="1:7">
      <c r="A284" s="3274" t="s">
        <v>306</v>
      </c>
      <c r="B284" s="3263" t="s">
        <v>182</v>
      </c>
      <c r="C284" s="3264">
        <v>0.15</v>
      </c>
      <c r="D284" s="3264">
        <v>0.15</v>
      </c>
      <c r="E284" s="3264">
        <v>0.15</v>
      </c>
      <c r="F284" s="3264">
        <v>0.15</v>
      </c>
      <c r="G284" s="3265">
        <v>0.15</v>
      </c>
    </row>
    <row r="285" spans="1:7">
      <c r="A285" s="3274" t="s">
        <v>306</v>
      </c>
      <c r="B285" s="3263" t="s">
        <v>192</v>
      </c>
      <c r="C285" s="3264">
        <v>0.15</v>
      </c>
      <c r="D285" s="3264">
        <v>0.15</v>
      </c>
      <c r="E285" s="3264">
        <v>0.15</v>
      </c>
      <c r="F285" s="3264">
        <v>0.15</v>
      </c>
      <c r="G285" s="3265">
        <v>0.15</v>
      </c>
    </row>
    <row r="286" spans="1:7">
      <c r="A286" s="3274" t="s">
        <v>306</v>
      </c>
      <c r="B286" s="3263" t="s">
        <v>199</v>
      </c>
      <c r="C286" s="3264">
        <v>0.14499999999999999</v>
      </c>
      <c r="D286" s="3264">
        <v>0.14499999999999999</v>
      </c>
      <c r="E286" s="3264">
        <v>0.15</v>
      </c>
      <c r="F286" s="3264">
        <v>0.14099999999999999</v>
      </c>
      <c r="G286" s="3265">
        <v>0.14499999999999999</v>
      </c>
    </row>
    <row r="287" spans="1:7">
      <c r="A287" s="3274" t="s">
        <v>306</v>
      </c>
      <c r="B287" s="3263" t="s">
        <v>2908</v>
      </c>
      <c r="C287" s="3264">
        <v>0.11</v>
      </c>
      <c r="D287" s="3264">
        <v>0.111</v>
      </c>
      <c r="E287" s="3264">
        <v>0.14099999999999999</v>
      </c>
      <c r="F287" s="3264">
        <v>0.11</v>
      </c>
      <c r="G287" s="3265">
        <v>0.12</v>
      </c>
    </row>
    <row r="288" spans="1:7">
      <c r="A288" s="3274" t="s">
        <v>306</v>
      </c>
      <c r="B288" s="3263" t="s">
        <v>219</v>
      </c>
      <c r="C288" s="3264">
        <v>0.14199999999999999</v>
      </c>
      <c r="D288" s="3264">
        <v>0.14299999999999999</v>
      </c>
      <c r="E288" s="3264">
        <v>0.15</v>
      </c>
      <c r="F288" s="3264">
        <v>0.14199999999999999</v>
      </c>
      <c r="G288" s="3265">
        <v>0.14399999999999999</v>
      </c>
    </row>
    <row r="289" spans="1:7">
      <c r="A289" s="3274" t="s">
        <v>306</v>
      </c>
      <c r="B289" s="3263" t="s">
        <v>2913</v>
      </c>
      <c r="C289" s="3264">
        <v>0.14299999999999999</v>
      </c>
      <c r="D289" s="3264">
        <v>0.14299999999999999</v>
      </c>
      <c r="E289" s="3264">
        <v>0.14799999999999999</v>
      </c>
      <c r="F289" s="3264">
        <v>0.14399999999999999</v>
      </c>
      <c r="G289" s="3265">
        <v>0.14399999999999999</v>
      </c>
    </row>
    <row r="290" spans="1:7">
      <c r="A290" s="3274" t="s">
        <v>306</v>
      </c>
      <c r="B290" s="3263" t="s">
        <v>242</v>
      </c>
      <c r="C290" s="3264">
        <v>0.14799999999999999</v>
      </c>
      <c r="D290" s="3264">
        <v>0.14899999999999999</v>
      </c>
      <c r="E290" s="3264">
        <v>0.15</v>
      </c>
      <c r="F290" s="3264">
        <v>0.127</v>
      </c>
      <c r="G290" s="3265">
        <v>0.15</v>
      </c>
    </row>
    <row r="291" spans="1:7">
      <c r="A291" s="3274" t="s">
        <v>306</v>
      </c>
      <c r="B291" s="3263" t="s">
        <v>250</v>
      </c>
      <c r="C291" s="3264">
        <v>0.15</v>
      </c>
      <c r="D291" s="3264">
        <v>0.15</v>
      </c>
      <c r="E291" s="3264">
        <v>0.15</v>
      </c>
      <c r="F291" s="3264">
        <v>0.14899999999999999</v>
      </c>
      <c r="G291" s="3265">
        <v>0.15</v>
      </c>
    </row>
    <row r="292" spans="1:7">
      <c r="A292" s="3274" t="s">
        <v>306</v>
      </c>
      <c r="B292" s="3263" t="s">
        <v>256</v>
      </c>
      <c r="C292" s="3264">
        <v>0.15</v>
      </c>
      <c r="D292" s="3264">
        <v>0.15</v>
      </c>
      <c r="E292" s="3264">
        <v>0.15</v>
      </c>
      <c r="F292" s="3264">
        <v>0.14399999999999999</v>
      </c>
      <c r="G292" s="3265">
        <v>0.15</v>
      </c>
    </row>
    <row r="293" spans="1:7">
      <c r="A293" s="3274" t="s">
        <v>306</v>
      </c>
      <c r="B293" s="3263" t="s">
        <v>2923</v>
      </c>
      <c r="C293" s="3264">
        <v>0.15</v>
      </c>
      <c r="D293" s="3264">
        <v>0.15</v>
      </c>
      <c r="E293" s="3264">
        <v>0.15</v>
      </c>
      <c r="F293" s="3264">
        <v>0.14499999999999999</v>
      </c>
      <c r="G293" s="3265">
        <v>0.15</v>
      </c>
    </row>
    <row r="294" spans="1:7">
      <c r="A294" s="3274" t="s">
        <v>306</v>
      </c>
      <c r="B294" s="3263" t="s">
        <v>2925</v>
      </c>
      <c r="C294" s="3264">
        <v>0.15</v>
      </c>
      <c r="D294" s="3264">
        <v>0.15</v>
      </c>
      <c r="E294" s="3264">
        <v>0.15</v>
      </c>
      <c r="F294" s="3264">
        <v>0.14899999999999999</v>
      </c>
      <c r="G294" s="3265">
        <v>0.15</v>
      </c>
    </row>
    <row r="295" spans="1:7">
      <c r="A295" s="3274" t="s">
        <v>306</v>
      </c>
      <c r="B295" s="3263" t="s">
        <v>290</v>
      </c>
      <c r="C295" s="3264">
        <v>0.15</v>
      </c>
      <c r="D295" s="3264">
        <v>0.15</v>
      </c>
      <c r="E295" s="3264">
        <v>0.15</v>
      </c>
      <c r="F295" s="3264">
        <v>0.14799999999999999</v>
      </c>
      <c r="G295" s="3265">
        <v>0.15</v>
      </c>
    </row>
    <row r="296" spans="1:7">
      <c r="A296" s="3274" t="s">
        <v>306</v>
      </c>
      <c r="B296" s="3263" t="s">
        <v>293</v>
      </c>
      <c r="C296" s="3264">
        <v>0.15</v>
      </c>
      <c r="D296" s="3264">
        <v>0.15</v>
      </c>
      <c r="E296" s="3264">
        <v>0.15</v>
      </c>
      <c r="F296" s="3264">
        <v>0.14399999999999999</v>
      </c>
      <c r="G296" s="3265">
        <v>0.15</v>
      </c>
    </row>
    <row r="297" spans="1:7">
      <c r="A297" s="3274" t="s">
        <v>306</v>
      </c>
      <c r="B297" s="3263" t="s">
        <v>295</v>
      </c>
      <c r="C297" s="3264">
        <v>0.15</v>
      </c>
      <c r="D297" s="3264">
        <v>0.15</v>
      </c>
      <c r="E297" s="3264">
        <v>0.15</v>
      </c>
      <c r="F297" s="3264">
        <v>0.14499999999999999</v>
      </c>
      <c r="G297" s="3265">
        <v>0.15</v>
      </c>
    </row>
    <row r="298" spans="1:7">
      <c r="A298" s="3274" t="s">
        <v>306</v>
      </c>
      <c r="B298" s="3263" t="s">
        <v>298</v>
      </c>
      <c r="C298" s="3264">
        <v>0.15</v>
      </c>
      <c r="D298" s="3264">
        <v>0.15</v>
      </c>
      <c r="E298" s="3264">
        <v>0.15</v>
      </c>
      <c r="F298" s="3264">
        <v>0.15</v>
      </c>
      <c r="G298" s="3265">
        <v>0.15</v>
      </c>
    </row>
    <row r="299" spans="1:7">
      <c r="A299" s="3274" t="s">
        <v>306</v>
      </c>
      <c r="B299" s="3283" t="s">
        <v>2942</v>
      </c>
      <c r="C299" s="3264">
        <v>0.15</v>
      </c>
      <c r="D299" s="3264">
        <v>0.15</v>
      </c>
      <c r="E299" s="3264">
        <v>0.15</v>
      </c>
      <c r="F299" s="3264">
        <v>0.14499999999999999</v>
      </c>
      <c r="G299" s="3265">
        <v>0.15</v>
      </c>
    </row>
    <row r="300" spans="1:7">
      <c r="A300" s="3274" t="s">
        <v>306</v>
      </c>
      <c r="B300" s="3283" t="s">
        <v>271</v>
      </c>
      <c r="C300" s="3264">
        <v>0.15</v>
      </c>
      <c r="D300" s="3264">
        <v>0.15</v>
      </c>
      <c r="E300" s="3264">
        <v>0.15</v>
      </c>
      <c r="F300" s="3264">
        <v>0.14599999999999999</v>
      </c>
      <c r="G300" s="3265">
        <v>0.15</v>
      </c>
    </row>
    <row r="301" spans="1:7">
      <c r="A301" s="3274" t="s">
        <v>306</v>
      </c>
      <c r="B301" s="3283" t="s">
        <v>276</v>
      </c>
      <c r="C301" s="3264">
        <v>0.126</v>
      </c>
      <c r="D301" s="3264">
        <v>0.124</v>
      </c>
      <c r="E301" s="3264">
        <v>0.14099999999999999</v>
      </c>
      <c r="F301" s="3264">
        <v>0.14399999999999999</v>
      </c>
      <c r="G301" s="3265">
        <v>0.13</v>
      </c>
    </row>
    <row r="302" spans="1:7">
      <c r="A302" s="3274" t="s">
        <v>306</v>
      </c>
      <c r="B302" s="3263" t="s">
        <v>2955</v>
      </c>
      <c r="C302" s="3264">
        <v>0.15</v>
      </c>
      <c r="D302" s="3264">
        <v>0.15</v>
      </c>
      <c r="E302" s="3264">
        <v>0.15</v>
      </c>
      <c r="F302" s="3264">
        <v>0.14699999999999999</v>
      </c>
      <c r="G302" s="3265">
        <v>0.15</v>
      </c>
    </row>
    <row r="303" spans="1:7">
      <c r="A303" s="3274" t="s">
        <v>306</v>
      </c>
      <c r="B303" s="3263" t="s">
        <v>2962</v>
      </c>
      <c r="C303" s="3264">
        <v>0.15</v>
      </c>
      <c r="D303" s="3264">
        <v>0.15</v>
      </c>
      <c r="E303" s="3264">
        <v>0.15</v>
      </c>
      <c r="F303" s="3264">
        <v>0.14199999999999999</v>
      </c>
      <c r="G303" s="3265">
        <v>0.15</v>
      </c>
    </row>
    <row r="304" spans="1:7">
      <c r="A304" s="3274" t="s">
        <v>306</v>
      </c>
      <c r="B304" s="3263" t="s">
        <v>2969</v>
      </c>
      <c r="C304" s="3264">
        <v>0.15</v>
      </c>
      <c r="D304" s="3264">
        <v>0.15</v>
      </c>
      <c r="E304" s="3264">
        <v>0.15</v>
      </c>
      <c r="F304" s="3264">
        <v>0.14499999999999999</v>
      </c>
      <c r="G304" s="3265">
        <v>0.15</v>
      </c>
    </row>
    <row r="305" spans="1:7">
      <c r="A305" s="3274" t="s">
        <v>306</v>
      </c>
      <c r="B305" s="3263" t="s">
        <v>2975</v>
      </c>
      <c r="C305" s="3264">
        <v>0.15</v>
      </c>
      <c r="D305" s="3264">
        <v>0.15</v>
      </c>
      <c r="E305" s="3264">
        <v>0.15</v>
      </c>
      <c r="F305" s="3264">
        <v>0.111</v>
      </c>
      <c r="G305" s="3265">
        <v>0.15</v>
      </c>
    </row>
    <row r="306" spans="1:7">
      <c r="A306" s="3274" t="s">
        <v>306</v>
      </c>
      <c r="B306" s="3263" t="s">
        <v>2982</v>
      </c>
      <c r="C306" s="3264">
        <v>0.15</v>
      </c>
      <c r="D306" s="3264">
        <v>0.15</v>
      </c>
      <c r="E306" s="3264">
        <v>0.15</v>
      </c>
      <c r="F306" s="3264">
        <v>0.126</v>
      </c>
      <c r="G306" s="3265">
        <v>0.15</v>
      </c>
    </row>
    <row r="307" spans="1:7">
      <c r="A307" s="3274" t="s">
        <v>306</v>
      </c>
      <c r="B307" s="3263" t="s">
        <v>2987</v>
      </c>
      <c r="C307" s="3264">
        <v>0.15</v>
      </c>
      <c r="D307" s="3264">
        <v>0.15</v>
      </c>
      <c r="E307" s="3264">
        <v>0.15</v>
      </c>
      <c r="F307" s="3264">
        <v>0.12</v>
      </c>
      <c r="G307" s="3265">
        <v>0.15</v>
      </c>
    </row>
    <row r="308" spans="1:7">
      <c r="A308" s="3274" t="s">
        <v>306</v>
      </c>
      <c r="B308" s="3263" t="s">
        <v>2993</v>
      </c>
      <c r="C308" s="3264">
        <v>0.15</v>
      </c>
      <c r="D308" s="3264">
        <v>0.15</v>
      </c>
      <c r="E308" s="3264">
        <v>0.15</v>
      </c>
      <c r="F308" s="3264">
        <v>0.13</v>
      </c>
      <c r="G308" s="3265">
        <v>0.15</v>
      </c>
    </row>
    <row r="309" spans="1:7">
      <c r="A309" s="3274" t="s">
        <v>306</v>
      </c>
      <c r="B309" s="3263" t="s">
        <v>2997</v>
      </c>
      <c r="C309" s="3264">
        <v>0.15</v>
      </c>
      <c r="D309" s="3264">
        <v>0.15</v>
      </c>
      <c r="E309" s="3264">
        <v>0.15</v>
      </c>
      <c r="F309" s="3264">
        <v>0.14099999999999999</v>
      </c>
      <c r="G309" s="3265">
        <v>0.15</v>
      </c>
    </row>
    <row r="310" spans="1:7">
      <c r="A310" s="3274" t="s">
        <v>306</v>
      </c>
      <c r="B310" s="3263" t="s">
        <v>3002</v>
      </c>
      <c r="C310" s="3264">
        <v>0.15</v>
      </c>
      <c r="D310" s="3264">
        <v>0.15</v>
      </c>
      <c r="E310" s="3264">
        <v>0.15</v>
      </c>
      <c r="F310" s="3264">
        <v>0.15</v>
      </c>
      <c r="G310" s="3265">
        <v>0.15</v>
      </c>
    </row>
    <row r="311" spans="1:7">
      <c r="A311" s="3274" t="s">
        <v>306</v>
      </c>
      <c r="B311" s="3263" t="s">
        <v>3007</v>
      </c>
      <c r="C311" s="3264">
        <v>0.13200000000000001</v>
      </c>
      <c r="D311" s="3264">
        <v>0.13300000000000001</v>
      </c>
      <c r="E311" s="3264">
        <v>0.14499999999999999</v>
      </c>
      <c r="F311" s="3264">
        <v>0.14199999999999999</v>
      </c>
      <c r="G311" s="3265">
        <v>0.14000000000000001</v>
      </c>
    </row>
    <row r="312" spans="1:7">
      <c r="A312" s="3274" t="s">
        <v>306</v>
      </c>
      <c r="B312" s="3263" t="s">
        <v>3012</v>
      </c>
      <c r="C312" s="3264">
        <v>0.13800000000000001</v>
      </c>
      <c r="D312" s="3264">
        <v>0.14000000000000001</v>
      </c>
      <c r="E312" s="3264">
        <v>0.14599999999999999</v>
      </c>
      <c r="F312" s="3264">
        <v>0.14899999999999999</v>
      </c>
      <c r="G312" s="3265">
        <v>0.14199999999999999</v>
      </c>
    </row>
    <row r="313" spans="1:7">
      <c r="A313" s="3274" t="s">
        <v>306</v>
      </c>
      <c r="B313" s="3263" t="s">
        <v>3017</v>
      </c>
      <c r="C313" s="3264">
        <v>0.125</v>
      </c>
      <c r="D313" s="3264">
        <v>0.127</v>
      </c>
      <c r="E313" s="3264">
        <v>0.14399999999999999</v>
      </c>
      <c r="F313" s="3264">
        <v>0.115</v>
      </c>
      <c r="G313" s="3265">
        <v>0.13600000000000001</v>
      </c>
    </row>
    <row r="314" spans="1:7">
      <c r="A314" s="3274" t="s">
        <v>306</v>
      </c>
      <c r="B314" s="3263" t="s">
        <v>3226</v>
      </c>
      <c r="C314" s="3280"/>
      <c r="D314" s="3280"/>
      <c r="E314" s="3280"/>
      <c r="F314" s="3264">
        <v>0.05</v>
      </c>
      <c r="G314" s="3281"/>
    </row>
    <row r="315" spans="1:7">
      <c r="A315" s="3274" t="s">
        <v>306</v>
      </c>
      <c r="B315" s="3263" t="s">
        <v>3227</v>
      </c>
      <c r="C315" s="3280"/>
      <c r="D315" s="3280"/>
      <c r="E315" s="3280"/>
      <c r="F315" s="3264">
        <v>0.05</v>
      </c>
      <c r="G315" s="3281"/>
    </row>
    <row r="316" spans="1:7">
      <c r="A316" s="3274" t="s">
        <v>306</v>
      </c>
      <c r="B316" s="3263" t="s">
        <v>3228</v>
      </c>
      <c r="C316" s="3275"/>
      <c r="D316" s="3275"/>
      <c r="E316" s="3275"/>
      <c r="F316" s="3264">
        <v>0.05</v>
      </c>
      <c r="G316" s="3281"/>
    </row>
    <row r="317" spans="1:7">
      <c r="A317" s="3274" t="s">
        <v>306</v>
      </c>
      <c r="B317" s="3263" t="s">
        <v>3229</v>
      </c>
      <c r="C317" s="3275"/>
      <c r="D317" s="3275"/>
      <c r="E317" s="3275"/>
      <c r="F317" s="3264">
        <v>0.05</v>
      </c>
      <c r="G317" s="3281"/>
    </row>
    <row r="318" spans="1:7">
      <c r="A318" s="3274" t="s">
        <v>306</v>
      </c>
      <c r="B318" s="3263" t="s">
        <v>3230</v>
      </c>
      <c r="C318" s="3275"/>
      <c r="D318" s="3275"/>
      <c r="E318" s="3275"/>
      <c r="F318" s="3264">
        <v>0.05</v>
      </c>
      <c r="G318" s="3281"/>
    </row>
    <row r="319" spans="1:7">
      <c r="A319" s="3274" t="s">
        <v>306</v>
      </c>
      <c r="B319" s="3263" t="s">
        <v>3231</v>
      </c>
      <c r="C319" s="3275"/>
      <c r="D319" s="3275"/>
      <c r="E319" s="3275"/>
      <c r="F319" s="3264">
        <v>0.05</v>
      </c>
      <c r="G319" s="3281"/>
    </row>
    <row r="320" spans="1:7">
      <c r="A320" s="3274" t="s">
        <v>306</v>
      </c>
      <c r="B320" s="3263" t="s">
        <v>3232</v>
      </c>
      <c r="C320" s="3275"/>
      <c r="D320" s="3275"/>
      <c r="E320" s="3275"/>
      <c r="F320" s="3264">
        <v>0.05</v>
      </c>
      <c r="G320" s="3281"/>
    </row>
    <row r="321" spans="1:7">
      <c r="A321" s="3274" t="s">
        <v>306</v>
      </c>
      <c r="B321" s="3263" t="s">
        <v>3233</v>
      </c>
      <c r="C321" s="3275"/>
      <c r="D321" s="3275"/>
      <c r="E321" s="3275"/>
      <c r="F321" s="3264">
        <v>0.05</v>
      </c>
      <c r="G321" s="3281"/>
    </row>
    <row r="322" spans="1:7">
      <c r="A322" s="3274" t="s">
        <v>306</v>
      </c>
      <c r="B322" s="3263" t="s">
        <v>3234</v>
      </c>
      <c r="C322" s="3275"/>
      <c r="D322" s="3275"/>
      <c r="E322" s="3275"/>
      <c r="F322" s="3264">
        <v>0.05</v>
      </c>
      <c r="G322" s="3281"/>
    </row>
    <row r="323" spans="1:7">
      <c r="A323" s="3274" t="s">
        <v>306</v>
      </c>
      <c r="B323" s="3263" t="s">
        <v>3235</v>
      </c>
      <c r="C323" s="3275"/>
      <c r="D323" s="3275"/>
      <c r="E323" s="3275"/>
      <c r="F323" s="3264">
        <v>0.05</v>
      </c>
      <c r="G323" s="3281"/>
    </row>
    <row r="324" spans="1:7">
      <c r="A324" s="3274" t="s">
        <v>306</v>
      </c>
      <c r="B324" s="3263" t="s">
        <v>3236</v>
      </c>
      <c r="C324" s="3275"/>
      <c r="D324" s="3275"/>
      <c r="E324" s="3275"/>
      <c r="F324" s="3264">
        <v>0.05</v>
      </c>
      <c r="G324" s="3281"/>
    </row>
    <row r="325" spans="1:7">
      <c r="A325" s="3274" t="s">
        <v>306</v>
      </c>
      <c r="B325" s="3263" t="s">
        <v>3237</v>
      </c>
      <c r="C325" s="3275"/>
      <c r="D325" s="3275"/>
      <c r="E325" s="3275"/>
      <c r="F325" s="3264">
        <v>0.05</v>
      </c>
      <c r="G325" s="3281"/>
    </row>
    <row r="326" spans="1:7" ht="14.25" thickBot="1">
      <c r="A326" s="3277" t="s">
        <v>306</v>
      </c>
      <c r="B326" s="3267" t="s">
        <v>3238</v>
      </c>
      <c r="C326" s="3269"/>
      <c r="D326" s="3269"/>
      <c r="E326" s="3269"/>
      <c r="F326" s="3268">
        <v>0.05</v>
      </c>
      <c r="G326" s="3282"/>
    </row>
    <row r="327" spans="1:7">
      <c r="A327" s="3273" t="s">
        <v>307</v>
      </c>
      <c r="B327" s="3259" t="s">
        <v>2870</v>
      </c>
      <c r="C327" s="3260">
        <v>0.15</v>
      </c>
      <c r="D327" s="3260">
        <v>0.15</v>
      </c>
      <c r="E327" s="3260">
        <v>0.15</v>
      </c>
      <c r="F327" s="3260">
        <v>0.15</v>
      </c>
      <c r="G327" s="3261">
        <v>0.15</v>
      </c>
    </row>
    <row r="328" spans="1:7">
      <c r="A328" s="3274" t="s">
        <v>307</v>
      </c>
      <c r="B328" s="3263" t="s">
        <v>136</v>
      </c>
      <c r="C328" s="3264">
        <v>0.15</v>
      </c>
      <c r="D328" s="3264">
        <v>0.15</v>
      </c>
      <c r="E328" s="3264">
        <v>0.15</v>
      </c>
      <c r="F328" s="3264">
        <v>0.126</v>
      </c>
      <c r="G328" s="3265">
        <v>0.15</v>
      </c>
    </row>
    <row r="329" spans="1:7">
      <c r="A329" s="3274" t="s">
        <v>307</v>
      </c>
      <c r="B329" s="3263" t="s">
        <v>2882</v>
      </c>
      <c r="C329" s="3264">
        <v>0.15</v>
      </c>
      <c r="D329" s="3264">
        <v>0.15</v>
      </c>
      <c r="E329" s="3264">
        <v>0.15</v>
      </c>
      <c r="F329" s="3264">
        <v>0.15</v>
      </c>
      <c r="G329" s="3265">
        <v>0.15</v>
      </c>
    </row>
    <row r="330" spans="1:7">
      <c r="A330" s="3274" t="s">
        <v>307</v>
      </c>
      <c r="B330" s="3263" t="s">
        <v>2886</v>
      </c>
      <c r="C330" s="3264">
        <v>0.15</v>
      </c>
      <c r="D330" s="3264">
        <v>0.15</v>
      </c>
      <c r="E330" s="3264">
        <v>0.15</v>
      </c>
      <c r="F330" s="3264">
        <v>0.15</v>
      </c>
      <c r="G330" s="3265">
        <v>0.15</v>
      </c>
    </row>
    <row r="331" spans="1:7">
      <c r="A331" s="3274" t="s">
        <v>307</v>
      </c>
      <c r="B331" s="3263" t="s">
        <v>161</v>
      </c>
      <c r="C331" s="3264">
        <v>0.15</v>
      </c>
      <c r="D331" s="3264">
        <v>0.15</v>
      </c>
      <c r="E331" s="3264">
        <v>0.15</v>
      </c>
      <c r="F331" s="3264">
        <v>0.15</v>
      </c>
      <c r="G331" s="3265">
        <v>0.15</v>
      </c>
    </row>
    <row r="332" spans="1:7">
      <c r="A332" s="3274" t="s">
        <v>307</v>
      </c>
      <c r="B332" s="3263" t="s">
        <v>2894</v>
      </c>
      <c r="C332" s="3264">
        <v>0.15</v>
      </c>
      <c r="D332" s="3264">
        <v>0.15</v>
      </c>
      <c r="E332" s="3264">
        <v>0.15</v>
      </c>
      <c r="F332" s="3264">
        <v>0.15</v>
      </c>
      <c r="G332" s="3265">
        <v>0.15</v>
      </c>
    </row>
    <row r="333" spans="1:7">
      <c r="A333" s="3274" t="s">
        <v>307</v>
      </c>
      <c r="B333" s="3263" t="s">
        <v>2898</v>
      </c>
      <c r="C333" s="3264">
        <v>0.14899999999999999</v>
      </c>
      <c r="D333" s="3264">
        <v>0.14899999999999999</v>
      </c>
      <c r="E333" s="3264">
        <v>0.15</v>
      </c>
      <c r="F333" s="3264">
        <v>0.11600000000000001</v>
      </c>
      <c r="G333" s="3265">
        <v>0.15</v>
      </c>
    </row>
    <row r="334" spans="1:7">
      <c r="A334" s="3274" t="s">
        <v>307</v>
      </c>
      <c r="B334" s="3263" t="s">
        <v>183</v>
      </c>
      <c r="C334" s="3264">
        <v>0.15</v>
      </c>
      <c r="D334" s="3264">
        <v>0.15</v>
      </c>
      <c r="E334" s="3264">
        <v>0.15</v>
      </c>
      <c r="F334" s="3264">
        <v>0.13</v>
      </c>
      <c r="G334" s="3265">
        <v>0.15</v>
      </c>
    </row>
    <row r="335" spans="1:7">
      <c r="A335" s="3274" t="s">
        <v>307</v>
      </c>
      <c r="B335" s="3263" t="s">
        <v>193</v>
      </c>
      <c r="C335" s="3264">
        <v>0.15</v>
      </c>
      <c r="D335" s="3264">
        <v>0.15</v>
      </c>
      <c r="E335" s="3264">
        <v>0.15</v>
      </c>
      <c r="F335" s="3264">
        <v>0.14399999999999999</v>
      </c>
      <c r="G335" s="3265">
        <v>0.15</v>
      </c>
    </row>
    <row r="336" spans="1:7">
      <c r="A336" s="3274" t="s">
        <v>307</v>
      </c>
      <c r="B336" s="3263" t="s">
        <v>2904</v>
      </c>
      <c r="C336" s="3264">
        <v>0.15</v>
      </c>
      <c r="D336" s="3264">
        <v>0.15</v>
      </c>
      <c r="E336" s="3264">
        <v>0.15</v>
      </c>
      <c r="F336" s="3264">
        <v>0.14199999999999999</v>
      </c>
      <c r="G336" s="3265">
        <v>0.15</v>
      </c>
    </row>
    <row r="337" spans="1:7">
      <c r="A337" s="3274" t="s">
        <v>307</v>
      </c>
      <c r="B337" s="3263" t="s">
        <v>2909</v>
      </c>
      <c r="C337" s="3264">
        <v>0.15</v>
      </c>
      <c r="D337" s="3264">
        <v>0.15</v>
      </c>
      <c r="E337" s="3264">
        <v>0.15</v>
      </c>
      <c r="F337" s="3264">
        <v>0.14499999999999999</v>
      </c>
      <c r="G337" s="3265">
        <v>0.15</v>
      </c>
    </row>
    <row r="338" spans="1:7">
      <c r="A338" s="3274" t="s">
        <v>307</v>
      </c>
      <c r="B338" s="3263" t="s">
        <v>220</v>
      </c>
      <c r="C338" s="3264">
        <v>0.15</v>
      </c>
      <c r="D338" s="3264">
        <v>0.15</v>
      </c>
      <c r="E338" s="3264">
        <v>0.15</v>
      </c>
      <c r="F338" s="3264">
        <v>0.15</v>
      </c>
      <c r="G338" s="3265">
        <v>0.15</v>
      </c>
    </row>
    <row r="339" spans="1:7">
      <c r="A339" s="3274" t="s">
        <v>307</v>
      </c>
      <c r="B339" s="3263" t="s">
        <v>228</v>
      </c>
      <c r="C339" s="3264">
        <v>0.15</v>
      </c>
      <c r="D339" s="3264">
        <v>0.15</v>
      </c>
      <c r="E339" s="3264">
        <v>0.15</v>
      </c>
      <c r="F339" s="3264">
        <v>0.14699999999999999</v>
      </c>
      <c r="G339" s="3265">
        <v>0.15</v>
      </c>
    </row>
    <row r="340" spans="1:7">
      <c r="A340" s="3274" t="s">
        <v>307</v>
      </c>
      <c r="B340" s="3263" t="s">
        <v>2916</v>
      </c>
      <c r="C340" s="3264">
        <v>0.14599999999999999</v>
      </c>
      <c r="D340" s="3264">
        <v>0.14599999999999999</v>
      </c>
      <c r="E340" s="3264">
        <v>0.15</v>
      </c>
      <c r="F340" s="3264">
        <v>0.14099999999999999</v>
      </c>
      <c r="G340" s="3265">
        <v>0.14699999999999999</v>
      </c>
    </row>
    <row r="341" spans="1:7">
      <c r="A341" s="3274" t="s">
        <v>307</v>
      </c>
      <c r="B341" s="3263" t="s">
        <v>207</v>
      </c>
      <c r="C341" s="3264">
        <v>0.126</v>
      </c>
      <c r="D341" s="3264">
        <v>0.124</v>
      </c>
      <c r="E341" s="3264">
        <v>0.14099999999999999</v>
      </c>
      <c r="F341" s="3264">
        <v>0.14399999999999999</v>
      </c>
      <c r="G341" s="3265">
        <v>0.13</v>
      </c>
    </row>
    <row r="342" spans="1:7">
      <c r="A342" s="3274" t="s">
        <v>307</v>
      </c>
      <c r="B342" s="3263" t="s">
        <v>2921</v>
      </c>
      <c r="C342" s="3264">
        <v>0.15</v>
      </c>
      <c r="D342" s="3264">
        <v>0.15</v>
      </c>
      <c r="E342" s="3264">
        <v>0.15</v>
      </c>
      <c r="F342" s="3264">
        <v>0.14399999999999999</v>
      </c>
      <c r="G342" s="3265">
        <v>0.15</v>
      </c>
    </row>
    <row r="343" spans="1:7">
      <c r="A343" s="3274" t="s">
        <v>307</v>
      </c>
      <c r="B343" s="3263" t="s">
        <v>257</v>
      </c>
      <c r="C343" s="3264">
        <v>0.15</v>
      </c>
      <c r="D343" s="3264">
        <v>0.15</v>
      </c>
      <c r="E343" s="3264">
        <v>0.15</v>
      </c>
      <c r="F343" s="3264">
        <v>0.128</v>
      </c>
      <c r="G343" s="3265">
        <v>0.15</v>
      </c>
    </row>
    <row r="344" spans="1:7">
      <c r="A344" s="3274" t="s">
        <v>307</v>
      </c>
      <c r="B344" s="3263" t="s">
        <v>265</v>
      </c>
      <c r="C344" s="3264">
        <v>0.15</v>
      </c>
      <c r="D344" s="3264">
        <v>0.15</v>
      </c>
      <c r="E344" s="3264">
        <v>0.15</v>
      </c>
      <c r="F344" s="3264">
        <v>0.14799999999999999</v>
      </c>
      <c r="G344" s="3265">
        <v>0.15</v>
      </c>
    </row>
    <row r="345" spans="1:7">
      <c r="A345" s="3274" t="s">
        <v>307</v>
      </c>
      <c r="B345" s="3263" t="s">
        <v>2929</v>
      </c>
      <c r="C345" s="3264">
        <v>0.15</v>
      </c>
      <c r="D345" s="3264">
        <v>0.15</v>
      </c>
      <c r="E345" s="3264">
        <v>0.15</v>
      </c>
      <c r="F345" s="3264">
        <v>0.13800000000000001</v>
      </c>
      <c r="G345" s="3265">
        <v>0.15</v>
      </c>
    </row>
    <row r="346" spans="1:7">
      <c r="A346" s="3274" t="s">
        <v>307</v>
      </c>
      <c r="B346" s="3263" t="s">
        <v>2931</v>
      </c>
      <c r="C346" s="3264">
        <v>0.15</v>
      </c>
      <c r="D346" s="3264">
        <v>0.15</v>
      </c>
      <c r="E346" s="3264">
        <v>0.15</v>
      </c>
      <c r="F346" s="3264">
        <v>0.14399999999999999</v>
      </c>
      <c r="G346" s="3265">
        <v>0.15</v>
      </c>
    </row>
    <row r="347" spans="1:7">
      <c r="A347" s="3274" t="s">
        <v>307</v>
      </c>
      <c r="B347" s="3263" t="s">
        <v>243</v>
      </c>
      <c r="C347" s="3264">
        <v>0.15</v>
      </c>
      <c r="D347" s="3264">
        <v>0.15</v>
      </c>
      <c r="E347" s="3264">
        <v>0.15</v>
      </c>
      <c r="F347" s="3264">
        <v>0.14599999999999999</v>
      </c>
      <c r="G347" s="3265">
        <v>0.15</v>
      </c>
    </row>
    <row r="348" spans="1:7">
      <c r="A348" s="3274" t="s">
        <v>307</v>
      </c>
      <c r="B348" s="3263" t="s">
        <v>2938</v>
      </c>
      <c r="C348" s="3264">
        <v>0.15</v>
      </c>
      <c r="D348" s="3264">
        <v>0.15</v>
      </c>
      <c r="E348" s="3264">
        <v>0.15</v>
      </c>
      <c r="F348" s="3264">
        <v>0.14399999999999999</v>
      </c>
      <c r="G348" s="3265">
        <v>0.15</v>
      </c>
    </row>
    <row r="349" spans="1:7">
      <c r="A349" s="3274" t="s">
        <v>307</v>
      </c>
      <c r="B349" s="3263" t="s">
        <v>2943</v>
      </c>
      <c r="C349" s="3264">
        <v>0.15</v>
      </c>
      <c r="D349" s="3264">
        <v>0.15</v>
      </c>
      <c r="E349" s="3264">
        <v>0.15</v>
      </c>
      <c r="F349" s="3264">
        <v>0.15</v>
      </c>
      <c r="G349" s="3265">
        <v>0.15</v>
      </c>
    </row>
    <row r="350" spans="1:7">
      <c r="A350" s="3274" t="s">
        <v>307</v>
      </c>
      <c r="B350" s="3263" t="s">
        <v>2946</v>
      </c>
      <c r="C350" s="3264">
        <v>0.15</v>
      </c>
      <c r="D350" s="3264">
        <v>0.15</v>
      </c>
      <c r="E350" s="3264">
        <v>0.15</v>
      </c>
      <c r="F350" s="3264">
        <v>0.14699999999999999</v>
      </c>
      <c r="G350" s="3265">
        <v>0.15</v>
      </c>
    </row>
    <row r="351" spans="1:7">
      <c r="A351" s="3274" t="s">
        <v>307</v>
      </c>
      <c r="B351" s="3263" t="s">
        <v>2951</v>
      </c>
      <c r="C351" s="3264">
        <v>0.15</v>
      </c>
      <c r="D351" s="3264">
        <v>0.15</v>
      </c>
      <c r="E351" s="3264">
        <v>0.15</v>
      </c>
      <c r="F351" s="3264">
        <v>0.13</v>
      </c>
      <c r="G351" s="3265">
        <v>0.15</v>
      </c>
    </row>
    <row r="352" spans="1:7">
      <c r="A352" s="3274" t="s">
        <v>307</v>
      </c>
      <c r="B352" s="3263" t="s">
        <v>2956</v>
      </c>
      <c r="C352" s="3264">
        <v>0.15</v>
      </c>
      <c r="D352" s="3264">
        <v>0.15</v>
      </c>
      <c r="E352" s="3264">
        <v>0.15</v>
      </c>
      <c r="F352" s="3264">
        <v>0.14599999999999999</v>
      </c>
      <c r="G352" s="3265">
        <v>0.15</v>
      </c>
    </row>
    <row r="353" spans="1:7">
      <c r="A353" s="3274" t="s">
        <v>307</v>
      </c>
      <c r="B353" s="3263" t="s">
        <v>2963</v>
      </c>
      <c r="C353" s="3264">
        <v>0.15</v>
      </c>
      <c r="D353" s="3264">
        <v>0.15</v>
      </c>
      <c r="E353" s="3264">
        <v>0.15</v>
      </c>
      <c r="F353" s="3264">
        <v>0.14499999999999999</v>
      </c>
      <c r="G353" s="3265">
        <v>0.15</v>
      </c>
    </row>
    <row r="354" spans="1:7">
      <c r="A354" s="3274" t="s">
        <v>307</v>
      </c>
      <c r="B354" s="3263" t="s">
        <v>280</v>
      </c>
      <c r="C354" s="3264">
        <v>0.15</v>
      </c>
      <c r="D354" s="3264">
        <v>0.15</v>
      </c>
      <c r="E354" s="3264">
        <v>0.15</v>
      </c>
      <c r="F354" s="3264">
        <v>0.14099999999999999</v>
      </c>
      <c r="G354" s="3265">
        <v>0.15</v>
      </c>
    </row>
    <row r="355" spans="1:7">
      <c r="A355" s="3274" t="s">
        <v>307</v>
      </c>
      <c r="B355" s="3263" t="s">
        <v>2976</v>
      </c>
      <c r="C355" s="3264">
        <v>0.15</v>
      </c>
      <c r="D355" s="3264">
        <v>0.15</v>
      </c>
      <c r="E355" s="3264">
        <v>0.15</v>
      </c>
      <c r="F355" s="3264">
        <v>0.15</v>
      </c>
      <c r="G355" s="3265">
        <v>0.15</v>
      </c>
    </row>
    <row r="356" spans="1:7">
      <c r="A356" s="3274" t="s">
        <v>307</v>
      </c>
      <c r="B356" s="3263" t="s">
        <v>2983</v>
      </c>
      <c r="C356" s="3264">
        <v>0.15</v>
      </c>
      <c r="D356" s="3264">
        <v>0.15</v>
      </c>
      <c r="E356" s="3264">
        <v>0.15</v>
      </c>
      <c r="F356" s="3264">
        <v>0.15</v>
      </c>
      <c r="G356" s="3265">
        <v>0.15</v>
      </c>
    </row>
    <row r="357" spans="1:7" ht="14.25" thickBot="1">
      <c r="A357" s="3277" t="s">
        <v>307</v>
      </c>
      <c r="B357" s="3267" t="s">
        <v>2988</v>
      </c>
      <c r="C357" s="3268">
        <v>0.126</v>
      </c>
      <c r="D357" s="3268">
        <v>0.127</v>
      </c>
      <c r="E357" s="3268">
        <v>0.14299999999999999</v>
      </c>
      <c r="F357" s="3268">
        <v>0.125</v>
      </c>
      <c r="G357" s="3270">
        <v>0.129</v>
      </c>
    </row>
    <row r="358" spans="1:7">
      <c r="A358" s="3273" t="s">
        <v>2857</v>
      </c>
      <c r="B358" s="3259" t="s">
        <v>2871</v>
      </c>
      <c r="C358" s="3260">
        <v>0.15</v>
      </c>
      <c r="D358" s="3260">
        <v>0.15</v>
      </c>
      <c r="E358" s="3260">
        <v>0.15</v>
      </c>
      <c r="F358" s="3260">
        <v>0.15</v>
      </c>
      <c r="G358" s="3261">
        <v>0.15</v>
      </c>
    </row>
    <row r="359" spans="1:7">
      <c r="A359" s="3274" t="s">
        <v>2857</v>
      </c>
      <c r="B359" s="3263" t="s">
        <v>2877</v>
      </c>
      <c r="C359" s="3264">
        <v>0.1</v>
      </c>
      <c r="D359" s="3264">
        <v>0.1</v>
      </c>
      <c r="E359" s="3264">
        <v>0.1</v>
      </c>
      <c r="F359" s="3264">
        <v>0.1</v>
      </c>
      <c r="G359" s="3265">
        <v>0.1</v>
      </c>
    </row>
    <row r="360" spans="1:7">
      <c r="A360" s="3274" t="s">
        <v>2857</v>
      </c>
      <c r="B360" s="3263" t="s">
        <v>2883</v>
      </c>
      <c r="C360" s="3264">
        <v>0.15</v>
      </c>
      <c r="D360" s="3264">
        <v>0.15</v>
      </c>
      <c r="E360" s="3264">
        <v>0.15</v>
      </c>
      <c r="F360" s="3264">
        <v>0.14899999999999999</v>
      </c>
      <c r="G360" s="3265">
        <v>0.15</v>
      </c>
    </row>
    <row r="361" spans="1:7">
      <c r="A361" s="3274" t="s">
        <v>2857</v>
      </c>
      <c r="B361" s="3263" t="s">
        <v>153</v>
      </c>
      <c r="C361" s="3264">
        <v>0.15</v>
      </c>
      <c r="D361" s="3264">
        <v>0.15</v>
      </c>
      <c r="E361" s="3264">
        <v>0.15</v>
      </c>
      <c r="F361" s="3264">
        <v>0.115</v>
      </c>
      <c r="G361" s="3265">
        <v>0.15</v>
      </c>
    </row>
    <row r="362" spans="1:7">
      <c r="A362" s="3274" t="s">
        <v>2857</v>
      </c>
      <c r="B362" s="3263" t="s">
        <v>2890</v>
      </c>
      <c r="C362" s="3264">
        <v>0.15</v>
      </c>
      <c r="D362" s="3264">
        <v>0.15</v>
      </c>
      <c r="E362" s="3264">
        <v>0.15</v>
      </c>
      <c r="F362" s="3264">
        <v>0.106</v>
      </c>
      <c r="G362" s="3265">
        <v>0.15</v>
      </c>
    </row>
    <row r="363" spans="1:7">
      <c r="A363" s="3274" t="s">
        <v>2857</v>
      </c>
      <c r="B363" s="3263" t="s">
        <v>2895</v>
      </c>
      <c r="C363" s="3264">
        <v>0.15</v>
      </c>
      <c r="D363" s="3264">
        <v>0.15</v>
      </c>
      <c r="E363" s="3264">
        <v>0.15</v>
      </c>
      <c r="F363" s="3264">
        <v>0.14699999999999999</v>
      </c>
      <c r="G363" s="3265">
        <v>0.15</v>
      </c>
    </row>
    <row r="364" spans="1:7">
      <c r="A364" s="3274" t="s">
        <v>2857</v>
      </c>
      <c r="B364" s="3263" t="s">
        <v>2899</v>
      </c>
      <c r="C364" s="3264">
        <v>0.15</v>
      </c>
      <c r="D364" s="3264">
        <v>0.15</v>
      </c>
      <c r="E364" s="3264">
        <v>0.15</v>
      </c>
      <c r="F364" s="3264">
        <v>0.14799999999999999</v>
      </c>
      <c r="G364" s="3265">
        <v>0.15</v>
      </c>
    </row>
    <row r="365" spans="1:7">
      <c r="A365" s="3274" t="s">
        <v>2857</v>
      </c>
      <c r="B365" s="3263" t="s">
        <v>200</v>
      </c>
      <c r="C365" s="3264">
        <v>0.15</v>
      </c>
      <c r="D365" s="3264">
        <v>0.15</v>
      </c>
      <c r="E365" s="3264">
        <v>0.15</v>
      </c>
      <c r="F365" s="3264">
        <v>0.15</v>
      </c>
      <c r="G365" s="3265">
        <v>0.15</v>
      </c>
    </row>
    <row r="366" spans="1:7">
      <c r="A366" s="3274" t="s">
        <v>2857</v>
      </c>
      <c r="B366" s="3263" t="s">
        <v>2902</v>
      </c>
      <c r="C366" s="3264">
        <v>0.15</v>
      </c>
      <c r="D366" s="3264">
        <v>0.15</v>
      </c>
      <c r="E366" s="3264">
        <v>0.15</v>
      </c>
      <c r="F366" s="3264">
        <v>0.15</v>
      </c>
      <c r="G366" s="3265">
        <v>0.15</v>
      </c>
    </row>
    <row r="367" spans="1:7">
      <c r="A367" s="3274" t="s">
        <v>2857</v>
      </c>
      <c r="B367" s="3263" t="s">
        <v>2905</v>
      </c>
      <c r="C367" s="3264">
        <v>0.15</v>
      </c>
      <c r="D367" s="3264">
        <v>0.15</v>
      </c>
      <c r="E367" s="3264">
        <v>0.15</v>
      </c>
      <c r="F367" s="3264">
        <v>0.14699999999999999</v>
      </c>
      <c r="G367" s="3265">
        <v>0.15</v>
      </c>
    </row>
    <row r="368" spans="1:7">
      <c r="A368" s="3274" t="s">
        <v>2857</v>
      </c>
      <c r="B368" s="3263" t="s">
        <v>2910</v>
      </c>
      <c r="C368" s="3264">
        <v>0.15</v>
      </c>
      <c r="D368" s="3264">
        <v>0.15</v>
      </c>
      <c r="E368" s="3264">
        <v>0.15</v>
      </c>
      <c r="F368" s="3264">
        <v>0.13600000000000001</v>
      </c>
      <c r="G368" s="3265">
        <v>0.15</v>
      </c>
    </row>
    <row r="369" spans="1:7">
      <c r="A369" s="3274" t="s">
        <v>2857</v>
      </c>
      <c r="B369" s="3263" t="s">
        <v>214</v>
      </c>
      <c r="C369" s="3264">
        <v>0.15</v>
      </c>
      <c r="D369" s="3264">
        <v>0.15</v>
      </c>
      <c r="E369" s="3264">
        <v>0.15</v>
      </c>
      <c r="F369" s="3264">
        <v>0.14399999999999999</v>
      </c>
      <c r="G369" s="3265">
        <v>0.15</v>
      </c>
    </row>
    <row r="370" spans="1:7">
      <c r="A370" s="3274" t="s">
        <v>2857</v>
      </c>
      <c r="B370" s="3263" t="s">
        <v>221</v>
      </c>
      <c r="C370" s="3264">
        <v>0.15</v>
      </c>
      <c r="D370" s="3264">
        <v>0.15</v>
      </c>
      <c r="E370" s="3264">
        <v>0.15</v>
      </c>
      <c r="F370" s="3264">
        <v>0.14599999999999999</v>
      </c>
      <c r="G370" s="3265">
        <v>0.15</v>
      </c>
    </row>
    <row r="371" spans="1:7">
      <c r="A371" s="3274" t="s">
        <v>2857</v>
      </c>
      <c r="B371" s="3263" t="s">
        <v>229</v>
      </c>
      <c r="C371" s="3264">
        <v>0.15</v>
      </c>
      <c r="D371" s="3264">
        <v>0.15</v>
      </c>
      <c r="E371" s="3264">
        <v>0.15</v>
      </c>
      <c r="F371" s="3264">
        <v>0.12</v>
      </c>
      <c r="G371" s="3265">
        <v>0.15</v>
      </c>
    </row>
    <row r="372" spans="1:7">
      <c r="A372" s="3274" t="s">
        <v>2857</v>
      </c>
      <c r="B372" s="3263" t="s">
        <v>2918</v>
      </c>
      <c r="C372" s="3264">
        <v>0.15</v>
      </c>
      <c r="D372" s="3264">
        <v>0.15</v>
      </c>
      <c r="E372" s="3264">
        <v>0.15</v>
      </c>
      <c r="F372" s="3264">
        <v>0.14299999999999999</v>
      </c>
      <c r="G372" s="3265">
        <v>0.15</v>
      </c>
    </row>
    <row r="373" spans="1:7">
      <c r="A373" s="3274" t="s">
        <v>2857</v>
      </c>
      <c r="B373" s="3263" t="s">
        <v>258</v>
      </c>
      <c r="C373" s="3264">
        <v>0.15</v>
      </c>
      <c r="D373" s="3264">
        <v>0.15</v>
      </c>
      <c r="E373" s="3264">
        <v>0.15</v>
      </c>
      <c r="F373" s="3264">
        <v>0.14599999999999999</v>
      </c>
      <c r="G373" s="3265">
        <v>0.15</v>
      </c>
    </row>
    <row r="374" spans="1:7">
      <c r="A374" s="3274" t="s">
        <v>2857</v>
      </c>
      <c r="B374" s="3263" t="s">
        <v>266</v>
      </c>
      <c r="C374" s="3264">
        <v>0.15</v>
      </c>
      <c r="D374" s="3264">
        <v>0.15</v>
      </c>
      <c r="E374" s="3264">
        <v>0.15</v>
      </c>
      <c r="F374" s="3264">
        <v>0.14399999999999999</v>
      </c>
      <c r="G374" s="3265">
        <v>0.15</v>
      </c>
    </row>
    <row r="375" spans="1:7">
      <c r="A375" s="3274" t="s">
        <v>2857</v>
      </c>
      <c r="B375" s="3263" t="s">
        <v>2926</v>
      </c>
      <c r="C375" s="3264">
        <v>0.15</v>
      </c>
      <c r="D375" s="3264">
        <v>0.15</v>
      </c>
      <c r="E375" s="3264">
        <v>0.15</v>
      </c>
      <c r="F375" s="3264">
        <v>0.13</v>
      </c>
      <c r="G375" s="3265">
        <v>0.15</v>
      </c>
    </row>
    <row r="376" spans="1:7">
      <c r="A376" s="3274" t="s">
        <v>2857</v>
      </c>
      <c r="B376" s="3263" t="s">
        <v>277</v>
      </c>
      <c r="C376" s="3264">
        <v>0.15</v>
      </c>
      <c r="D376" s="3264">
        <v>0.15</v>
      </c>
      <c r="E376" s="3264">
        <v>0.15</v>
      </c>
      <c r="F376" s="3264">
        <v>0.14199999999999999</v>
      </c>
      <c r="G376" s="3265">
        <v>0.15</v>
      </c>
    </row>
    <row r="377" spans="1:7" ht="14.25" thickBot="1">
      <c r="A377" s="3277" t="s">
        <v>2857</v>
      </c>
      <c r="B377" s="3267" t="s">
        <v>2932</v>
      </c>
      <c r="C377" s="3268">
        <v>0.15</v>
      </c>
      <c r="D377" s="3268">
        <v>0.15</v>
      </c>
      <c r="E377" s="3268">
        <v>0.15</v>
      </c>
      <c r="F377" s="3268">
        <v>0.14000000000000001</v>
      </c>
      <c r="G377" s="3270">
        <v>0.15</v>
      </c>
    </row>
    <row r="378" spans="1:7">
      <c r="A378" s="3273" t="s">
        <v>2858</v>
      </c>
      <c r="B378" s="3259" t="s">
        <v>2872</v>
      </c>
      <c r="C378" s="3260">
        <v>0.15</v>
      </c>
      <c r="D378" s="3260">
        <v>0.15</v>
      </c>
      <c r="E378" s="3260">
        <v>0.15</v>
      </c>
      <c r="F378" s="3260">
        <v>0.107</v>
      </c>
      <c r="G378" s="3261">
        <v>0.15</v>
      </c>
    </row>
    <row r="379" spans="1:7">
      <c r="A379" s="3274" t="s">
        <v>2858</v>
      </c>
      <c r="B379" s="3263" t="s">
        <v>2878</v>
      </c>
      <c r="C379" s="3264">
        <v>0.15</v>
      </c>
      <c r="D379" s="3264">
        <v>0.15</v>
      </c>
      <c r="E379" s="3264">
        <v>0.15</v>
      </c>
      <c r="F379" s="3264">
        <v>0.115</v>
      </c>
      <c r="G379" s="3265">
        <v>0.14899999999999999</v>
      </c>
    </row>
    <row r="380" spans="1:7">
      <c r="A380" s="3274" t="s">
        <v>2858</v>
      </c>
      <c r="B380" s="3263" t="s">
        <v>2884</v>
      </c>
      <c r="C380" s="3264">
        <v>0.15</v>
      </c>
      <c r="D380" s="3264">
        <v>0.15</v>
      </c>
      <c r="E380" s="3264">
        <v>0.15</v>
      </c>
      <c r="F380" s="3264">
        <v>0.1</v>
      </c>
      <c r="G380" s="3265">
        <v>0.14799999999999999</v>
      </c>
    </row>
    <row r="381" spans="1:7">
      <c r="A381" s="3274" t="s">
        <v>2858</v>
      </c>
      <c r="B381" s="3263" t="s">
        <v>2887</v>
      </c>
      <c r="C381" s="3264">
        <v>0.15</v>
      </c>
      <c r="D381" s="3264">
        <v>0.15</v>
      </c>
      <c r="E381" s="3264">
        <v>0.15</v>
      </c>
      <c r="F381" s="3264">
        <v>0.126</v>
      </c>
      <c r="G381" s="3265">
        <v>0.15</v>
      </c>
    </row>
    <row r="382" spans="1:7">
      <c r="A382" s="3274" t="s">
        <v>2858</v>
      </c>
      <c r="B382" s="3263" t="s">
        <v>2891</v>
      </c>
      <c r="C382" s="3264">
        <v>0.15</v>
      </c>
      <c r="D382" s="3264">
        <v>0.15</v>
      </c>
      <c r="E382" s="3264">
        <v>0.15</v>
      </c>
      <c r="F382" s="3264">
        <v>0.15</v>
      </c>
      <c r="G382" s="3265">
        <v>0.15</v>
      </c>
    </row>
    <row r="383" spans="1:7">
      <c r="A383" s="3274" t="s">
        <v>2858</v>
      </c>
      <c r="B383" s="3263" t="s">
        <v>2896</v>
      </c>
      <c r="C383" s="3264">
        <v>0.15</v>
      </c>
      <c r="D383" s="3264">
        <v>0.15</v>
      </c>
      <c r="E383" s="3264">
        <v>0.15</v>
      </c>
      <c r="F383" s="3264">
        <v>0.14699999999999999</v>
      </c>
      <c r="G383" s="3265">
        <v>0.15</v>
      </c>
    </row>
    <row r="384" spans="1:7" ht="14.25" thickBot="1">
      <c r="A384" s="3284" t="s">
        <v>2858</v>
      </c>
      <c r="B384" s="3285" t="s">
        <v>2900</v>
      </c>
      <c r="C384" s="3286">
        <v>0.15</v>
      </c>
      <c r="D384" s="3286">
        <v>0.15</v>
      </c>
      <c r="E384" s="3286">
        <v>0.15</v>
      </c>
      <c r="F384" s="3286">
        <v>0.15</v>
      </c>
      <c r="G384" s="3287">
        <v>0.15</v>
      </c>
    </row>
  </sheetData>
  <sheetProtection password="CEE9" sheet="1" objects="1" scenarios="1"/>
  <mergeCells count="1">
    <mergeCell ref="A1:B1"/>
  </mergeCells>
  <phoneticPr fontId="93"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89"/>
  </cols>
  <sheetData>
    <row r="1" spans="1:6">
      <c r="A1" s="3888" t="s">
        <v>3239</v>
      </c>
      <c r="B1" s="3888"/>
      <c r="C1" s="3888"/>
      <c r="D1" s="3888"/>
      <c r="E1" s="3888"/>
      <c r="F1" s="3889"/>
    </row>
    <row r="2" spans="1:6">
      <c r="A2" s="3290" t="s">
        <v>3240</v>
      </c>
      <c r="B2" s="3291"/>
      <c r="C2" s="3291"/>
      <c r="D2" s="3291"/>
      <c r="E2" s="3291"/>
      <c r="F2" s="3291"/>
    </row>
    <row r="3" spans="1:6">
      <c r="A3" s="3290" t="s">
        <v>3241</v>
      </c>
      <c r="B3" s="3291"/>
      <c r="C3" s="3291"/>
      <c r="D3" s="3291"/>
      <c r="E3" s="3291"/>
      <c r="F3" s="3292" t="s">
        <v>3242</v>
      </c>
    </row>
    <row r="4" spans="1:6">
      <c r="A4" s="3293" t="s">
        <v>672</v>
      </c>
      <c r="B4" s="3293" t="s">
        <v>673</v>
      </c>
      <c r="C4" s="3293" t="s">
        <v>21</v>
      </c>
      <c r="D4" s="3293" t="s">
        <v>674</v>
      </c>
      <c r="E4" s="3293" t="s">
        <v>3</v>
      </c>
      <c r="F4" s="3293" t="s">
        <v>3243</v>
      </c>
    </row>
    <row r="5" spans="1:6">
      <c r="A5" s="3294" t="s">
        <v>675</v>
      </c>
      <c r="B5" s="3293"/>
      <c r="C5" s="3293"/>
      <c r="D5" s="3293"/>
      <c r="E5" s="3293"/>
      <c r="F5" s="3295"/>
    </row>
    <row r="6" spans="1:6">
      <c r="A6" s="3294" t="s">
        <v>144</v>
      </c>
      <c r="B6" s="3296">
        <v>35380</v>
      </c>
      <c r="C6" s="3296">
        <v>35180</v>
      </c>
      <c r="D6" s="3296">
        <v>35030</v>
      </c>
      <c r="E6" s="3296">
        <v>13780</v>
      </c>
      <c r="F6" s="3296">
        <v>25980</v>
      </c>
    </row>
    <row r="7" spans="1:6">
      <c r="A7" s="3294" t="s">
        <v>184</v>
      </c>
      <c r="B7" s="3296">
        <v>29960</v>
      </c>
      <c r="C7" s="3296">
        <v>29800</v>
      </c>
      <c r="D7" s="3296">
        <v>29690</v>
      </c>
      <c r="E7" s="3296">
        <v>10100</v>
      </c>
      <c r="F7" s="3296">
        <v>21690</v>
      </c>
    </row>
    <row r="8" spans="1:6">
      <c r="A8" s="3294" t="s">
        <v>296</v>
      </c>
      <c r="B8" s="3296">
        <v>24480</v>
      </c>
      <c r="C8" s="3296">
        <v>24380</v>
      </c>
      <c r="D8" s="3296">
        <v>25590</v>
      </c>
      <c r="E8" s="3296">
        <v>7010</v>
      </c>
      <c r="F8" s="3296">
        <v>17060</v>
      </c>
    </row>
    <row r="9" spans="1:6">
      <c r="A9" s="3294" t="s">
        <v>110</v>
      </c>
      <c r="B9" s="3296">
        <v>19370</v>
      </c>
      <c r="C9" s="3296">
        <v>19290</v>
      </c>
      <c r="D9" s="3296">
        <v>21280</v>
      </c>
      <c r="E9" s="3296">
        <v>4910</v>
      </c>
      <c r="F9" s="3296">
        <v>13090</v>
      </c>
    </row>
    <row r="10" spans="1:6">
      <c r="A10" s="3294" t="s">
        <v>303</v>
      </c>
      <c r="B10" s="3296">
        <v>15050</v>
      </c>
      <c r="C10" s="3296">
        <v>14980</v>
      </c>
      <c r="D10" s="3296">
        <v>17300</v>
      </c>
      <c r="E10" s="3296">
        <v>3450</v>
      </c>
      <c r="F10" s="3296">
        <v>9900</v>
      </c>
    </row>
    <row r="11" spans="1:6">
      <c r="A11" s="3294" t="s">
        <v>29</v>
      </c>
      <c r="B11" s="3296">
        <v>11550</v>
      </c>
      <c r="C11" s="3296">
        <v>11490</v>
      </c>
      <c r="D11" s="3296">
        <v>13850</v>
      </c>
      <c r="E11" s="3296">
        <v>2400</v>
      </c>
      <c r="F11" s="3296">
        <v>7390</v>
      </c>
    </row>
    <row r="12" spans="1:6">
      <c r="A12" s="3294" t="s">
        <v>304</v>
      </c>
      <c r="B12" s="3296">
        <v>8630</v>
      </c>
      <c r="C12" s="3296">
        <v>8580</v>
      </c>
      <c r="D12" s="3296">
        <v>10740</v>
      </c>
      <c r="E12" s="3296">
        <v>1720</v>
      </c>
      <c r="F12" s="3296">
        <v>5420</v>
      </c>
    </row>
    <row r="13" spans="1:6">
      <c r="A13" s="3294" t="s">
        <v>305</v>
      </c>
      <c r="B13" s="3296">
        <v>6620</v>
      </c>
      <c r="C13" s="3296">
        <v>6580</v>
      </c>
      <c r="D13" s="3296">
        <v>7830</v>
      </c>
      <c r="E13" s="3296">
        <v>1260</v>
      </c>
      <c r="F13" s="3296">
        <v>4040</v>
      </c>
    </row>
    <row r="14" spans="1:6">
      <c r="A14" s="3294" t="s">
        <v>306</v>
      </c>
      <c r="B14" s="3296">
        <v>4900</v>
      </c>
      <c r="C14" s="3296">
        <v>4860</v>
      </c>
      <c r="D14" s="3296">
        <v>5540</v>
      </c>
      <c r="E14" s="3296">
        <v>950</v>
      </c>
      <c r="F14" s="3296">
        <v>2930</v>
      </c>
    </row>
    <row r="15" spans="1:6">
      <c r="A15" s="3294" t="s">
        <v>307</v>
      </c>
      <c r="B15" s="3296">
        <v>3380</v>
      </c>
      <c r="C15" s="3296">
        <v>3340</v>
      </c>
      <c r="D15" s="3296">
        <v>3630</v>
      </c>
      <c r="E15" s="3296">
        <v>730</v>
      </c>
      <c r="F15" s="3296">
        <v>1990</v>
      </c>
    </row>
    <row r="16" spans="1:6">
      <c r="A16" s="3294" t="s">
        <v>369</v>
      </c>
      <c r="B16" s="3296">
        <v>2230</v>
      </c>
      <c r="C16" s="3296">
        <v>2200</v>
      </c>
      <c r="D16" s="3296">
        <v>2180</v>
      </c>
      <c r="E16" s="3296">
        <v>570</v>
      </c>
      <c r="F16" s="3296">
        <v>1330</v>
      </c>
    </row>
    <row r="17" spans="1:6">
      <c r="A17" s="3294" t="s">
        <v>370</v>
      </c>
      <c r="B17" s="3296">
        <v>1390</v>
      </c>
      <c r="C17" s="3296">
        <v>1360</v>
      </c>
      <c r="D17" s="3296">
        <v>1340</v>
      </c>
      <c r="E17" s="3296">
        <v>450</v>
      </c>
      <c r="F17" s="3296">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38"/>
  <sheetViews>
    <sheetView zoomScale="80" zoomScaleNormal="80" workbookViewId="0">
      <selection activeCell="F15" sqref="F15"/>
    </sheetView>
  </sheetViews>
  <sheetFormatPr defaultRowHeight="13.5"/>
  <cols>
    <col min="1" max="1" width="13.875" customWidth="1"/>
    <col min="11" max="17" width="0" hidden="1" customWidth="1"/>
    <col min="25" max="30" width="0" hidden="1" customWidth="1"/>
  </cols>
  <sheetData>
    <row r="1" spans="1:30">
      <c r="A1" s="3220">
        <f>基准地价修正!G23</f>
        <v>44926</v>
      </c>
      <c r="B1" s="3209" t="s">
        <v>2845</v>
      </c>
      <c r="C1" s="3210"/>
      <c r="D1" s="3210"/>
      <c r="E1" s="3210"/>
      <c r="F1" s="3210"/>
      <c r="G1" s="3210"/>
      <c r="H1" s="3210"/>
      <c r="I1" s="3210"/>
      <c r="J1" s="3164"/>
      <c r="K1" s="3210" t="s">
        <v>454</v>
      </c>
      <c r="L1" s="3210"/>
      <c r="M1" s="3210"/>
      <c r="N1" s="3210"/>
      <c r="O1" s="3210"/>
      <c r="P1" s="3210"/>
      <c r="Q1" s="3164"/>
      <c r="R1" s="3890" t="s">
        <v>456</v>
      </c>
      <c r="S1" s="3891"/>
      <c r="T1" s="3891"/>
      <c r="U1" s="3891"/>
      <c r="V1" s="3891"/>
      <c r="W1" s="3891"/>
      <c r="X1" s="3164"/>
      <c r="Y1" s="3890" t="s">
        <v>457</v>
      </c>
      <c r="Z1" s="3891"/>
      <c r="AA1" s="3891"/>
      <c r="AB1" s="3891"/>
      <c r="AC1" s="3891"/>
      <c r="AD1" s="3891"/>
    </row>
    <row r="2" spans="1:30" s="3142" customFormat="1" ht="14.25" thickBot="1">
      <c r="B2" s="3143"/>
      <c r="C2" s="3144"/>
      <c r="D2" s="3145" t="s">
        <v>2813</v>
      </c>
      <c r="E2" s="3146" t="s">
        <v>2814</v>
      </c>
      <c r="F2" s="3146" t="s">
        <v>2815</v>
      </c>
      <c r="G2" s="3146" t="s">
        <v>2816</v>
      </c>
      <c r="H2" s="3146" t="s">
        <v>2817</v>
      </c>
      <c r="I2" s="3146" t="s">
        <v>2634</v>
      </c>
      <c r="J2" s="3147"/>
      <c r="K2" s="3145" t="s">
        <v>2813</v>
      </c>
      <c r="L2" s="3146" t="s">
        <v>2814</v>
      </c>
      <c r="M2" s="3146" t="s">
        <v>2815</v>
      </c>
      <c r="N2" s="3146" t="s">
        <v>2816</v>
      </c>
      <c r="O2" s="3146" t="s">
        <v>2818</v>
      </c>
      <c r="P2" s="3146" t="s">
        <v>2634</v>
      </c>
      <c r="Q2" s="3147"/>
      <c r="R2" s="3145" t="s">
        <v>2813</v>
      </c>
      <c r="S2" s="3146" t="s">
        <v>2814</v>
      </c>
      <c r="T2" s="3146" t="s">
        <v>2815</v>
      </c>
      <c r="U2" s="3146" t="s">
        <v>2819</v>
      </c>
      <c r="V2" s="3146" t="s">
        <v>2820</v>
      </c>
      <c r="W2" s="3146" t="s">
        <v>2634</v>
      </c>
      <c r="X2" s="3147"/>
      <c r="Y2" s="3145" t="s">
        <v>2813</v>
      </c>
      <c r="Z2" s="3146" t="s">
        <v>2814</v>
      </c>
      <c r="AA2" s="3146" t="s">
        <v>2815</v>
      </c>
      <c r="AB2" s="3146" t="s">
        <v>2821</v>
      </c>
      <c r="AC2" s="3146" t="s">
        <v>2820</v>
      </c>
      <c r="AD2" s="3146" t="s">
        <v>2634</v>
      </c>
    </row>
    <row r="3" spans="1:30" s="3160" customFormat="1" ht="12.75">
      <c r="A3" s="3148" t="s">
        <v>2822</v>
      </c>
      <c r="B3" s="3149"/>
      <c r="C3" s="3150"/>
      <c r="D3" s="3150">
        <f>ROUND(AVERAGEIF(D4:D16,"&lt;&gt;0"),2)</f>
        <v>0.81</v>
      </c>
      <c r="E3" s="3150">
        <f t="shared" ref="E3:H3" si="0">ROUND(AVERAGEIF(E4:E16,"&lt;&gt;0"),2)</f>
        <v>0.33</v>
      </c>
      <c r="F3" s="3150">
        <f t="shared" si="0"/>
        <v>0.15</v>
      </c>
      <c r="G3" s="3150">
        <f t="shared" si="0"/>
        <v>0.89</v>
      </c>
      <c r="H3" s="3150">
        <f t="shared" si="0"/>
        <v>0.66</v>
      </c>
      <c r="I3" s="3150">
        <f>F3</f>
        <v>0.15</v>
      </c>
      <c r="J3" s="3151"/>
      <c r="K3" s="3152">
        <f>ROUND(AVERAGEIF(K4:K16,"&lt;&gt;0"),4)</f>
        <v>8.0999999999999996E-3</v>
      </c>
      <c r="L3" s="3153">
        <f t="shared" ref="L3:O3" si="1">ROUND(AVERAGEIF(L4:L16,"&lt;&gt;0"),4)</f>
        <v>3.3E-3</v>
      </c>
      <c r="M3" s="3153">
        <f t="shared" si="1"/>
        <v>1.5E-3</v>
      </c>
      <c r="N3" s="3153">
        <f t="shared" si="1"/>
        <v>8.8999999999999999E-3</v>
      </c>
      <c r="O3" s="3153">
        <f t="shared" si="1"/>
        <v>6.6E-3</v>
      </c>
      <c r="P3" s="3153">
        <f>M3</f>
        <v>1.5E-3</v>
      </c>
      <c r="Q3" s="3151"/>
      <c r="R3" s="3154">
        <f>ROUND(SUMPRODUCT(PRODUCT(1+K4:K16)),4)</f>
        <v>1.0668</v>
      </c>
      <c r="S3" s="3155">
        <f t="shared" ref="S3:V3" si="2">ROUND(SUMPRODUCT(PRODUCT(1+L4:L16)),4)</f>
        <v>1.0266999999999999</v>
      </c>
      <c r="T3" s="3155">
        <f t="shared" si="2"/>
        <v>1.0119</v>
      </c>
      <c r="U3" s="3155">
        <f t="shared" si="2"/>
        <v>1.0734999999999999</v>
      </c>
      <c r="V3" s="3155">
        <f t="shared" si="2"/>
        <v>1.054</v>
      </c>
      <c r="W3" s="3154">
        <f>T3</f>
        <v>1.0119</v>
      </c>
      <c r="X3" s="3151"/>
      <c r="Y3" s="3156">
        <f>ROUND(AVERAGEIF(Y5:Y16,"&lt;&gt;0"),4)</f>
        <v>8.6999999999999994E-3</v>
      </c>
      <c r="Z3" s="3157">
        <f t="shared" ref="Z3:AC3" si="3">ROUND(AVERAGEIF(Z5:Z16,"&lt;&gt;0"),4)</f>
        <v>3.5000000000000001E-3</v>
      </c>
      <c r="AA3" s="3158">
        <f t="shared" si="3"/>
        <v>8.9999999999999998E-4</v>
      </c>
      <c r="AB3" s="3156">
        <f t="shared" si="3"/>
        <v>9.4999999999999998E-3</v>
      </c>
      <c r="AC3" s="3159">
        <f t="shared" si="3"/>
        <v>6.1000000000000004E-3</v>
      </c>
      <c r="AD3" s="3156">
        <f>AA3</f>
        <v>8.9999999999999998E-4</v>
      </c>
    </row>
    <row r="4" spans="1:30" s="3161" customFormat="1" ht="12.75">
      <c r="B4" s="3162"/>
      <c r="C4" s="3163"/>
      <c r="D4" s="3163"/>
      <c r="E4" s="3163"/>
      <c r="F4" s="3163"/>
      <c r="G4" s="3163"/>
      <c r="H4" s="3163"/>
      <c r="I4" s="3163"/>
      <c r="J4" s="3164"/>
      <c r="K4" s="3165"/>
      <c r="L4" s="3166"/>
      <c r="M4" s="3166"/>
      <c r="N4" s="3166"/>
      <c r="O4" s="3166"/>
      <c r="P4" s="3166"/>
      <c r="Q4" s="3164"/>
      <c r="R4" s="3167"/>
      <c r="S4" s="3168"/>
      <c r="T4" s="3169"/>
      <c r="U4" s="3167"/>
      <c r="V4" s="3170"/>
      <c r="W4" s="3167"/>
      <c r="X4" s="3164"/>
      <c r="Y4" s="3171"/>
      <c r="Z4" s="3172"/>
      <c r="AA4" s="3173"/>
      <c r="AB4" s="3171"/>
      <c r="AC4" s="3174"/>
      <c r="AD4" s="3171"/>
    </row>
    <row r="5" spans="1:30" s="3184" customFormat="1" ht="12.75">
      <c r="A5" s="3175" t="s">
        <v>3376</v>
      </c>
      <c r="B5" s="3176">
        <v>2023</v>
      </c>
      <c r="C5" s="3177">
        <v>4</v>
      </c>
      <c r="D5" s="3178">
        <v>0</v>
      </c>
      <c r="E5" s="3178">
        <v>0</v>
      </c>
      <c r="F5" s="3178">
        <v>0</v>
      </c>
      <c r="G5" s="3178">
        <v>0</v>
      </c>
      <c r="H5" s="3178">
        <v>0</v>
      </c>
      <c r="I5" s="3179">
        <f t="shared" ref="I5:I16" si="4">F5</f>
        <v>0</v>
      </c>
      <c r="J5" s="3180"/>
      <c r="K5" s="3181">
        <f t="shared" ref="K5:O16" si="5">D5/100</f>
        <v>0</v>
      </c>
      <c r="L5" s="3171">
        <f t="shared" si="5"/>
        <v>0</v>
      </c>
      <c r="M5" s="3171">
        <f t="shared" si="5"/>
        <v>0</v>
      </c>
      <c r="N5" s="3171">
        <f t="shared" si="5"/>
        <v>0</v>
      </c>
      <c r="O5" s="3171">
        <f t="shared" si="5"/>
        <v>0</v>
      </c>
      <c r="P5" s="3171">
        <f>M5</f>
        <v>0</v>
      </c>
      <c r="Q5" s="3180"/>
      <c r="R5" s="3182">
        <f>ROUND(IF(项目基本情况!$B$8="出让",SUMPRODUCT(PRODUCT(1+K5:$K$16)),SUMPRODUCT(PRODUCT(1+K5:$K$15))),4)</f>
        <v>1.0565</v>
      </c>
      <c r="S5" s="3182">
        <f>ROUND(IF(项目基本情况!$B$8="出让",SUMPRODUCT(PRODUCT(1+L5:$L$16)),SUMPRODUCT(PRODUCT(1+L5:$L$15))),4)</f>
        <v>1.0250999999999999</v>
      </c>
      <c r="T5" s="3182">
        <f>ROUND(IF(项目基本情况!$B$8="出让",SUMPRODUCT(PRODUCT(1+M5:$M$16)),SUMPRODUCT(PRODUCT(1+M5:$M$15))),4)</f>
        <v>1.0145</v>
      </c>
      <c r="U5" s="3182">
        <f>ROUND(IF(项目基本情况!$B$8="出让",SUMPRODUCT(PRODUCT(1+N5:$N$16)),SUMPRODUCT(PRODUCT(1+N5:$N$15))),4)</f>
        <v>1.0618000000000001</v>
      </c>
      <c r="V5" s="3182">
        <f>ROUND(IF(项目基本情况!$B$8="出让",SUMPRODUCT(PRODUCT(1+O5:$O$16)),SUMPRODUCT(PRODUCT(1+O5:$O$15))),4)</f>
        <v>1.0502</v>
      </c>
      <c r="W5" s="3182">
        <f>T5</f>
        <v>1.0145</v>
      </c>
      <c r="X5" s="3180"/>
      <c r="Y5" s="3183">
        <f>IF(D5=0,0,ROUND(AVERAGE(D5:D16)/100,4))</f>
        <v>0</v>
      </c>
      <c r="Z5" s="3183">
        <f t="shared" ref="Z5:AC5" si="6">IF(E5=0,0,ROUND(AVERAGE(E5:E16)/100,4))</f>
        <v>0</v>
      </c>
      <c r="AA5" s="3183">
        <f t="shared" si="6"/>
        <v>0</v>
      </c>
      <c r="AB5" s="3183">
        <f t="shared" si="6"/>
        <v>0</v>
      </c>
      <c r="AC5" s="3183">
        <f t="shared" si="6"/>
        <v>0</v>
      </c>
      <c r="AD5" s="3183">
        <f t="shared" ref="AD5:AD15" si="7">AA5</f>
        <v>0</v>
      </c>
    </row>
    <row r="6" spans="1:30" s="3184" customFormat="1" ht="12.75">
      <c r="A6" s="3175" t="s">
        <v>3377</v>
      </c>
      <c r="B6" s="3176">
        <v>2023</v>
      </c>
      <c r="C6" s="3177">
        <v>3</v>
      </c>
      <c r="D6" s="3178">
        <v>0</v>
      </c>
      <c r="E6" s="3178">
        <v>0</v>
      </c>
      <c r="F6" s="3178">
        <v>0</v>
      </c>
      <c r="G6" s="3178">
        <v>0</v>
      </c>
      <c r="H6" s="3178">
        <v>0</v>
      </c>
      <c r="I6" s="3179">
        <f t="shared" si="4"/>
        <v>0</v>
      </c>
      <c r="J6" s="3180"/>
      <c r="K6" s="3181">
        <f t="shared" ref="K6:K8" si="8">D6/100</f>
        <v>0</v>
      </c>
      <c r="L6" s="3171">
        <f t="shared" ref="L6:L8" si="9">E6/100</f>
        <v>0</v>
      </c>
      <c r="M6" s="3171">
        <f t="shared" ref="M6:M8" si="10">F6/100</f>
        <v>0</v>
      </c>
      <c r="N6" s="3171">
        <f t="shared" ref="N6:N8" si="11">G6/100</f>
        <v>0</v>
      </c>
      <c r="O6" s="3171">
        <f t="shared" ref="O6:O8" si="12">H6/100</f>
        <v>0</v>
      </c>
      <c r="P6" s="3171">
        <f t="shared" ref="P6:P8" si="13">M6</f>
        <v>0</v>
      </c>
      <c r="Q6" s="3180"/>
      <c r="R6" s="3182">
        <f>ROUND(IF(项目基本情况!$B$8="出让",SUMPRODUCT(PRODUCT(1+K6:$K$16)),SUMPRODUCT(PRODUCT(1+K6:$K$15))),4)</f>
        <v>1.0565</v>
      </c>
      <c r="S6" s="3182">
        <f>ROUND(IF(项目基本情况!$B$8="出让",SUMPRODUCT(PRODUCT(1+L6:$L$16)),SUMPRODUCT(PRODUCT(1+L6:$L$15))),4)</f>
        <v>1.0250999999999999</v>
      </c>
      <c r="T6" s="3182">
        <f>ROUND(IF(项目基本情况!$B$8="出让",SUMPRODUCT(PRODUCT(1+M6:$M$16)),SUMPRODUCT(PRODUCT(1+M6:$M$15))),4)</f>
        <v>1.0145</v>
      </c>
      <c r="U6" s="3182">
        <f>ROUND(IF(项目基本情况!$B$8="出让",SUMPRODUCT(PRODUCT(1+N6:$N$16)),SUMPRODUCT(PRODUCT(1+N6:$N$15))),4)</f>
        <v>1.0618000000000001</v>
      </c>
      <c r="V6" s="3182">
        <f>ROUND(IF(项目基本情况!$B$8="出让",SUMPRODUCT(PRODUCT(1+O6:$O$16)),SUMPRODUCT(PRODUCT(1+O6:$O$15))),4)</f>
        <v>1.0502</v>
      </c>
      <c r="W6" s="3182">
        <f t="shared" ref="W6:W8" si="14">T6</f>
        <v>1.0145</v>
      </c>
      <c r="X6" s="3180"/>
      <c r="Y6" s="3183"/>
      <c r="Z6" s="3183"/>
      <c r="AA6" s="3183"/>
      <c r="AB6" s="3183"/>
      <c r="AC6" s="3183"/>
      <c r="AD6" s="3183"/>
    </row>
    <row r="7" spans="1:30" s="3184" customFormat="1" ht="12.75">
      <c r="A7" s="3175" t="s">
        <v>3375</v>
      </c>
      <c r="B7" s="3176">
        <v>2023</v>
      </c>
      <c r="C7" s="3177">
        <v>2</v>
      </c>
      <c r="D7" s="3178">
        <v>0</v>
      </c>
      <c r="E7" s="3178">
        <v>0</v>
      </c>
      <c r="F7" s="3178">
        <v>0</v>
      </c>
      <c r="G7" s="3178">
        <v>0</v>
      </c>
      <c r="H7" s="3178">
        <v>0</v>
      </c>
      <c r="I7" s="3179">
        <f t="shared" si="4"/>
        <v>0</v>
      </c>
      <c r="J7" s="3180"/>
      <c r="K7" s="3181">
        <f t="shared" si="8"/>
        <v>0</v>
      </c>
      <c r="L7" s="3171">
        <f t="shared" si="9"/>
        <v>0</v>
      </c>
      <c r="M7" s="3171">
        <f t="shared" si="10"/>
        <v>0</v>
      </c>
      <c r="N7" s="3171">
        <f t="shared" si="11"/>
        <v>0</v>
      </c>
      <c r="O7" s="3171">
        <f t="shared" si="12"/>
        <v>0</v>
      </c>
      <c r="P7" s="3171">
        <f t="shared" si="13"/>
        <v>0</v>
      </c>
      <c r="Q7" s="3180"/>
      <c r="R7" s="3182">
        <f>ROUND(IF(项目基本情况!$B$8="出让",SUMPRODUCT(PRODUCT(1+K7:$K$16)),SUMPRODUCT(PRODUCT(1+K7:$K$15))),4)</f>
        <v>1.0565</v>
      </c>
      <c r="S7" s="3182">
        <f>ROUND(IF(项目基本情况!$B$8="出让",SUMPRODUCT(PRODUCT(1+L7:$L$16)),SUMPRODUCT(PRODUCT(1+L7:$L$15))),4)</f>
        <v>1.0250999999999999</v>
      </c>
      <c r="T7" s="3182">
        <f>ROUND(IF(项目基本情况!$B$8="出让",SUMPRODUCT(PRODUCT(1+M7:$M$16)),SUMPRODUCT(PRODUCT(1+M7:$M$15))),4)</f>
        <v>1.0145</v>
      </c>
      <c r="U7" s="3182">
        <f>ROUND(IF(项目基本情况!$B$8="出让",SUMPRODUCT(PRODUCT(1+N7:$N$16)),SUMPRODUCT(PRODUCT(1+N7:$N$15))),4)</f>
        <v>1.0618000000000001</v>
      </c>
      <c r="V7" s="3182">
        <f>ROUND(IF(项目基本情况!$B$8="出让",SUMPRODUCT(PRODUCT(1+O7:$O$16)),SUMPRODUCT(PRODUCT(1+O7:$O$15))),4)</f>
        <v>1.0502</v>
      </c>
      <c r="W7" s="3182">
        <f t="shared" si="14"/>
        <v>1.0145</v>
      </c>
      <c r="X7" s="3180"/>
      <c r="Y7" s="3183"/>
      <c r="Z7" s="3183"/>
      <c r="AA7" s="3183"/>
      <c r="AB7" s="3183"/>
      <c r="AC7" s="3183"/>
      <c r="AD7" s="3183"/>
    </row>
    <row r="8" spans="1:30" s="3184" customFormat="1" ht="12.75">
      <c r="A8" s="3175" t="s">
        <v>2823</v>
      </c>
      <c r="B8" s="3176">
        <v>2023</v>
      </c>
      <c r="C8" s="3177">
        <v>1</v>
      </c>
      <c r="D8" s="3178">
        <v>0</v>
      </c>
      <c r="E8" s="3178">
        <v>0</v>
      </c>
      <c r="F8" s="3178">
        <v>0</v>
      </c>
      <c r="G8" s="3178">
        <v>0</v>
      </c>
      <c r="H8" s="3178">
        <v>0</v>
      </c>
      <c r="I8" s="3179">
        <f t="shared" si="4"/>
        <v>0</v>
      </c>
      <c r="J8" s="3180"/>
      <c r="K8" s="3181">
        <f t="shared" si="8"/>
        <v>0</v>
      </c>
      <c r="L8" s="3171">
        <f t="shared" si="9"/>
        <v>0</v>
      </c>
      <c r="M8" s="3171">
        <f t="shared" si="10"/>
        <v>0</v>
      </c>
      <c r="N8" s="3171">
        <f t="shared" si="11"/>
        <v>0</v>
      </c>
      <c r="O8" s="3171">
        <f t="shared" si="12"/>
        <v>0</v>
      </c>
      <c r="P8" s="3171">
        <f t="shared" si="13"/>
        <v>0</v>
      </c>
      <c r="Q8" s="3180"/>
      <c r="R8" s="3182">
        <f>ROUND(IF(项目基本情况!$B$8="出让",SUMPRODUCT(PRODUCT(1+K8:$K$16)),SUMPRODUCT(PRODUCT(1+K8:$K$15))),4)</f>
        <v>1.0565</v>
      </c>
      <c r="S8" s="3182">
        <f>ROUND(IF(项目基本情况!$B$8="出让",SUMPRODUCT(PRODUCT(1+L8:$L$16)),SUMPRODUCT(PRODUCT(1+L8:$L$15))),4)</f>
        <v>1.0250999999999999</v>
      </c>
      <c r="T8" s="3182">
        <f>ROUND(IF(项目基本情况!$B$8="出让",SUMPRODUCT(PRODUCT(1+M8:$M$16)),SUMPRODUCT(PRODUCT(1+M8:$M$15))),4)</f>
        <v>1.0145</v>
      </c>
      <c r="U8" s="3182">
        <f>ROUND(IF(项目基本情况!$B$8="出让",SUMPRODUCT(PRODUCT(1+N8:$N$16)),SUMPRODUCT(PRODUCT(1+N8:$N$15))),4)</f>
        <v>1.0618000000000001</v>
      </c>
      <c r="V8" s="3182">
        <f>ROUND(IF(项目基本情况!$B$8="出让",SUMPRODUCT(PRODUCT(1+O8:$O$16)),SUMPRODUCT(PRODUCT(1+O8:$O$15))),4)</f>
        <v>1.0502</v>
      </c>
      <c r="W8" s="3182">
        <f t="shared" si="14"/>
        <v>1.0145</v>
      </c>
      <c r="X8" s="3180"/>
      <c r="Y8" s="3183"/>
      <c r="Z8" s="3183"/>
      <c r="AA8" s="3183"/>
      <c r="AB8" s="3183"/>
      <c r="AC8" s="3183"/>
      <c r="AD8" s="3183"/>
    </row>
    <row r="9" spans="1:30" s="3194" customFormat="1" ht="12.75">
      <c r="A9" s="3185" t="s">
        <v>2824</v>
      </c>
      <c r="B9" s="3186">
        <v>2022</v>
      </c>
      <c r="C9" s="3187">
        <v>4</v>
      </c>
      <c r="D9" s="3188">
        <v>0.62</v>
      </c>
      <c r="E9" s="3188">
        <v>0.2</v>
      </c>
      <c r="F9" s="3188">
        <v>0.11</v>
      </c>
      <c r="G9" s="3188">
        <v>0.69</v>
      </c>
      <c r="H9" s="3189">
        <v>0.53</v>
      </c>
      <c r="I9" s="3190">
        <f t="shared" si="4"/>
        <v>0.11</v>
      </c>
      <c r="J9" s="3191"/>
      <c r="K9" s="3192">
        <f t="shared" si="5"/>
        <v>6.1999999999999998E-3</v>
      </c>
      <c r="L9" s="3193">
        <f t="shared" si="5"/>
        <v>2E-3</v>
      </c>
      <c r="M9" s="3193">
        <f t="shared" si="5"/>
        <v>1.1000000000000001E-3</v>
      </c>
      <c r="N9" s="3193">
        <f t="shared" si="5"/>
        <v>6.8999999999999999E-3</v>
      </c>
      <c r="O9" s="3193">
        <f t="shared" si="5"/>
        <v>5.3E-3</v>
      </c>
      <c r="P9" s="3193">
        <f t="shared" ref="P9:P16" si="15">M9</f>
        <v>1.1000000000000001E-3</v>
      </c>
      <c r="Q9" s="3191"/>
      <c r="R9" s="3191">
        <v>1.0565</v>
      </c>
      <c r="S9" s="3191">
        <v>1.0250999999999999</v>
      </c>
      <c r="T9" s="3191">
        <v>1.0145</v>
      </c>
      <c r="U9" s="3191">
        <v>1.0618000000000001</v>
      </c>
      <c r="V9" s="3191">
        <v>1.0502</v>
      </c>
      <c r="W9" s="3191">
        <f t="shared" ref="W9:W16" si="16">T9</f>
        <v>1.0145</v>
      </c>
      <c r="X9" s="3191"/>
      <c r="Y9" s="3193">
        <f>IF(D9=0,0,ROUND(AVERAGE(D9:D17)/100,4))</f>
        <v>8.0999999999999996E-3</v>
      </c>
      <c r="Z9" s="3193">
        <f t="shared" ref="Z9:AC9" si="17">IF(E9=0,0,ROUND(AVERAGE(E9:E16)/100,4))</f>
        <v>3.3E-3</v>
      </c>
      <c r="AA9" s="3193">
        <f t="shared" si="17"/>
        <v>1.5E-3</v>
      </c>
      <c r="AB9" s="3193">
        <f t="shared" si="17"/>
        <v>8.8999999999999999E-3</v>
      </c>
      <c r="AC9" s="3193">
        <f t="shared" si="17"/>
        <v>6.6E-3</v>
      </c>
      <c r="AD9" s="3193">
        <f t="shared" si="7"/>
        <v>1.5E-3</v>
      </c>
    </row>
    <row r="10" spans="1:30" s="3184" customFormat="1" ht="12.75">
      <c r="A10" s="3175" t="s">
        <v>3370</v>
      </c>
      <c r="B10" s="3176">
        <v>2022</v>
      </c>
      <c r="C10" s="3177">
        <v>3</v>
      </c>
      <c r="D10" s="3178">
        <v>0.66</v>
      </c>
      <c r="E10" s="3178">
        <v>0.32</v>
      </c>
      <c r="F10" s="3178">
        <v>0.23</v>
      </c>
      <c r="G10" s="3178">
        <v>0.72</v>
      </c>
      <c r="H10" s="3195">
        <v>0.63</v>
      </c>
      <c r="I10" s="3179">
        <f t="shared" si="4"/>
        <v>0.23</v>
      </c>
      <c r="J10" s="3180"/>
      <c r="K10" s="3181">
        <f t="shared" si="5"/>
        <v>6.6E-3</v>
      </c>
      <c r="L10" s="3171">
        <f t="shared" si="5"/>
        <v>3.2000000000000002E-3</v>
      </c>
      <c r="M10" s="3171">
        <f t="shared" si="5"/>
        <v>2.3E-3</v>
      </c>
      <c r="N10" s="3171">
        <f t="shared" si="5"/>
        <v>7.1999999999999998E-3</v>
      </c>
      <c r="O10" s="3171">
        <f t="shared" si="5"/>
        <v>6.3E-3</v>
      </c>
      <c r="P10" s="3171">
        <f t="shared" si="15"/>
        <v>2.3E-3</v>
      </c>
      <c r="Q10" s="3180"/>
      <c r="R10" s="3182">
        <v>1.05</v>
      </c>
      <c r="S10" s="3182">
        <v>1.0229999999999999</v>
      </c>
      <c r="T10" s="3182">
        <v>1.0134000000000001</v>
      </c>
      <c r="U10" s="3182">
        <v>1.0545</v>
      </c>
      <c r="V10" s="3182">
        <v>1.0447</v>
      </c>
      <c r="W10" s="3182">
        <f t="shared" si="16"/>
        <v>1.0134000000000001</v>
      </c>
      <c r="X10" s="3180"/>
      <c r="Y10" s="3183">
        <f>IF(D10=0,0,ROUND(AVERAGE(D10:D16)/100,4))</f>
        <v>8.3999999999999995E-3</v>
      </c>
      <c r="Z10" s="3183">
        <f t="shared" ref="Z10:AC10" si="18">IF(E10=0,0,ROUND(AVERAGE(E10:E16)/100,4))</f>
        <v>3.5000000000000001E-3</v>
      </c>
      <c r="AA10" s="3183">
        <f t="shared" si="18"/>
        <v>1.5E-3</v>
      </c>
      <c r="AB10" s="3183">
        <f t="shared" si="18"/>
        <v>9.1999999999999998E-3</v>
      </c>
      <c r="AC10" s="3183">
        <f t="shared" si="18"/>
        <v>6.7999999999999996E-3</v>
      </c>
      <c r="AD10" s="3183">
        <f t="shared" si="7"/>
        <v>1.5E-3</v>
      </c>
    </row>
    <row r="11" spans="1:30" s="3184" customFormat="1" ht="12.75">
      <c r="A11" s="3175" t="s">
        <v>3361</v>
      </c>
      <c r="B11" s="3176">
        <v>2022</v>
      </c>
      <c r="C11" s="3177">
        <v>2</v>
      </c>
      <c r="D11" s="3178">
        <v>0.93</v>
      </c>
      <c r="E11" s="3178">
        <v>0.15</v>
      </c>
      <c r="F11" s="3178">
        <v>0.01</v>
      </c>
      <c r="G11" s="3178">
        <v>1.05</v>
      </c>
      <c r="H11" s="3195">
        <v>1.08</v>
      </c>
      <c r="I11" s="3179">
        <f t="shared" si="4"/>
        <v>0.01</v>
      </c>
      <c r="J11" s="3180"/>
      <c r="K11" s="3181">
        <f t="shared" si="5"/>
        <v>9.300000000000001E-3</v>
      </c>
      <c r="L11" s="3171">
        <f t="shared" si="5"/>
        <v>1.5E-3</v>
      </c>
      <c r="M11" s="3171">
        <f t="shared" si="5"/>
        <v>1E-4</v>
      </c>
      <c r="N11" s="3171">
        <f t="shared" si="5"/>
        <v>1.0500000000000001E-2</v>
      </c>
      <c r="O11" s="3171">
        <f t="shared" si="5"/>
        <v>1.0800000000000001E-2</v>
      </c>
      <c r="P11" s="3171">
        <f t="shared" si="15"/>
        <v>1E-4</v>
      </c>
      <c r="Q11" s="3180"/>
      <c r="R11" s="3182">
        <v>1.0430999999999999</v>
      </c>
      <c r="S11" s="3182">
        <v>1.0197000000000001</v>
      </c>
      <c r="T11" s="3182">
        <v>1.0109999999999999</v>
      </c>
      <c r="U11" s="3182">
        <v>1.0468999999999999</v>
      </c>
      <c r="V11" s="3182">
        <v>1.0382</v>
      </c>
      <c r="W11" s="3182">
        <f t="shared" si="16"/>
        <v>1.0109999999999999</v>
      </c>
      <c r="X11" s="3180"/>
      <c r="Y11" s="3183">
        <f>IF(D11=0,0,ROUND(AVERAGE(D11:D16)/100,4))</f>
        <v>8.6999999999999994E-3</v>
      </c>
      <c r="Z11" s="3183">
        <f t="shared" ref="Z11:AC11" si="19">IF(E11=0,0,ROUND(AVERAGE(E11:E16)/100,4))</f>
        <v>3.5000000000000001E-3</v>
      </c>
      <c r="AA11" s="3183">
        <f t="shared" si="19"/>
        <v>1.4E-3</v>
      </c>
      <c r="AB11" s="3183">
        <f t="shared" si="19"/>
        <v>9.4999999999999998E-3</v>
      </c>
      <c r="AC11" s="3183">
        <f t="shared" si="19"/>
        <v>6.8999999999999999E-3</v>
      </c>
      <c r="AD11" s="3183">
        <f t="shared" si="7"/>
        <v>1.4E-3</v>
      </c>
    </row>
    <row r="12" spans="1:30" s="3184" customFormat="1" ht="12.75">
      <c r="A12" s="3175" t="s">
        <v>2825</v>
      </c>
      <c r="B12" s="3176">
        <v>2022</v>
      </c>
      <c r="C12" s="3177">
        <v>1</v>
      </c>
      <c r="D12" s="3178">
        <v>0.89</v>
      </c>
      <c r="E12" s="3178">
        <v>0.44</v>
      </c>
      <c r="F12" s="3178">
        <v>0.37</v>
      </c>
      <c r="G12" s="3178">
        <v>0.96</v>
      </c>
      <c r="H12" s="3195">
        <v>0.64</v>
      </c>
      <c r="I12" s="3179">
        <f t="shared" si="4"/>
        <v>0.37</v>
      </c>
      <c r="J12" s="3180"/>
      <c r="K12" s="3181">
        <f t="shared" si="5"/>
        <v>8.8999999999999999E-3</v>
      </c>
      <c r="L12" s="3171">
        <f t="shared" si="5"/>
        <v>4.4000000000000003E-3</v>
      </c>
      <c r="M12" s="3171">
        <f t="shared" si="5"/>
        <v>3.7000000000000002E-3</v>
      </c>
      <c r="N12" s="3171">
        <f t="shared" si="5"/>
        <v>9.5999999999999992E-3</v>
      </c>
      <c r="O12" s="3171">
        <f t="shared" si="5"/>
        <v>6.4000000000000003E-3</v>
      </c>
      <c r="P12" s="3171">
        <f t="shared" si="15"/>
        <v>3.7000000000000002E-3</v>
      </c>
      <c r="Q12" s="3180"/>
      <c r="R12" s="3182">
        <v>1.0335000000000001</v>
      </c>
      <c r="S12" s="3182">
        <v>1.0182</v>
      </c>
      <c r="T12" s="3182">
        <v>1.0108999999999999</v>
      </c>
      <c r="U12" s="3182">
        <v>1.0361</v>
      </c>
      <c r="V12" s="3182">
        <v>1.0270999999999999</v>
      </c>
      <c r="W12" s="3182">
        <f t="shared" si="16"/>
        <v>1.0108999999999999</v>
      </c>
      <c r="X12" s="3180"/>
      <c r="Y12" s="3183">
        <f>IF(D12=0,0,ROUND(AVERAGE(D12:D16)/100,4))</f>
        <v>8.6E-3</v>
      </c>
      <c r="Z12" s="3183">
        <f t="shared" ref="Z12:AC12" si="20">IF(E12=0,0,ROUND(AVERAGE(E12:E16)/100,4))</f>
        <v>3.8999999999999998E-3</v>
      </c>
      <c r="AA12" s="3183">
        <f t="shared" si="20"/>
        <v>1.6999999999999999E-3</v>
      </c>
      <c r="AB12" s="3183">
        <f t="shared" si="20"/>
        <v>9.2999999999999992E-3</v>
      </c>
      <c r="AC12" s="3183">
        <f t="shared" si="20"/>
        <v>6.1000000000000004E-3</v>
      </c>
      <c r="AD12" s="3183">
        <f t="shared" si="7"/>
        <v>1.6999999999999999E-3</v>
      </c>
    </row>
    <row r="13" spans="1:30" s="3184" customFormat="1" ht="12.75">
      <c r="A13" s="3175" t="s">
        <v>2826</v>
      </c>
      <c r="B13" s="3176">
        <v>2021</v>
      </c>
      <c r="C13" s="3177">
        <v>4</v>
      </c>
      <c r="D13" s="3178">
        <v>1.03</v>
      </c>
      <c r="E13" s="3178">
        <v>0.24</v>
      </c>
      <c r="F13" s="3178">
        <v>7.0000000000000007E-2</v>
      </c>
      <c r="G13" s="3178">
        <v>1.17</v>
      </c>
      <c r="H13" s="3195">
        <v>0.55000000000000004</v>
      </c>
      <c r="I13" s="3179">
        <f t="shared" si="4"/>
        <v>7.0000000000000007E-2</v>
      </c>
      <c r="J13" s="3180"/>
      <c r="K13" s="3181">
        <f t="shared" si="5"/>
        <v>1.03E-2</v>
      </c>
      <c r="L13" s="3171">
        <f t="shared" si="5"/>
        <v>2.3999999999999998E-3</v>
      </c>
      <c r="M13" s="3171">
        <f t="shared" si="5"/>
        <v>7.000000000000001E-4</v>
      </c>
      <c r="N13" s="3171">
        <f t="shared" si="5"/>
        <v>1.1699999999999999E-2</v>
      </c>
      <c r="O13" s="3171">
        <f t="shared" si="5"/>
        <v>5.5000000000000005E-3</v>
      </c>
      <c r="P13" s="3171">
        <f t="shared" si="15"/>
        <v>7.000000000000001E-4</v>
      </c>
      <c r="Q13" s="3180"/>
      <c r="R13" s="3182">
        <v>1.0244</v>
      </c>
      <c r="S13" s="3182">
        <v>1.0138</v>
      </c>
      <c r="T13" s="3182">
        <v>1.0072000000000001</v>
      </c>
      <c r="U13" s="3182">
        <v>1.0262</v>
      </c>
      <c r="V13" s="3182">
        <v>1.0205</v>
      </c>
      <c r="W13" s="3182">
        <f t="shared" si="16"/>
        <v>1.0072000000000001</v>
      </c>
      <c r="X13" s="3180"/>
      <c r="Y13" s="3183">
        <f>IF(D13=0,0,ROUND(AVERAGE(D13:D16)/100,4))</f>
        <v>8.5000000000000006E-3</v>
      </c>
      <c r="Z13" s="3183">
        <f t="shared" ref="Z13:AC13" si="21">IF(E13=0,0,ROUND(AVERAGE(E13:E16)/100,4))</f>
        <v>3.8E-3</v>
      </c>
      <c r="AA13" s="3183">
        <f t="shared" si="21"/>
        <v>1.1999999999999999E-3</v>
      </c>
      <c r="AB13" s="3183">
        <f t="shared" si="21"/>
        <v>9.2999999999999992E-3</v>
      </c>
      <c r="AC13" s="3183">
        <f t="shared" si="21"/>
        <v>6.0000000000000001E-3</v>
      </c>
      <c r="AD13" s="3183">
        <f t="shared" si="7"/>
        <v>1.1999999999999999E-3</v>
      </c>
    </row>
    <row r="14" spans="1:30" s="3184" customFormat="1" ht="12.75">
      <c r="A14" s="3175" t="s">
        <v>2827</v>
      </c>
      <c r="B14" s="3176">
        <v>2021</v>
      </c>
      <c r="C14" s="3177">
        <v>3</v>
      </c>
      <c r="D14" s="3178">
        <v>0.47</v>
      </c>
      <c r="E14" s="3178">
        <v>0.41</v>
      </c>
      <c r="F14" s="3178">
        <v>0.24</v>
      </c>
      <c r="G14" s="3178">
        <v>0.48</v>
      </c>
      <c r="H14" s="3195">
        <v>0.48</v>
      </c>
      <c r="I14" s="3179">
        <f t="shared" si="4"/>
        <v>0.24</v>
      </c>
      <c r="J14" s="3180"/>
      <c r="K14" s="3181">
        <f t="shared" si="5"/>
        <v>4.6999999999999993E-3</v>
      </c>
      <c r="L14" s="3171">
        <f t="shared" si="5"/>
        <v>4.0999999999999995E-3</v>
      </c>
      <c r="M14" s="3171">
        <f t="shared" si="5"/>
        <v>2.3999999999999998E-3</v>
      </c>
      <c r="N14" s="3171">
        <f t="shared" si="5"/>
        <v>4.7999999999999996E-3</v>
      </c>
      <c r="O14" s="3171">
        <f t="shared" si="5"/>
        <v>4.7999999999999996E-3</v>
      </c>
      <c r="P14" s="3171">
        <f t="shared" si="15"/>
        <v>2.3999999999999998E-3</v>
      </c>
      <c r="Q14" s="3180"/>
      <c r="R14" s="3182">
        <v>1.0139</v>
      </c>
      <c r="S14" s="3182">
        <v>1.0113000000000001</v>
      </c>
      <c r="T14" s="3182">
        <v>1.0065</v>
      </c>
      <c r="U14" s="3182">
        <v>1.0143</v>
      </c>
      <c r="V14" s="3182">
        <v>1.0148999999999999</v>
      </c>
      <c r="W14" s="3182">
        <f t="shared" si="16"/>
        <v>1.0065</v>
      </c>
      <c r="X14" s="3180"/>
      <c r="Y14" s="3183">
        <f>IF(D14=0,0,ROUND(AVERAGE(D14:D16)/100,4))</f>
        <v>7.9000000000000008E-3</v>
      </c>
      <c r="Z14" s="3183">
        <f>IF(E14=0,0,ROUND(AVERAGE(E14:E16)/100,4))</f>
        <v>4.3E-3</v>
      </c>
      <c r="AA14" s="3183">
        <f>IF(F14=0,0,ROUND(AVERAGE(F14:F16)/100,4))</f>
        <v>1.2999999999999999E-3</v>
      </c>
      <c r="AB14" s="3183">
        <f>IF(G14=0,0,ROUND(AVERAGE(G14:G16)/100,4))</f>
        <v>8.5000000000000006E-3</v>
      </c>
      <c r="AC14" s="3183">
        <f>IF(H14=0,0,ROUND(AVERAGE(H14:H16)/100,4))</f>
        <v>6.1999999999999998E-3</v>
      </c>
      <c r="AD14" s="3183">
        <f t="shared" si="7"/>
        <v>1.2999999999999999E-3</v>
      </c>
    </row>
    <row r="15" spans="1:30" s="3184" customFormat="1" ht="12.75">
      <c r="A15" s="3175" t="s">
        <v>2828</v>
      </c>
      <c r="B15" s="3176">
        <v>2021</v>
      </c>
      <c r="C15" s="3177">
        <v>2</v>
      </c>
      <c r="D15" s="3178">
        <v>0.92</v>
      </c>
      <c r="E15" s="3178">
        <v>0.72</v>
      </c>
      <c r="F15" s="3178">
        <v>0.41</v>
      </c>
      <c r="G15" s="3178">
        <v>0.95</v>
      </c>
      <c r="H15" s="3195">
        <v>1.01</v>
      </c>
      <c r="I15" s="3179">
        <f t="shared" si="4"/>
        <v>0.41</v>
      </c>
      <c r="J15" s="3180"/>
      <c r="K15" s="3181">
        <f t="shared" si="5"/>
        <v>9.1999999999999998E-3</v>
      </c>
      <c r="L15" s="3171">
        <f t="shared" si="5"/>
        <v>7.1999999999999998E-3</v>
      </c>
      <c r="M15" s="3171">
        <f t="shared" si="5"/>
        <v>4.0999999999999995E-3</v>
      </c>
      <c r="N15" s="3171">
        <f t="shared" si="5"/>
        <v>9.4999999999999998E-3</v>
      </c>
      <c r="O15" s="3171">
        <f t="shared" si="5"/>
        <v>1.01E-2</v>
      </c>
      <c r="P15" s="3171">
        <f t="shared" si="15"/>
        <v>4.0999999999999995E-3</v>
      </c>
      <c r="Q15" s="3180"/>
      <c r="R15" s="3182">
        <v>1.0092000000000001</v>
      </c>
      <c r="S15" s="3182">
        <v>1.0072000000000001</v>
      </c>
      <c r="T15" s="3182">
        <v>1.0041</v>
      </c>
      <c r="U15" s="3182">
        <v>1.0095000000000001</v>
      </c>
      <c r="V15" s="3182">
        <v>1.0101</v>
      </c>
      <c r="W15" s="3182">
        <f t="shared" si="16"/>
        <v>1.0041</v>
      </c>
      <c r="X15" s="3180"/>
      <c r="Y15" s="3183">
        <f>IF(D15=0,0,ROUND(AVERAGE(D15:D16)/100,4))</f>
        <v>9.4999999999999998E-3</v>
      </c>
      <c r="Z15" s="3183">
        <f>IF(E15=0,0,ROUND(AVERAGE(E15:E16)/100,4))</f>
        <v>4.4000000000000003E-3</v>
      </c>
      <c r="AA15" s="3183">
        <f>IF(F15=0,0,ROUND(AVERAGE(F15:F16)/100,4))</f>
        <v>8.0000000000000004E-4</v>
      </c>
      <c r="AB15" s="3183">
        <f>IF(G15=0,0,ROUND(AVERAGE(G15:G16)/100,4))</f>
        <v>1.03E-2</v>
      </c>
      <c r="AC15" s="3183">
        <f>IF(H15=0,0,ROUND(AVERAGE(H15:H16)/100,4))</f>
        <v>6.8999999999999999E-3</v>
      </c>
      <c r="AD15" s="3183">
        <f t="shared" si="7"/>
        <v>8.0000000000000004E-4</v>
      </c>
    </row>
    <row r="16" spans="1:30" s="3206" customFormat="1" thickBot="1">
      <c r="A16" s="3196" t="s">
        <v>2829</v>
      </c>
      <c r="B16" s="3197">
        <v>2021</v>
      </c>
      <c r="C16" s="3198">
        <v>1</v>
      </c>
      <c r="D16" s="3199">
        <v>0.97</v>
      </c>
      <c r="E16" s="3199">
        <v>0.16</v>
      </c>
      <c r="F16" s="3199">
        <v>-0.25</v>
      </c>
      <c r="G16" s="3199">
        <v>1.1100000000000001</v>
      </c>
      <c r="H16" s="3200">
        <v>0.36</v>
      </c>
      <c r="I16" s="3201">
        <f t="shared" si="4"/>
        <v>-0.25</v>
      </c>
      <c r="J16" s="3202"/>
      <c r="K16" s="3203">
        <f t="shared" si="5"/>
        <v>9.7000000000000003E-3</v>
      </c>
      <c r="L16" s="3204">
        <f t="shared" si="5"/>
        <v>1.6000000000000001E-3</v>
      </c>
      <c r="M16" s="3204">
        <f>F16/100</f>
        <v>-2.5000000000000001E-3</v>
      </c>
      <c r="N16" s="3204">
        <f t="shared" si="5"/>
        <v>1.11E-2</v>
      </c>
      <c r="O16" s="3204">
        <f t="shared" si="5"/>
        <v>3.5999999999999999E-3</v>
      </c>
      <c r="P16" s="3204">
        <f t="shared" si="15"/>
        <v>-2.5000000000000001E-3</v>
      </c>
      <c r="Q16" s="3202"/>
      <c r="R16" s="3205">
        <v>1</v>
      </c>
      <c r="S16" s="3205">
        <v>1</v>
      </c>
      <c r="T16" s="3205">
        <v>1</v>
      </c>
      <c r="U16" s="3205">
        <v>1</v>
      </c>
      <c r="V16" s="3205">
        <v>1</v>
      </c>
      <c r="W16" s="3205">
        <f t="shared" si="16"/>
        <v>1</v>
      </c>
      <c r="X16" s="3202"/>
      <c r="Y16" s="3204">
        <f>IF(D16=0,0,ROUND(AVERAGE(D16:D16)/100,4))</f>
        <v>9.7000000000000003E-3</v>
      </c>
      <c r="Z16" s="3204">
        <f>IF(E16=0,0,ROUND(AVERAGE(E16:E16)/100,4))</f>
        <v>1.6000000000000001E-3</v>
      </c>
      <c r="AA16" s="3204">
        <f>IF(F16=0,0,ROUND(AVERAGE(F16:F16)/100,4))</f>
        <v>-2.5000000000000001E-3</v>
      </c>
      <c r="AB16" s="3204">
        <f>IF(G16=0,0,ROUND(AVERAGE(G16:G16)/100,4))</f>
        <v>1.11E-2</v>
      </c>
      <c r="AC16" s="3204">
        <f>IF(H16=0,0,ROUND(AVERAGE(H16:H16)/100,4))</f>
        <v>3.5999999999999999E-3</v>
      </c>
      <c r="AD16" s="3204">
        <f>AA16</f>
        <v>-2.5000000000000001E-3</v>
      </c>
    </row>
    <row r="17" spans="1:30" s="3008" customFormat="1" ht="14.25" thickTop="1"/>
    <row r="18" spans="1:30" s="3008" customFormat="1">
      <c r="A18" s="3447" t="s">
        <v>3373</v>
      </c>
    </row>
    <row r="19" spans="1:30" s="3008" customFormat="1">
      <c r="I19" s="3207" t="s">
        <v>2830</v>
      </c>
    </row>
    <row r="20" spans="1:30" s="3008" customFormat="1"/>
    <row r="21" spans="1:30" s="3208" customFormat="1" ht="12.75">
      <c r="B21" s="3209" t="s">
        <v>2831</v>
      </c>
      <c r="C21" s="3210"/>
      <c r="D21" s="3210"/>
      <c r="E21" s="3210"/>
      <c r="F21" s="3210"/>
      <c r="G21" s="3210"/>
      <c r="H21" s="3210"/>
      <c r="I21" s="3210"/>
      <c r="J21" s="3164"/>
      <c r="K21" s="3210" t="s">
        <v>2832</v>
      </c>
      <c r="L21" s="3210"/>
      <c r="M21" s="3210"/>
      <c r="N21" s="3210"/>
      <c r="O21" s="3210"/>
      <c r="P21" s="3210"/>
      <c r="Q21" s="3164"/>
      <c r="R21" s="3890" t="s">
        <v>2833</v>
      </c>
      <c r="S21" s="3891"/>
      <c r="T21" s="3891"/>
      <c r="U21" s="3891"/>
      <c r="V21" s="3891"/>
      <c r="W21" s="3891"/>
      <c r="X21" s="3164"/>
      <c r="Y21" s="3890" t="s">
        <v>2834</v>
      </c>
      <c r="Z21" s="3891"/>
      <c r="AA21" s="3891"/>
      <c r="AB21" s="3891"/>
      <c r="AC21" s="3891"/>
      <c r="AD21" s="3891"/>
    </row>
    <row r="22" spans="1:30" s="3142" customFormat="1" ht="14.25" thickBot="1">
      <c r="B22" s="3143"/>
      <c r="C22" s="3144"/>
      <c r="D22" s="3145" t="s">
        <v>2835</v>
      </c>
      <c r="E22" s="3146" t="s">
        <v>2836</v>
      </c>
      <c r="F22" s="3146" t="s">
        <v>2837</v>
      </c>
      <c r="G22" s="3146" t="s">
        <v>2838</v>
      </c>
      <c r="H22" s="3146"/>
      <c r="I22" s="3146" t="s">
        <v>2839</v>
      </c>
      <c r="J22" s="3147"/>
      <c r="K22" s="3145" t="s">
        <v>2835</v>
      </c>
      <c r="L22" s="3146" t="s">
        <v>2836</v>
      </c>
      <c r="M22" s="3146" t="s">
        <v>2837</v>
      </c>
      <c r="N22" s="3146" t="s">
        <v>2838</v>
      </c>
      <c r="O22" s="3146"/>
      <c r="P22" s="3146" t="s">
        <v>2839</v>
      </c>
      <c r="Q22" s="3147"/>
      <c r="R22" s="3145" t="s">
        <v>2835</v>
      </c>
      <c r="S22" s="3146" t="s">
        <v>2836</v>
      </c>
      <c r="T22" s="3146" t="s">
        <v>2837</v>
      </c>
      <c r="U22" s="3146" t="s">
        <v>2838</v>
      </c>
      <c r="V22" s="3146"/>
      <c r="W22" s="3146" t="s">
        <v>2839</v>
      </c>
      <c r="X22" s="3147"/>
      <c r="Y22" s="3145" t="s">
        <v>2835</v>
      </c>
      <c r="Z22" s="3146" t="s">
        <v>2836</v>
      </c>
      <c r="AA22" s="3146" t="s">
        <v>2837</v>
      </c>
      <c r="AB22" s="3146" t="s">
        <v>2838</v>
      </c>
      <c r="AC22" s="3146"/>
      <c r="AD22" s="3146" t="s">
        <v>2839</v>
      </c>
    </row>
    <row r="23" spans="1:30" s="3160" customFormat="1" ht="12.75">
      <c r="A23" s="3148" t="s">
        <v>2840</v>
      </c>
      <c r="B23" s="3149"/>
      <c r="C23" s="3150"/>
      <c r="D23" s="3150"/>
      <c r="E23" s="3150">
        <f t="shared" ref="E23:G23" si="22">ROUND(AVERAGEIF(E24:E36,"&lt;&gt;0"),2)</f>
        <v>0.4</v>
      </c>
      <c r="F23" s="3150">
        <f t="shared" si="22"/>
        <v>0.26</v>
      </c>
      <c r="G23" s="3150">
        <f t="shared" si="22"/>
        <v>0.74</v>
      </c>
      <c r="H23" s="3150"/>
      <c r="I23" s="3150">
        <f>F23</f>
        <v>0.26</v>
      </c>
      <c r="J23" s="3151"/>
      <c r="K23" s="3152"/>
      <c r="L23" s="3153">
        <f t="shared" ref="L23:N23" si="23">ROUND(AVERAGEIF(L24:L36,"&lt;&gt;0"),4)</f>
        <v>4.0000000000000001E-3</v>
      </c>
      <c r="M23" s="3153">
        <f t="shared" si="23"/>
        <v>2.5999999999999999E-3</v>
      </c>
      <c r="N23" s="3153">
        <f t="shared" si="23"/>
        <v>7.4000000000000003E-3</v>
      </c>
      <c r="O23" s="3153"/>
      <c r="P23" s="3153">
        <f>M23</f>
        <v>2.5999999999999999E-3</v>
      </c>
      <c r="Q23" s="3151"/>
      <c r="R23" s="3154"/>
      <c r="S23" s="3155">
        <f>ROUND(SUMPRODUCT(PRODUCT(1+L24:L36)),4)</f>
        <v>1.0323</v>
      </c>
      <c r="T23" s="3155">
        <f t="shared" ref="T23:U23" si="24">ROUND(SUMPRODUCT(PRODUCT(1+M24:M36)),4)</f>
        <v>1.0213000000000001</v>
      </c>
      <c r="U23" s="3155">
        <f t="shared" si="24"/>
        <v>1.0609</v>
      </c>
      <c r="V23" s="3155"/>
      <c r="W23" s="3154">
        <f>T23</f>
        <v>1.0213000000000001</v>
      </c>
      <c r="X23" s="3151"/>
      <c r="Y23" s="3156"/>
      <c r="Z23" s="3157">
        <f t="shared" ref="Z23:AB23" si="25">ROUND(AVERAGEIF(Z24:Z36,"&lt;&gt;0"),4)</f>
        <v>4.3E-3</v>
      </c>
      <c r="AA23" s="3158">
        <f t="shared" si="25"/>
        <v>3.5999999999999999E-3</v>
      </c>
      <c r="AB23" s="3156">
        <f t="shared" si="25"/>
        <v>8.8999999999999999E-3</v>
      </c>
      <c r="AC23" s="3159"/>
      <c r="AD23" s="3156">
        <f>AA23</f>
        <v>3.5999999999999999E-3</v>
      </c>
    </row>
    <row r="24" spans="1:30" s="3161" customFormat="1" ht="12.75">
      <c r="B24" s="3162"/>
      <c r="C24" s="3163"/>
      <c r="D24" s="3163"/>
      <c r="E24" s="3163"/>
      <c r="F24" s="3163"/>
      <c r="G24" s="3163"/>
      <c r="H24" s="3163"/>
      <c r="I24" s="3163"/>
      <c r="J24" s="3164"/>
      <c r="K24" s="3165"/>
      <c r="L24" s="3166"/>
      <c r="M24" s="3166"/>
      <c r="N24" s="3166"/>
      <c r="O24" s="3166"/>
      <c r="P24" s="3166"/>
      <c r="Q24" s="3164"/>
      <c r="R24" s="3167"/>
      <c r="S24" s="3168"/>
      <c r="T24" s="3169"/>
      <c r="U24" s="3167"/>
      <c r="V24" s="3170"/>
      <c r="W24" s="3167"/>
      <c r="X24" s="3164"/>
      <c r="Y24" s="3171"/>
      <c r="Z24" s="3172"/>
      <c r="AA24" s="3173"/>
      <c r="AB24" s="3171"/>
      <c r="AC24" s="3174"/>
      <c r="AD24" s="3171"/>
    </row>
    <row r="25" spans="1:30" s="3184" customFormat="1" ht="12.75">
      <c r="A25" s="3175" t="s">
        <v>3376</v>
      </c>
      <c r="B25" s="3176">
        <v>2023</v>
      </c>
      <c r="C25" s="3177">
        <v>4</v>
      </c>
      <c r="D25" s="3178"/>
      <c r="E25" s="3178">
        <v>0</v>
      </c>
      <c r="F25" s="3178">
        <v>0</v>
      </c>
      <c r="G25" s="3178">
        <v>0</v>
      </c>
      <c r="H25" s="3178"/>
      <c r="I25" s="3179">
        <f t="shared" ref="I25:I36" si="26">F25</f>
        <v>0</v>
      </c>
      <c r="J25" s="3180"/>
      <c r="K25" s="3181"/>
      <c r="L25" s="3171">
        <f t="shared" ref="L25:N36" si="27">E25/100</f>
        <v>0</v>
      </c>
      <c r="M25" s="3171">
        <f t="shared" si="27"/>
        <v>0</v>
      </c>
      <c r="N25" s="3171">
        <f t="shared" si="27"/>
        <v>0</v>
      </c>
      <c r="O25" s="3171"/>
      <c r="P25" s="3171">
        <f>M25</f>
        <v>0</v>
      </c>
      <c r="Q25" s="3180"/>
      <c r="R25" s="3182"/>
      <c r="S25" s="3182">
        <v>1.0286999999999999</v>
      </c>
      <c r="T25" s="3182">
        <v>1.0164</v>
      </c>
      <c r="U25" s="3182">
        <v>1.0506</v>
      </c>
      <c r="V25" s="3182"/>
      <c r="W25" s="3182">
        <f>T25</f>
        <v>1.0164</v>
      </c>
      <c r="X25" s="3180"/>
      <c r="Y25" s="3183"/>
      <c r="Z25" s="3211">
        <f>IF(E25=0,0,ROUND(AVERAGE(E25:E36)/100,4))</f>
        <v>0</v>
      </c>
      <c r="AA25" s="3211">
        <f>IF(F25=0,0,ROUND(AVERAGE(F25:F36)/100,4))</f>
        <v>0</v>
      </c>
      <c r="AB25" s="3211">
        <f>IF(G25=0,0,ROUND(AVERAGE(G25:G36)/100,4))</f>
        <v>0</v>
      </c>
      <c r="AC25" s="3212"/>
      <c r="AD25" s="3183">
        <f>IF(I25=0,0,ROUND(AVERAGE(I25:I36)/100,4))</f>
        <v>0</v>
      </c>
    </row>
    <row r="26" spans="1:30" s="3184" customFormat="1" ht="12.75">
      <c r="A26" s="3175" t="s">
        <v>3377</v>
      </c>
      <c r="B26" s="3176">
        <v>2023</v>
      </c>
      <c r="C26" s="3177">
        <v>3</v>
      </c>
      <c r="D26" s="3178"/>
      <c r="E26" s="3178">
        <v>0</v>
      </c>
      <c r="F26" s="3178">
        <v>0</v>
      </c>
      <c r="G26" s="3178">
        <v>0</v>
      </c>
      <c r="H26" s="3195"/>
      <c r="I26" s="3179">
        <f t="shared" si="26"/>
        <v>0</v>
      </c>
      <c r="J26" s="3180"/>
      <c r="K26" s="3181"/>
      <c r="L26" s="3171">
        <f t="shared" ref="L26:L28" si="28">E26/100</f>
        <v>0</v>
      </c>
      <c r="M26" s="3171">
        <f t="shared" ref="M26:M28" si="29">F26/100</f>
        <v>0</v>
      </c>
      <c r="N26" s="3171">
        <f t="shared" ref="N26:N28" si="30">G26/100</f>
        <v>0</v>
      </c>
      <c r="O26" s="3171"/>
      <c r="P26" s="3171">
        <f t="shared" ref="P26:P28" si="31">M26</f>
        <v>0</v>
      </c>
      <c r="Q26" s="3180"/>
      <c r="R26" s="3182"/>
      <c r="S26" s="3182">
        <v>1.0286999999999999</v>
      </c>
      <c r="T26" s="3182">
        <v>1.0164</v>
      </c>
      <c r="U26" s="3182">
        <v>1.0506</v>
      </c>
      <c r="V26" s="3182"/>
      <c r="W26" s="3182">
        <f t="shared" ref="W26:W28" si="32">T26</f>
        <v>1.0164</v>
      </c>
      <c r="X26" s="3180"/>
      <c r="Y26" s="3183"/>
      <c r="Z26" s="3211"/>
      <c r="AA26" s="3448"/>
      <c r="AB26" s="3448"/>
      <c r="AC26" s="3212"/>
      <c r="AD26" s="3183"/>
    </row>
    <row r="27" spans="1:30" s="3184" customFormat="1" ht="12.75">
      <c r="A27" s="3175" t="s">
        <v>3375</v>
      </c>
      <c r="B27" s="3176">
        <v>2023</v>
      </c>
      <c r="C27" s="3177">
        <v>2</v>
      </c>
      <c r="D27" s="3178"/>
      <c r="E27" s="3178">
        <v>0</v>
      </c>
      <c r="F27" s="3178">
        <v>0</v>
      </c>
      <c r="G27" s="3178">
        <v>0</v>
      </c>
      <c r="H27" s="3195"/>
      <c r="I27" s="3179">
        <f t="shared" si="26"/>
        <v>0</v>
      </c>
      <c r="J27" s="3180"/>
      <c r="K27" s="3181"/>
      <c r="L27" s="3171">
        <f t="shared" si="28"/>
        <v>0</v>
      </c>
      <c r="M27" s="3171">
        <f t="shared" si="29"/>
        <v>0</v>
      </c>
      <c r="N27" s="3171">
        <f t="shared" si="30"/>
        <v>0</v>
      </c>
      <c r="O27" s="3171"/>
      <c r="P27" s="3171">
        <f t="shared" si="31"/>
        <v>0</v>
      </c>
      <c r="Q27" s="3180"/>
      <c r="R27" s="3182"/>
      <c r="S27" s="3182">
        <v>1.0286999999999999</v>
      </c>
      <c r="T27" s="3182">
        <v>1.0164</v>
      </c>
      <c r="U27" s="3182">
        <v>1.0506</v>
      </c>
      <c r="V27" s="3182"/>
      <c r="W27" s="3182">
        <f t="shared" si="32"/>
        <v>1.0164</v>
      </c>
      <c r="X27" s="3180"/>
      <c r="Y27" s="3183"/>
      <c r="Z27" s="3211"/>
      <c r="AA27" s="3448"/>
      <c r="AB27" s="3448"/>
      <c r="AC27" s="3212"/>
      <c r="AD27" s="3183"/>
    </row>
    <row r="28" spans="1:30" s="3184" customFormat="1" ht="12.75">
      <c r="A28" s="3175" t="s">
        <v>2823</v>
      </c>
      <c r="B28" s="3176">
        <v>2023</v>
      </c>
      <c r="C28" s="3177">
        <v>1</v>
      </c>
      <c r="D28" s="3178"/>
      <c r="E28" s="3178">
        <v>0</v>
      </c>
      <c r="F28" s="3178">
        <v>0</v>
      </c>
      <c r="G28" s="3178">
        <v>0</v>
      </c>
      <c r="H28" s="3195"/>
      <c r="I28" s="3179">
        <f t="shared" si="26"/>
        <v>0</v>
      </c>
      <c r="J28" s="3180"/>
      <c r="K28" s="3181"/>
      <c r="L28" s="3171">
        <f t="shared" si="28"/>
        <v>0</v>
      </c>
      <c r="M28" s="3171">
        <f t="shared" si="29"/>
        <v>0</v>
      </c>
      <c r="N28" s="3171">
        <f t="shared" si="30"/>
        <v>0</v>
      </c>
      <c r="O28" s="3171"/>
      <c r="P28" s="3171">
        <f t="shared" si="31"/>
        <v>0</v>
      </c>
      <c r="Q28" s="3180"/>
      <c r="R28" s="3182"/>
      <c r="S28" s="3182">
        <v>1.0286999999999999</v>
      </c>
      <c r="T28" s="3182">
        <v>1.0164</v>
      </c>
      <c r="U28" s="3182">
        <v>1.0506</v>
      </c>
      <c r="V28" s="3182"/>
      <c r="W28" s="3182">
        <f t="shared" si="32"/>
        <v>1.0164</v>
      </c>
      <c r="X28" s="3180"/>
      <c r="Y28" s="3183"/>
      <c r="Z28" s="3211"/>
      <c r="AA28" s="3448"/>
      <c r="AB28" s="3448"/>
      <c r="AC28" s="3212"/>
      <c r="AD28" s="3183"/>
    </row>
    <row r="29" spans="1:30" s="3194" customFormat="1" ht="12.75">
      <c r="A29" s="3185" t="s">
        <v>3371</v>
      </c>
      <c r="B29" s="3186">
        <v>2022</v>
      </c>
      <c r="C29" s="3187">
        <v>4</v>
      </c>
      <c r="D29" s="3188"/>
      <c r="E29" s="3188">
        <v>0.45</v>
      </c>
      <c r="F29" s="3188">
        <v>0.2</v>
      </c>
      <c r="G29" s="3188">
        <v>0.38</v>
      </c>
      <c r="H29" s="3189"/>
      <c r="I29" s="3190">
        <f t="shared" si="26"/>
        <v>0.2</v>
      </c>
      <c r="J29" s="3191"/>
      <c r="K29" s="3192"/>
      <c r="L29" s="3193">
        <f t="shared" si="27"/>
        <v>4.5000000000000005E-3</v>
      </c>
      <c r="M29" s="3193">
        <f t="shared" si="27"/>
        <v>2E-3</v>
      </c>
      <c r="N29" s="3193">
        <f t="shared" si="27"/>
        <v>3.8E-3</v>
      </c>
      <c r="O29" s="3193"/>
      <c r="P29" s="3193">
        <f t="shared" ref="P29:P36" si="33">M29</f>
        <v>2E-3</v>
      </c>
      <c r="Q29" s="3191"/>
      <c r="R29" s="3191"/>
      <c r="S29" s="3191">
        <v>1.0286999999999999</v>
      </c>
      <c r="T29" s="3191">
        <v>1.0164</v>
      </c>
      <c r="U29" s="3191">
        <v>1.0506</v>
      </c>
      <c r="V29" s="3191"/>
      <c r="W29" s="3191">
        <f t="shared" ref="W29:W36" si="34">T29</f>
        <v>1.0164</v>
      </c>
      <c r="X29" s="3191"/>
      <c r="Y29" s="3193"/>
      <c r="Z29" s="3214">
        <f t="shared" ref="Z29:AD36" si="35">IF(E29=0,0,ROUND(AVERAGE(E29:E37)/100,4))</f>
        <v>4.0000000000000001E-3</v>
      </c>
      <c r="AA29" s="3215">
        <f t="shared" si="35"/>
        <v>2.5999999999999999E-3</v>
      </c>
      <c r="AB29" s="3193">
        <f t="shared" si="35"/>
        <v>7.4000000000000003E-3</v>
      </c>
      <c r="AC29" s="3216"/>
      <c r="AD29" s="3193">
        <f t="shared" si="35"/>
        <v>2.5999999999999999E-3</v>
      </c>
    </row>
    <row r="30" spans="1:30" s="3184" customFormat="1" ht="12.75">
      <c r="A30" s="3175" t="s">
        <v>3372</v>
      </c>
      <c r="B30" s="3176">
        <v>2022</v>
      </c>
      <c r="C30" s="3177">
        <v>3</v>
      </c>
      <c r="D30" s="3178"/>
      <c r="E30" s="3178">
        <v>0.3</v>
      </c>
      <c r="F30" s="3178">
        <v>0.28999999999999998</v>
      </c>
      <c r="G30" s="3178">
        <v>0.83</v>
      </c>
      <c r="H30" s="3195"/>
      <c r="I30" s="3179">
        <f t="shared" si="26"/>
        <v>0.28999999999999998</v>
      </c>
      <c r="J30" s="3180"/>
      <c r="K30" s="3181"/>
      <c r="L30" s="3171">
        <f t="shared" si="27"/>
        <v>3.0000000000000001E-3</v>
      </c>
      <c r="M30" s="3171">
        <f t="shared" si="27"/>
        <v>2.8999999999999998E-3</v>
      </c>
      <c r="N30" s="3171">
        <f t="shared" si="27"/>
        <v>8.3000000000000001E-3</v>
      </c>
      <c r="O30" s="3171"/>
      <c r="P30" s="3171">
        <f t="shared" si="33"/>
        <v>2.8999999999999998E-3</v>
      </c>
      <c r="Q30" s="3180"/>
      <c r="R30" s="3182"/>
      <c r="S30" s="3182">
        <v>1.0241</v>
      </c>
      <c r="T30" s="3182">
        <v>1.0144</v>
      </c>
      <c r="U30" s="3182">
        <v>1.0467</v>
      </c>
      <c r="V30" s="3182"/>
      <c r="W30" s="3182">
        <f t="shared" si="34"/>
        <v>1.0144</v>
      </c>
      <c r="X30" s="3180"/>
      <c r="Y30" s="3183"/>
      <c r="Z30" s="3211">
        <f t="shared" si="35"/>
        <v>3.8999999999999998E-3</v>
      </c>
      <c r="AA30" s="3213">
        <f t="shared" si="35"/>
        <v>2.7000000000000001E-3</v>
      </c>
      <c r="AB30" s="3183">
        <f t="shared" si="35"/>
        <v>7.9000000000000008E-3</v>
      </c>
      <c r="AC30" s="3212"/>
      <c r="AD30" s="3183">
        <f t="shared" si="35"/>
        <v>2.7000000000000001E-3</v>
      </c>
    </row>
    <row r="31" spans="1:30" s="3184" customFormat="1" ht="12.75">
      <c r="A31" s="3175" t="s">
        <v>3361</v>
      </c>
      <c r="B31" s="3176">
        <v>2022</v>
      </c>
      <c r="C31" s="3177">
        <v>2</v>
      </c>
      <c r="D31" s="3178"/>
      <c r="E31" s="3178">
        <v>-0.11</v>
      </c>
      <c r="F31" s="3178">
        <v>-0.13</v>
      </c>
      <c r="G31" s="3178">
        <v>0.53</v>
      </c>
      <c r="H31" s="3195"/>
      <c r="I31" s="3179">
        <f t="shared" si="26"/>
        <v>-0.13</v>
      </c>
      <c r="J31" s="3180"/>
      <c r="K31" s="3181"/>
      <c r="L31" s="3171">
        <f t="shared" si="27"/>
        <v>-1.1000000000000001E-3</v>
      </c>
      <c r="M31" s="3171">
        <f t="shared" si="27"/>
        <v>-1.2999999999999999E-3</v>
      </c>
      <c r="N31" s="3171">
        <f t="shared" si="27"/>
        <v>5.3E-3</v>
      </c>
      <c r="O31" s="3171"/>
      <c r="P31" s="3171">
        <f t="shared" si="33"/>
        <v>-1.2999999999999999E-3</v>
      </c>
      <c r="Q31" s="3180"/>
      <c r="R31" s="3182"/>
      <c r="S31" s="3182">
        <v>1.0210999999999999</v>
      </c>
      <c r="T31" s="3182">
        <v>1.0114000000000001</v>
      </c>
      <c r="U31" s="3182">
        <v>1.0381</v>
      </c>
      <c r="V31" s="3182"/>
      <c r="W31" s="3182">
        <f t="shared" si="34"/>
        <v>1.0114000000000001</v>
      </c>
      <c r="X31" s="3180"/>
      <c r="Y31" s="3183"/>
      <c r="Z31" s="3211">
        <f t="shared" si="35"/>
        <v>4.1000000000000003E-3</v>
      </c>
      <c r="AA31" s="3213">
        <f t="shared" si="35"/>
        <v>2.7000000000000001E-3</v>
      </c>
      <c r="AB31" s="3183">
        <f t="shared" si="35"/>
        <v>7.9000000000000008E-3</v>
      </c>
      <c r="AC31" s="3212"/>
      <c r="AD31" s="3183">
        <f t="shared" si="35"/>
        <v>2.7000000000000001E-3</v>
      </c>
    </row>
    <row r="32" spans="1:30" s="3184" customFormat="1" ht="12.75">
      <c r="A32" s="3175" t="s">
        <v>2841</v>
      </c>
      <c r="B32" s="3176">
        <v>2022</v>
      </c>
      <c r="C32" s="3177">
        <v>1</v>
      </c>
      <c r="D32" s="3178"/>
      <c r="E32" s="3178">
        <v>0.6</v>
      </c>
      <c r="F32" s="3178">
        <v>0.45</v>
      </c>
      <c r="G32" s="3178">
        <v>0.53</v>
      </c>
      <c r="H32" s="3195"/>
      <c r="I32" s="3179">
        <f t="shared" si="26"/>
        <v>0.45</v>
      </c>
      <c r="J32" s="3180"/>
      <c r="K32" s="3181"/>
      <c r="L32" s="3171">
        <f t="shared" si="27"/>
        <v>6.0000000000000001E-3</v>
      </c>
      <c r="M32" s="3171">
        <f t="shared" si="27"/>
        <v>4.5000000000000005E-3</v>
      </c>
      <c r="N32" s="3171">
        <f t="shared" si="27"/>
        <v>5.3E-3</v>
      </c>
      <c r="O32" s="3171"/>
      <c r="P32" s="3171">
        <f t="shared" si="33"/>
        <v>4.5000000000000005E-3</v>
      </c>
      <c r="Q32" s="3180"/>
      <c r="R32" s="3182"/>
      <c r="S32" s="3182">
        <v>1.0222</v>
      </c>
      <c r="T32" s="3182">
        <v>1.0127999999999999</v>
      </c>
      <c r="U32" s="3182">
        <v>1.0326</v>
      </c>
      <c r="V32" s="3182"/>
      <c r="W32" s="3182">
        <f t="shared" si="34"/>
        <v>1.0127999999999999</v>
      </c>
      <c r="X32" s="3180"/>
      <c r="Y32" s="3183"/>
      <c r="Z32" s="3211">
        <f t="shared" si="35"/>
        <v>5.1000000000000004E-3</v>
      </c>
      <c r="AA32" s="3213">
        <f t="shared" si="35"/>
        <v>3.5000000000000001E-3</v>
      </c>
      <c r="AB32" s="3183">
        <f t="shared" si="35"/>
        <v>8.3999999999999995E-3</v>
      </c>
      <c r="AC32" s="3212"/>
      <c r="AD32" s="3183">
        <f t="shared" si="35"/>
        <v>3.5000000000000001E-3</v>
      </c>
    </row>
    <row r="33" spans="1:30" s="3184" customFormat="1" ht="12.75">
      <c r="A33" s="3175" t="s">
        <v>2842</v>
      </c>
      <c r="B33" s="3176">
        <v>2021</v>
      </c>
      <c r="C33" s="3177">
        <v>4</v>
      </c>
      <c r="D33" s="3178"/>
      <c r="E33" s="3178">
        <v>0.57999999999999996</v>
      </c>
      <c r="F33" s="3178">
        <v>0.08</v>
      </c>
      <c r="G33" s="3178">
        <v>0.68</v>
      </c>
      <c r="H33" s="3195"/>
      <c r="I33" s="3179">
        <f t="shared" si="26"/>
        <v>0.08</v>
      </c>
      <c r="J33" s="3180"/>
      <c r="K33" s="3181"/>
      <c r="L33" s="3171">
        <f t="shared" si="27"/>
        <v>5.7999999999999996E-3</v>
      </c>
      <c r="M33" s="3171">
        <f t="shared" si="27"/>
        <v>8.0000000000000004E-4</v>
      </c>
      <c r="N33" s="3171">
        <f t="shared" si="27"/>
        <v>6.8000000000000005E-3</v>
      </c>
      <c r="O33" s="3171"/>
      <c r="P33" s="3171">
        <f t="shared" si="33"/>
        <v>8.0000000000000004E-4</v>
      </c>
      <c r="Q33" s="3180"/>
      <c r="R33" s="3182"/>
      <c r="S33" s="3182">
        <v>1.0161</v>
      </c>
      <c r="T33" s="3182">
        <v>1.0082</v>
      </c>
      <c r="U33" s="3182">
        <v>1.0270999999999999</v>
      </c>
      <c r="V33" s="3182"/>
      <c r="W33" s="3182">
        <f t="shared" si="34"/>
        <v>1.0082</v>
      </c>
      <c r="X33" s="3180"/>
      <c r="Y33" s="3183"/>
      <c r="Z33" s="3211">
        <f t="shared" si="35"/>
        <v>4.8999999999999998E-3</v>
      </c>
      <c r="AA33" s="3213">
        <f t="shared" si="35"/>
        <v>3.3E-3</v>
      </c>
      <c r="AB33" s="3183">
        <f t="shared" si="35"/>
        <v>9.1999999999999998E-3</v>
      </c>
      <c r="AC33" s="3212"/>
      <c r="AD33" s="3183">
        <f t="shared" si="35"/>
        <v>3.3E-3</v>
      </c>
    </row>
    <row r="34" spans="1:30" s="3184" customFormat="1" ht="12.75">
      <c r="A34" s="3175" t="s">
        <v>2843</v>
      </c>
      <c r="B34" s="3176">
        <v>2021</v>
      </c>
      <c r="C34" s="3177">
        <v>3</v>
      </c>
      <c r="D34" s="3178"/>
      <c r="E34" s="3178">
        <v>0.47</v>
      </c>
      <c r="F34" s="3178">
        <v>0.28000000000000003</v>
      </c>
      <c r="G34" s="3178">
        <v>0.91</v>
      </c>
      <c r="H34" s="3195"/>
      <c r="I34" s="3179">
        <f t="shared" si="26"/>
        <v>0.28000000000000003</v>
      </c>
      <c r="J34" s="3180"/>
      <c r="K34" s="3181"/>
      <c r="L34" s="3171">
        <f t="shared" si="27"/>
        <v>4.6999999999999993E-3</v>
      </c>
      <c r="M34" s="3171">
        <f t="shared" si="27"/>
        <v>2.8000000000000004E-3</v>
      </c>
      <c r="N34" s="3171">
        <f t="shared" si="27"/>
        <v>9.1000000000000004E-3</v>
      </c>
      <c r="O34" s="3171"/>
      <c r="P34" s="3171">
        <f t="shared" si="33"/>
        <v>2.8000000000000004E-3</v>
      </c>
      <c r="Q34" s="3180"/>
      <c r="R34" s="3182"/>
      <c r="S34" s="3182">
        <v>1.0102</v>
      </c>
      <c r="T34" s="3182">
        <v>1.0074000000000001</v>
      </c>
      <c r="U34" s="3182">
        <v>1.0202</v>
      </c>
      <c r="V34" s="3182"/>
      <c r="W34" s="3182">
        <f t="shared" si="34"/>
        <v>1.0074000000000001</v>
      </c>
      <c r="X34" s="3180"/>
      <c r="Y34" s="3183"/>
      <c r="Z34" s="3211">
        <f t="shared" si="35"/>
        <v>4.5999999999999999E-3</v>
      </c>
      <c r="AA34" s="3213">
        <f t="shared" si="35"/>
        <v>4.1000000000000003E-3</v>
      </c>
      <c r="AB34" s="3183">
        <f t="shared" si="35"/>
        <v>0.01</v>
      </c>
      <c r="AC34" s="3212"/>
      <c r="AD34" s="3183">
        <f t="shared" si="35"/>
        <v>4.1000000000000003E-3</v>
      </c>
    </row>
    <row r="35" spans="1:30" s="3184" customFormat="1" ht="12.75">
      <c r="A35" s="3175" t="s">
        <v>2844</v>
      </c>
      <c r="B35" s="3176">
        <v>2021</v>
      </c>
      <c r="C35" s="3177">
        <v>2</v>
      </c>
      <c r="D35" s="3178"/>
      <c r="E35" s="3178">
        <v>0.55000000000000004</v>
      </c>
      <c r="F35" s="3178">
        <v>0.46</v>
      </c>
      <c r="G35" s="3178">
        <v>1.1000000000000001</v>
      </c>
      <c r="H35" s="3195"/>
      <c r="I35" s="3179">
        <f t="shared" si="26"/>
        <v>0.46</v>
      </c>
      <c r="J35" s="3180"/>
      <c r="K35" s="3181"/>
      <c r="L35" s="3171">
        <f t="shared" si="27"/>
        <v>5.5000000000000005E-3</v>
      </c>
      <c r="M35" s="3171">
        <f t="shared" si="27"/>
        <v>4.5999999999999999E-3</v>
      </c>
      <c r="N35" s="3171">
        <f t="shared" si="27"/>
        <v>1.1000000000000001E-2</v>
      </c>
      <c r="O35" s="3171"/>
      <c r="P35" s="3171">
        <f t="shared" si="33"/>
        <v>4.5999999999999999E-3</v>
      </c>
      <c r="Q35" s="3180"/>
      <c r="R35" s="3182"/>
      <c r="S35" s="3182">
        <v>1.0055000000000001</v>
      </c>
      <c r="T35" s="3182">
        <v>1.0045999999999999</v>
      </c>
      <c r="U35" s="3182">
        <v>1.0109999999999999</v>
      </c>
      <c r="V35" s="3182"/>
      <c r="W35" s="3182">
        <f t="shared" si="34"/>
        <v>1.0045999999999999</v>
      </c>
      <c r="X35" s="3180"/>
      <c r="Y35" s="3183"/>
      <c r="Z35" s="3211">
        <f t="shared" si="35"/>
        <v>4.4999999999999997E-3</v>
      </c>
      <c r="AA35" s="3213">
        <f t="shared" si="35"/>
        <v>4.7000000000000002E-3</v>
      </c>
      <c r="AB35" s="3183">
        <f t="shared" si="35"/>
        <v>1.04E-2</v>
      </c>
      <c r="AC35" s="3212"/>
      <c r="AD35" s="3183">
        <f t="shared" si="35"/>
        <v>4.7000000000000002E-3</v>
      </c>
    </row>
    <row r="36" spans="1:30" s="3206" customFormat="1" thickBot="1">
      <c r="A36" s="3196" t="s">
        <v>2829</v>
      </c>
      <c r="B36" s="3197">
        <v>2021</v>
      </c>
      <c r="C36" s="3198">
        <v>1</v>
      </c>
      <c r="D36" s="3199"/>
      <c r="E36" s="3199">
        <v>0.35</v>
      </c>
      <c r="F36" s="3199">
        <v>0.48</v>
      </c>
      <c r="G36" s="3199">
        <v>0.98</v>
      </c>
      <c r="H36" s="3200"/>
      <c r="I36" s="3201">
        <f t="shared" si="26"/>
        <v>0.48</v>
      </c>
      <c r="J36" s="3202"/>
      <c r="K36" s="3203"/>
      <c r="L36" s="3204">
        <f t="shared" si="27"/>
        <v>3.4999999999999996E-3</v>
      </c>
      <c r="M36" s="3204">
        <f>F36/100</f>
        <v>4.7999999999999996E-3</v>
      </c>
      <c r="N36" s="3204">
        <f t="shared" si="27"/>
        <v>9.7999999999999997E-3</v>
      </c>
      <c r="O36" s="3204"/>
      <c r="P36" s="3204">
        <f t="shared" si="33"/>
        <v>4.7999999999999996E-3</v>
      </c>
      <c r="Q36" s="3202"/>
      <c r="R36" s="3205"/>
      <c r="S36" s="3205">
        <v>1</v>
      </c>
      <c r="T36" s="3205">
        <v>1</v>
      </c>
      <c r="U36" s="3205">
        <v>1</v>
      </c>
      <c r="V36" s="3205"/>
      <c r="W36" s="3205">
        <f t="shared" si="34"/>
        <v>1</v>
      </c>
      <c r="X36" s="3202"/>
      <c r="Y36" s="3204"/>
      <c r="Z36" s="3217">
        <f t="shared" si="35"/>
        <v>3.5000000000000001E-3</v>
      </c>
      <c r="AA36" s="3218">
        <f t="shared" si="35"/>
        <v>4.7999999999999996E-3</v>
      </c>
      <c r="AB36" s="3204">
        <f t="shared" si="35"/>
        <v>9.7999999999999997E-3</v>
      </c>
      <c r="AC36" s="3219"/>
      <c r="AD36" s="3204">
        <f t="shared" si="35"/>
        <v>4.7999999999999996E-3</v>
      </c>
    </row>
    <row r="37" spans="1:30" ht="14.25" thickTop="1"/>
    <row r="38" spans="1:30">
      <c r="A38" s="3447" t="s">
        <v>3374</v>
      </c>
    </row>
  </sheetData>
  <sheetProtection password="CEE9" sheet="1" objects="1" scenarios="1"/>
  <mergeCells count="4">
    <mergeCell ref="R21:W21"/>
    <mergeCell ref="Y21:AD21"/>
    <mergeCell ref="R1:W1"/>
    <mergeCell ref="Y1:AD1"/>
  </mergeCells>
  <phoneticPr fontId="134" type="noConversion"/>
  <pageMargins left="0.7" right="0.7" top="0.75" bottom="0.75" header="0.3" footer="0.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897" t="s">
        <v>452</v>
      </c>
      <c r="C1" s="3897"/>
      <c r="D1" s="3897"/>
      <c r="E1" s="3897"/>
      <c r="F1" s="3897"/>
      <c r="G1" s="3893" t="s">
        <v>453</v>
      </c>
      <c r="H1" s="3893"/>
      <c r="I1" s="3893"/>
      <c r="J1" s="3893"/>
      <c r="K1" s="3893"/>
      <c r="L1" s="3893"/>
      <c r="N1" s="3893" t="s">
        <v>454</v>
      </c>
      <c r="O1" s="3893"/>
      <c r="P1" s="3893"/>
      <c r="Q1" s="3893"/>
      <c r="S1" s="3893" t="s">
        <v>455</v>
      </c>
      <c r="T1" s="3893"/>
      <c r="U1" s="3893"/>
      <c r="V1" s="3893"/>
      <c r="X1" s="3892" t="s">
        <v>456</v>
      </c>
      <c r="Y1" s="3893"/>
      <c r="Z1" s="3893"/>
      <c r="AA1" s="3893"/>
      <c r="AB1" s="3893"/>
      <c r="AD1" s="3892" t="s">
        <v>457</v>
      </c>
      <c r="AE1" s="3893"/>
      <c r="AF1" s="3893"/>
      <c r="AG1" s="3893"/>
      <c r="AH1" s="3893"/>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2114</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3369</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5">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3366</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5">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2115</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3367</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5">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3368</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5">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2439</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4">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2316</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29">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2315</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8">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2314</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2">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2312</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11">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2311</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8">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2130</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2128</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2127</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2126</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2124</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2123</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2125</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895">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2121</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895"/>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2120</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895"/>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2113</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902"/>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2111</v>
      </c>
      <c r="B25" s="2220">
        <v>439</v>
      </c>
      <c r="C25" s="2220">
        <v>327</v>
      </c>
      <c r="D25" s="2220">
        <f>C25</f>
        <v>327</v>
      </c>
      <c r="E25" s="2220">
        <v>627</v>
      </c>
      <c r="F25" s="2221">
        <v>283</v>
      </c>
      <c r="G25" s="3898">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2112</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895"/>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895"/>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902"/>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898">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895"/>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895"/>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896"/>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894">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895"/>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895"/>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896"/>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894">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895"/>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895"/>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896"/>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899">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900"/>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900"/>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901"/>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894">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895"/>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895"/>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896"/>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894">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895">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895">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896">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894">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895">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895">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896">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894">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895">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895">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896">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894">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895">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895">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896">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894">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895">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895">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896">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894">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895">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895">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896">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894">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895">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895">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896">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894">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895">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895">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896">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894">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895">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895">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896">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894">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895">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895">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896">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topLeftCell="A7" workbookViewId="0">
      <selection activeCell="Q18" sqref="Q18"/>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44926</v>
      </c>
      <c r="D1" s="1302" t="s">
        <v>603</v>
      </c>
      <c r="E1" s="1297">
        <f>'数据-取费表'!B22</f>
        <v>2</v>
      </c>
      <c r="F1" s="1302" t="s">
        <v>604</v>
      </c>
      <c r="G1" s="1298">
        <f ca="1">INDIRECT("d"&amp;$K$1)/100</f>
        <v>3.6499999999999998E-2</v>
      </c>
      <c r="H1" s="1302" t="s">
        <v>634</v>
      </c>
      <c r="I1" s="1298">
        <f ca="1">F4/100</f>
        <v>1.4999999999999999E-2</v>
      </c>
      <c r="J1" s="1303">
        <f>IF(C1&gt;C13,0,MATCH(C1,C$13:C$109,-1))+IF(SUMIF(C13:C109,C1,D13:D109)=0,13,12)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3.65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3.65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3.65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3.65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4.3</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20">
        <v>44795</v>
      </c>
      <c r="D13" s="2821">
        <v>3.65</v>
      </c>
      <c r="E13" s="2821">
        <f>D13</f>
        <v>3.65</v>
      </c>
      <c r="F13" s="2821">
        <f>D13</f>
        <v>3.65</v>
      </c>
      <c r="G13" s="2821">
        <f>D13</f>
        <v>3.65</v>
      </c>
      <c r="H13" s="2821">
        <v>4.3</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5"/>
      <c r="C14" s="2817">
        <v>44701</v>
      </c>
      <c r="D14" s="2816">
        <v>3.7</v>
      </c>
      <c r="E14" s="2816">
        <f>D14</f>
        <v>3.7</v>
      </c>
      <c r="F14" s="2816">
        <f>D14</f>
        <v>3.7</v>
      </c>
      <c r="G14" s="2816">
        <f>D14</f>
        <v>3.7</v>
      </c>
      <c r="H14" s="2816">
        <v>4.45</v>
      </c>
      <c r="I14" s="2821"/>
      <c r="J14" s="2821"/>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5"/>
      <c r="C15" s="2817">
        <v>44581</v>
      </c>
      <c r="D15" s="2816">
        <v>3.7</v>
      </c>
      <c r="E15" s="2816">
        <f>D15</f>
        <v>3.7</v>
      </c>
      <c r="F15" s="2816">
        <f>D15</f>
        <v>3.7</v>
      </c>
      <c r="G15" s="2816">
        <f>D15</f>
        <v>3.7</v>
      </c>
      <c r="H15" s="2816">
        <v>4.5999999999999996</v>
      </c>
      <c r="I15" s="2821"/>
      <c r="J15" s="2821"/>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6"/>
      <c r="C16" s="2817">
        <v>44550</v>
      </c>
      <c r="D16" s="2816">
        <v>3.8</v>
      </c>
      <c r="E16" s="2816">
        <f>D16</f>
        <v>3.8</v>
      </c>
      <c r="F16" s="2816">
        <f>D16</f>
        <v>3.8</v>
      </c>
      <c r="G16" s="2816">
        <f>D16</f>
        <v>3.8</v>
      </c>
      <c r="H16" s="2816">
        <v>4.6500000000000004</v>
      </c>
      <c r="I16" s="2816"/>
      <c r="J16" s="2821"/>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6"/>
      <c r="C17" s="2817">
        <v>43941</v>
      </c>
      <c r="D17" s="2816">
        <v>3.85</v>
      </c>
      <c r="E17" s="2816">
        <v>3.85</v>
      </c>
      <c r="F17" s="2816">
        <v>3.85</v>
      </c>
      <c r="G17" s="2816">
        <v>3.85</v>
      </c>
      <c r="H17" s="2816">
        <v>4.6500000000000004</v>
      </c>
      <c r="I17" s="2816"/>
      <c r="J17" s="2816"/>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6"/>
      <c r="C18" s="2817">
        <v>43881</v>
      </c>
      <c r="D18" s="2816">
        <v>4.05</v>
      </c>
      <c r="E18" s="2816">
        <v>4.05</v>
      </c>
      <c r="F18" s="2816">
        <v>4.05</v>
      </c>
      <c r="G18" s="2816">
        <v>4.05</v>
      </c>
      <c r="H18" s="2816">
        <v>4.75</v>
      </c>
      <c r="I18" s="2816"/>
      <c r="J18" s="2816"/>
      <c r="L18" s="2825"/>
      <c r="M18" s="2824">
        <v>41965</v>
      </c>
      <c r="N18" s="2825">
        <v>0.35</v>
      </c>
      <c r="O18" s="2825">
        <v>2.35</v>
      </c>
      <c r="P18" s="2825">
        <v>2.5499999999999998</v>
      </c>
      <c r="Q18" s="2825">
        <v>2.75</v>
      </c>
      <c r="R18" s="2825">
        <v>3.35</v>
      </c>
      <c r="S18" s="2825">
        <v>4</v>
      </c>
      <c r="T18" s="2825">
        <v>4.75</v>
      </c>
      <c r="U18" s="2826">
        <v>2.35</v>
      </c>
      <c r="V18" s="2826">
        <v>2.5499999999999998</v>
      </c>
      <c r="W18" s="2826">
        <v>2.75</v>
      </c>
      <c r="X18" s="2825"/>
      <c r="Y18" s="2826">
        <v>0.8</v>
      </c>
      <c r="Z18" s="2826">
        <v>1.35</v>
      </c>
    </row>
    <row r="19" spans="1:256" s="2827" customFormat="1" ht="14.25">
      <c r="A19" s="1284"/>
      <c r="B19" s="2816"/>
      <c r="C19" s="2817">
        <v>43789</v>
      </c>
      <c r="D19" s="2816">
        <v>4.1500000000000004</v>
      </c>
      <c r="E19" s="2816">
        <v>4.1500000000000004</v>
      </c>
      <c r="F19" s="2816">
        <v>4.1500000000000004</v>
      </c>
      <c r="G19" s="2816">
        <v>4.1500000000000004</v>
      </c>
      <c r="H19" s="2816">
        <v>4.8</v>
      </c>
      <c r="I19" s="2816"/>
      <c r="J19" s="2816"/>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6"/>
      <c r="C20" s="2817">
        <v>43728</v>
      </c>
      <c r="D20" s="2816">
        <v>4.2</v>
      </c>
      <c r="E20" s="2816">
        <v>4.2</v>
      </c>
      <c r="F20" s="2816">
        <v>4.2</v>
      </c>
      <c r="G20" s="2816">
        <v>4.2</v>
      </c>
      <c r="H20" s="2816">
        <v>4.8499999999999996</v>
      </c>
      <c r="I20" s="2816"/>
      <c r="J20" s="2816"/>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5" t="s">
        <v>2313</v>
      </c>
      <c r="C21" s="2818">
        <v>43697</v>
      </c>
      <c r="D21" s="2819">
        <v>4.25</v>
      </c>
      <c r="E21" s="2819">
        <v>4.25</v>
      </c>
      <c r="F21" s="2819">
        <v>4.25</v>
      </c>
      <c r="G21" s="2819">
        <v>4.25</v>
      </c>
      <c r="H21" s="2819">
        <v>4.8499999999999996</v>
      </c>
      <c r="I21" s="2819"/>
      <c r="J21" s="2819"/>
      <c r="K21" s="1278"/>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2822"/>
      <c r="B22" s="2823"/>
      <c r="C22" s="2824">
        <v>42301</v>
      </c>
      <c r="D22" s="2825">
        <v>4.3499999999999996</v>
      </c>
      <c r="E22" s="2825">
        <v>4.3499999999999996</v>
      </c>
      <c r="F22" s="2825">
        <v>4.75</v>
      </c>
      <c r="G22" s="2825">
        <v>4.75</v>
      </c>
      <c r="H22" s="2825">
        <v>4.9000000000000004</v>
      </c>
      <c r="I22" s="2825"/>
      <c r="J22" s="2825"/>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c r="B23" s="1290"/>
      <c r="C23" s="1291">
        <v>42242</v>
      </c>
      <c r="D23" s="1290">
        <v>4.5999999999999996</v>
      </c>
      <c r="E23" s="1290">
        <v>4.5999999999999996</v>
      </c>
      <c r="F23" s="1290">
        <v>5</v>
      </c>
      <c r="G23" s="1290">
        <v>5</v>
      </c>
      <c r="H23" s="1290">
        <v>5.15</v>
      </c>
      <c r="I23" s="1290">
        <v>2.75</v>
      </c>
      <c r="J23" s="1290">
        <v>3.25</v>
      </c>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c r="B24" s="1290"/>
      <c r="C24" s="1291">
        <v>42183</v>
      </c>
      <c r="D24" s="1290">
        <v>4.8499999999999996</v>
      </c>
      <c r="E24" s="1290">
        <v>4.8499999999999996</v>
      </c>
      <c r="F24" s="1290">
        <v>5.25</v>
      </c>
      <c r="G24" s="1290">
        <v>5.25</v>
      </c>
      <c r="H24" s="1290">
        <v>5.4</v>
      </c>
      <c r="I24" s="1290">
        <v>3</v>
      </c>
      <c r="J24" s="1290">
        <v>3.5</v>
      </c>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42135</v>
      </c>
      <c r="D25" s="1290">
        <v>5.0999999999999996</v>
      </c>
      <c r="E25" s="1290">
        <v>5.0999999999999996</v>
      </c>
      <c r="F25" s="1290">
        <v>5.5</v>
      </c>
      <c r="G25" s="1290">
        <v>5.5</v>
      </c>
      <c r="H25" s="1290">
        <v>5.65</v>
      </c>
      <c r="I25" s="1290">
        <v>3.25</v>
      </c>
      <c r="J25" s="1290">
        <v>3.75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42064</v>
      </c>
      <c r="D26" s="1290">
        <v>5.35</v>
      </c>
      <c r="E26" s="1290">
        <v>5.35</v>
      </c>
      <c r="F26" s="1290">
        <v>5.75</v>
      </c>
      <c r="G26" s="1290">
        <v>5.75</v>
      </c>
      <c r="H26" s="1290">
        <v>5.9</v>
      </c>
      <c r="I26" s="1290"/>
      <c r="J26" s="1290"/>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41965</v>
      </c>
      <c r="D27" s="1290">
        <v>5.6</v>
      </c>
      <c r="E27" s="1290">
        <v>5.6</v>
      </c>
      <c r="F27" s="1290">
        <v>6</v>
      </c>
      <c r="G27" s="1290">
        <v>6</v>
      </c>
      <c r="H27" s="1290">
        <v>6.15</v>
      </c>
      <c r="I27" s="1290"/>
      <c r="J27" s="1290"/>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41096</v>
      </c>
      <c r="D28" s="1290">
        <v>5.6</v>
      </c>
      <c r="E28" s="1290">
        <v>6</v>
      </c>
      <c r="F28" s="1290">
        <v>6.15</v>
      </c>
      <c r="G28" s="1290">
        <v>6.4</v>
      </c>
      <c r="H28" s="1290">
        <v>6.55</v>
      </c>
      <c r="I28" s="1290">
        <v>4</v>
      </c>
      <c r="J28" s="1290">
        <v>4.5</v>
      </c>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41068</v>
      </c>
      <c r="D29" s="1290">
        <v>5.85</v>
      </c>
      <c r="E29" s="1290">
        <v>6.31</v>
      </c>
      <c r="F29" s="1290">
        <v>6.4</v>
      </c>
      <c r="G29" s="1290">
        <v>6.65</v>
      </c>
      <c r="H29" s="1290">
        <v>6.8</v>
      </c>
      <c r="I29" s="1290">
        <v>4.2</v>
      </c>
      <c r="J29" s="1290">
        <v>4.7</v>
      </c>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40731</v>
      </c>
      <c r="D30" s="1290">
        <v>6.1</v>
      </c>
      <c r="E30" s="1290">
        <v>6.56</v>
      </c>
      <c r="F30" s="1290">
        <v>6.65</v>
      </c>
      <c r="G30" s="1290">
        <v>6.9</v>
      </c>
      <c r="H30" s="1290">
        <v>7.05</v>
      </c>
      <c r="I30" s="1290">
        <v>4.45</v>
      </c>
      <c r="J30" s="1290">
        <v>4.9000000000000004</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40639</v>
      </c>
      <c r="D31" s="1290">
        <v>5.85</v>
      </c>
      <c r="E31" s="1290">
        <v>6.31</v>
      </c>
      <c r="F31" s="1290">
        <v>6.4</v>
      </c>
      <c r="G31" s="1290">
        <v>6.65</v>
      </c>
      <c r="H31" s="1290">
        <v>6.8</v>
      </c>
      <c r="I31" s="1290">
        <v>4.2</v>
      </c>
      <c r="J31" s="1290">
        <v>4.7</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40583</v>
      </c>
      <c r="D32" s="1290">
        <v>5.6</v>
      </c>
      <c r="E32" s="1290">
        <v>6.06</v>
      </c>
      <c r="F32" s="1290">
        <v>6.1</v>
      </c>
      <c r="G32" s="1290">
        <v>6.45</v>
      </c>
      <c r="H32" s="1290">
        <v>6.6</v>
      </c>
      <c r="I32" s="1290">
        <v>4</v>
      </c>
      <c r="J32" s="1290">
        <v>4.5</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40538</v>
      </c>
      <c r="D33" s="1290">
        <v>5.35</v>
      </c>
      <c r="E33" s="1290">
        <v>5.81</v>
      </c>
      <c r="F33" s="1290">
        <v>5.85</v>
      </c>
      <c r="G33" s="1290">
        <v>6.22</v>
      </c>
      <c r="H33" s="1290">
        <v>6.4</v>
      </c>
      <c r="I33" s="1290">
        <v>3.75</v>
      </c>
      <c r="J33" s="1290">
        <v>4.3</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40471</v>
      </c>
      <c r="D34" s="1290">
        <v>5.0999999999999996</v>
      </c>
      <c r="E34" s="1290">
        <v>5.56</v>
      </c>
      <c r="F34" s="1290">
        <v>5.6</v>
      </c>
      <c r="G34" s="1290">
        <v>5.96</v>
      </c>
      <c r="H34" s="1290">
        <v>6.14</v>
      </c>
      <c r="I34" s="1290">
        <v>3.5</v>
      </c>
      <c r="J34" s="1290">
        <v>4.05</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39805</v>
      </c>
      <c r="D35" s="1290">
        <v>4.8600000000000003</v>
      </c>
      <c r="E35" s="1290">
        <v>5.31</v>
      </c>
      <c r="F35" s="1290">
        <v>5.4</v>
      </c>
      <c r="G35" s="1290">
        <v>5.76</v>
      </c>
      <c r="H35" s="1290">
        <v>5.94</v>
      </c>
      <c r="I35" s="1290">
        <v>3.33</v>
      </c>
      <c r="J35" s="1290">
        <v>3.87</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39779</v>
      </c>
      <c r="D36" s="1290">
        <v>5.04</v>
      </c>
      <c r="E36" s="1290">
        <v>5.58</v>
      </c>
      <c r="F36" s="1290">
        <v>5.67</v>
      </c>
      <c r="G36" s="1290">
        <v>5.94</v>
      </c>
      <c r="H36" s="1290">
        <v>6.12</v>
      </c>
      <c r="I36" s="1290">
        <v>3.51</v>
      </c>
      <c r="J36" s="1290">
        <v>4.05</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39751</v>
      </c>
      <c r="D37" s="1290">
        <v>6.03</v>
      </c>
      <c r="E37" s="1290">
        <v>6.66</v>
      </c>
      <c r="F37" s="1290">
        <v>6.75</v>
      </c>
      <c r="G37" s="1290">
        <v>7.02</v>
      </c>
      <c r="H37" s="1290">
        <v>7.2</v>
      </c>
      <c r="I37" s="1290">
        <v>4.05</v>
      </c>
      <c r="J37" s="1290">
        <v>4.59</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2">
        <v>39748</v>
      </c>
      <c r="D38" s="1290">
        <v>6.12</v>
      </c>
      <c r="E38" s="1290">
        <v>6.93</v>
      </c>
      <c r="F38" s="1290">
        <v>7.02</v>
      </c>
      <c r="G38" s="1290">
        <v>7.29</v>
      </c>
      <c r="H38" s="1290">
        <v>7.47</v>
      </c>
      <c r="I38" s="1290">
        <v>4.05</v>
      </c>
      <c r="J38" s="1290">
        <v>4.59</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1">
        <v>39730</v>
      </c>
      <c r="D39" s="1290">
        <v>6.12</v>
      </c>
      <c r="E39" s="1290">
        <v>6.93</v>
      </c>
      <c r="F39" s="1290">
        <v>7.02</v>
      </c>
      <c r="G39" s="1290">
        <v>7.29</v>
      </c>
      <c r="H39" s="1290">
        <v>7.47</v>
      </c>
      <c r="I39" s="1290">
        <v>4.32</v>
      </c>
      <c r="J39" s="1290">
        <v>4.8600000000000003</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1">
        <v>39707</v>
      </c>
      <c r="D40" s="1290">
        <v>6.21</v>
      </c>
      <c r="E40" s="1290">
        <v>7.2</v>
      </c>
      <c r="F40" s="1290">
        <v>7.29</v>
      </c>
      <c r="G40" s="1290">
        <v>7.56</v>
      </c>
      <c r="H40" s="1290">
        <v>7.74</v>
      </c>
      <c r="I40" s="1290">
        <v>4.59</v>
      </c>
      <c r="J40" s="1290">
        <v>5.13</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39437</v>
      </c>
      <c r="D41" s="1290">
        <v>6.57</v>
      </c>
      <c r="E41" s="1290">
        <v>7.47</v>
      </c>
      <c r="F41" s="1290">
        <v>7.56</v>
      </c>
      <c r="G41" s="1290">
        <v>7.74</v>
      </c>
      <c r="H41" s="1290">
        <v>7.83</v>
      </c>
      <c r="I41" s="1290">
        <v>4.7699999999999996</v>
      </c>
      <c r="J41" s="1290">
        <v>5.22</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39340</v>
      </c>
      <c r="D42" s="1290">
        <v>6.48</v>
      </c>
      <c r="E42" s="1290">
        <v>7.29</v>
      </c>
      <c r="F42" s="1290">
        <v>7.47</v>
      </c>
      <c r="G42" s="1290">
        <v>7.65</v>
      </c>
      <c r="H42" s="1290">
        <v>7.83</v>
      </c>
      <c r="I42" s="1290">
        <v>4.7699999999999996</v>
      </c>
      <c r="J42" s="1290">
        <v>5.22</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39316</v>
      </c>
      <c r="D43" s="1290">
        <v>6.21</v>
      </c>
      <c r="E43" s="1290">
        <v>7.02</v>
      </c>
      <c r="F43" s="1290">
        <v>7.2</v>
      </c>
      <c r="G43" s="1290">
        <v>7.38</v>
      </c>
      <c r="H43" s="1290">
        <v>7.56</v>
      </c>
      <c r="I43" s="1290">
        <v>4.59</v>
      </c>
      <c r="J43" s="1290">
        <v>5.04</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39284</v>
      </c>
      <c r="D44" s="1290">
        <v>6.03</v>
      </c>
      <c r="E44" s="1290">
        <v>6.84</v>
      </c>
      <c r="F44" s="1290">
        <v>7.02</v>
      </c>
      <c r="G44" s="1290">
        <v>7.2</v>
      </c>
      <c r="H44" s="1290">
        <v>7.38</v>
      </c>
      <c r="I44" s="1290">
        <v>4.5</v>
      </c>
      <c r="J44" s="1290">
        <v>4.95</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39221</v>
      </c>
      <c r="D45" s="1290">
        <v>5.85</v>
      </c>
      <c r="E45" s="1290">
        <v>6.57</v>
      </c>
      <c r="F45" s="1290">
        <v>6.75</v>
      </c>
      <c r="G45" s="1290">
        <v>6.93</v>
      </c>
      <c r="H45" s="1290">
        <v>7.2</v>
      </c>
      <c r="I45" s="1290">
        <v>4.41</v>
      </c>
      <c r="J45" s="1290">
        <v>4.8600000000000003</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39159</v>
      </c>
      <c r="D46" s="1290">
        <v>5.67</v>
      </c>
      <c r="E46" s="1290">
        <v>6.39</v>
      </c>
      <c r="F46" s="1290">
        <v>6.57</v>
      </c>
      <c r="G46" s="1290">
        <v>6.75</v>
      </c>
      <c r="H46" s="1290">
        <v>7.11</v>
      </c>
      <c r="I46" s="1290">
        <v>4.32</v>
      </c>
      <c r="J46" s="1290">
        <v>4.7699999999999996</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38948</v>
      </c>
      <c r="D47" s="1290">
        <v>5.58</v>
      </c>
      <c r="E47" s="1290">
        <v>6.12</v>
      </c>
      <c r="F47" s="1290">
        <v>6.3</v>
      </c>
      <c r="G47" s="1290">
        <v>6.48</v>
      </c>
      <c r="H47" s="1290">
        <v>6.84</v>
      </c>
      <c r="I47" s="1290">
        <v>4.1399999999999997</v>
      </c>
      <c r="J47" s="1290">
        <v>4.59</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38835</v>
      </c>
      <c r="D48" s="1290">
        <v>5.4</v>
      </c>
      <c r="E48" s="1290">
        <v>5.85</v>
      </c>
      <c r="F48" s="1290">
        <v>6.03</v>
      </c>
      <c r="G48" s="1290">
        <v>6.12</v>
      </c>
      <c r="H48" s="1290">
        <v>6.39</v>
      </c>
      <c r="I48" s="1290">
        <v>4.1399999999999997</v>
      </c>
      <c r="J48" s="1290">
        <v>4.59</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38428</v>
      </c>
      <c r="D49" s="1290">
        <v>5.22</v>
      </c>
      <c r="E49" s="1290">
        <v>5.58</v>
      </c>
      <c r="F49" s="1290">
        <v>5.76</v>
      </c>
      <c r="G49" s="1290">
        <v>5.85</v>
      </c>
      <c r="H49" s="1290">
        <v>6.12</v>
      </c>
      <c r="I49" s="1290">
        <v>3.96</v>
      </c>
      <c r="J49" s="1290">
        <v>4.41</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38289</v>
      </c>
      <c r="D50" s="1290">
        <v>5.22</v>
      </c>
      <c r="E50" s="1290">
        <v>5.58</v>
      </c>
      <c r="F50" s="1290">
        <v>5.76</v>
      </c>
      <c r="G50" s="1290">
        <v>5.85</v>
      </c>
      <c r="H50" s="1290">
        <v>6.12</v>
      </c>
      <c r="I50" s="1290">
        <v>3.78</v>
      </c>
      <c r="J50" s="1290">
        <v>4.2300000000000004</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37308</v>
      </c>
      <c r="D51" s="1290">
        <v>5.04</v>
      </c>
      <c r="E51" s="1290">
        <v>5.31</v>
      </c>
      <c r="F51" s="1290">
        <v>5.49</v>
      </c>
      <c r="G51" s="1290">
        <v>5.58</v>
      </c>
      <c r="H51" s="1290">
        <v>5.76</v>
      </c>
      <c r="I51" s="1290">
        <v>3.6</v>
      </c>
      <c r="J51" s="1290">
        <v>4.05</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36321</v>
      </c>
      <c r="D52" s="1290">
        <v>5.58</v>
      </c>
      <c r="E52" s="1290">
        <v>5.85</v>
      </c>
      <c r="F52" s="1290">
        <v>5.94</v>
      </c>
      <c r="G52" s="1290">
        <v>6.03</v>
      </c>
      <c r="H52" s="1290">
        <v>6.21</v>
      </c>
      <c r="I52" s="1290">
        <v>4.1399999999999997</v>
      </c>
      <c r="J52" s="1290">
        <v>4.59</v>
      </c>
      <c r="L52" s="1290"/>
      <c r="M52" s="1291"/>
      <c r="N52" s="1290"/>
      <c r="O52" s="1290"/>
      <c r="P52" s="1290"/>
      <c r="Q52" s="1290"/>
      <c r="R52" s="1290"/>
      <c r="S52" s="1290"/>
      <c r="T52" s="1290"/>
      <c r="U52" s="1290"/>
      <c r="V52" s="1290"/>
      <c r="W52" s="1290"/>
      <c r="X52" s="1290"/>
      <c r="Y52" s="1290"/>
      <c r="Z52" s="1290"/>
    </row>
    <row r="53" spans="2:26">
      <c r="B53" s="1290"/>
      <c r="C53" s="1291">
        <v>36136</v>
      </c>
      <c r="D53" s="1290">
        <v>6.12</v>
      </c>
      <c r="E53" s="1290">
        <v>6.39</v>
      </c>
      <c r="F53" s="1290">
        <v>6.66</v>
      </c>
      <c r="G53" s="1290">
        <v>7.2</v>
      </c>
      <c r="H53" s="1290">
        <v>7.56</v>
      </c>
      <c r="I53" s="1290">
        <v>0</v>
      </c>
      <c r="J53" s="1290">
        <v>0</v>
      </c>
      <c r="L53" s="1290"/>
      <c r="M53" s="1291"/>
      <c r="N53" s="1290"/>
      <c r="O53" s="1290"/>
      <c r="P53" s="1290"/>
      <c r="Q53" s="1290"/>
      <c r="R53" s="1290"/>
      <c r="S53" s="1290"/>
      <c r="T53" s="1290"/>
      <c r="U53" s="1290"/>
      <c r="V53" s="1290"/>
      <c r="W53" s="1290"/>
      <c r="X53" s="1290"/>
      <c r="Y53" s="1290"/>
      <c r="Z53" s="1290"/>
    </row>
    <row r="54" spans="2:26">
      <c r="B54" s="1290"/>
      <c r="C54" s="1291">
        <v>35977</v>
      </c>
      <c r="D54" s="1290">
        <v>6.57</v>
      </c>
      <c r="E54" s="1290">
        <v>6.93</v>
      </c>
      <c r="F54" s="1290">
        <v>7.11</v>
      </c>
      <c r="G54" s="1290">
        <v>7.65</v>
      </c>
      <c r="H54" s="1290">
        <v>8.01</v>
      </c>
      <c r="I54" s="1290">
        <v>0</v>
      </c>
      <c r="J54" s="1290">
        <v>0</v>
      </c>
      <c r="L54" s="1290"/>
      <c r="M54" s="1291"/>
      <c r="N54" s="1290"/>
      <c r="O54" s="1290"/>
      <c r="P54" s="1290"/>
      <c r="Q54" s="1290"/>
      <c r="R54" s="1290"/>
      <c r="S54" s="1290"/>
      <c r="T54" s="1290"/>
      <c r="U54" s="1290"/>
      <c r="V54" s="1290"/>
      <c r="W54" s="1290"/>
      <c r="X54" s="1290"/>
      <c r="Y54" s="1290"/>
      <c r="Z54" s="1290"/>
    </row>
    <row r="55" spans="2:26">
      <c r="B55" s="1290"/>
      <c r="C55" s="1291">
        <v>35879</v>
      </c>
      <c r="D55" s="1290">
        <v>7.02</v>
      </c>
      <c r="E55" s="1290">
        <v>7.92</v>
      </c>
      <c r="F55" s="1290">
        <v>9</v>
      </c>
      <c r="G55" s="1290">
        <v>9.7200000000000006</v>
      </c>
      <c r="H55" s="1290">
        <v>10.35</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35726</v>
      </c>
      <c r="D56" s="1290">
        <v>7.65</v>
      </c>
      <c r="E56" s="1290">
        <v>8.64</v>
      </c>
      <c r="F56" s="1290">
        <v>9.36</v>
      </c>
      <c r="G56" s="1290">
        <v>9.9</v>
      </c>
      <c r="H56" s="1290">
        <v>10.53</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35300</v>
      </c>
      <c r="D57" s="1290">
        <v>9.18</v>
      </c>
      <c r="E57" s="1290">
        <v>10.08</v>
      </c>
      <c r="F57" s="1290">
        <v>10.98</v>
      </c>
      <c r="G57" s="1290">
        <v>11.7</v>
      </c>
      <c r="H57" s="1290">
        <v>12.42</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35186</v>
      </c>
      <c r="D58" s="1290">
        <v>9.7200000000000006</v>
      </c>
      <c r="E58" s="1290">
        <v>10.98</v>
      </c>
      <c r="F58" s="1290">
        <v>13.14</v>
      </c>
      <c r="G58" s="1290">
        <v>14.94</v>
      </c>
      <c r="H58" s="1290">
        <v>15.12</v>
      </c>
      <c r="I58" s="1290">
        <v>0</v>
      </c>
      <c r="J58" s="1290">
        <v>0</v>
      </c>
    </row>
    <row r="59" spans="2:26">
      <c r="B59" s="1290"/>
      <c r="C59" s="1291">
        <v>34881</v>
      </c>
      <c r="D59" s="1290">
        <v>10.08</v>
      </c>
      <c r="E59" s="1290">
        <v>12.06</v>
      </c>
      <c r="F59" s="1290">
        <v>13.5</v>
      </c>
      <c r="G59" s="1290">
        <v>15.12</v>
      </c>
      <c r="H59" s="1290">
        <v>15.3</v>
      </c>
      <c r="I59" s="1290">
        <v>0</v>
      </c>
      <c r="J59" s="1290">
        <v>0</v>
      </c>
    </row>
    <row r="60" spans="2:26">
      <c r="B60" s="1290"/>
      <c r="C60" s="1291">
        <v>34700</v>
      </c>
      <c r="D60" s="1290">
        <v>9</v>
      </c>
      <c r="E60" s="1290">
        <v>10.98</v>
      </c>
      <c r="F60" s="1290">
        <v>12.96</v>
      </c>
      <c r="G60" s="1290">
        <v>14.58</v>
      </c>
      <c r="H60" s="1290">
        <v>14.76</v>
      </c>
      <c r="I60" s="1290">
        <v>0</v>
      </c>
      <c r="J60" s="1290">
        <v>0</v>
      </c>
    </row>
    <row r="61" spans="2:26">
      <c r="B61" s="1290"/>
      <c r="C61" s="1291">
        <v>34161</v>
      </c>
      <c r="D61" s="1290">
        <v>9</v>
      </c>
      <c r="E61" s="1290">
        <v>10.98</v>
      </c>
      <c r="F61" s="1290">
        <v>12.24</v>
      </c>
      <c r="G61" s="1290">
        <v>13.86</v>
      </c>
      <c r="H61" s="1290">
        <v>14.04</v>
      </c>
      <c r="I61" s="1290">
        <v>0</v>
      </c>
      <c r="J61" s="1290">
        <v>0</v>
      </c>
    </row>
    <row r="62" spans="2:26">
      <c r="B62" s="1290"/>
      <c r="C62" s="1291">
        <v>34104</v>
      </c>
      <c r="D62" s="1290">
        <v>8.82</v>
      </c>
      <c r="E62" s="1290">
        <v>9.36</v>
      </c>
      <c r="F62" s="1290">
        <v>10.8</v>
      </c>
      <c r="G62" s="1290">
        <v>12.06</v>
      </c>
      <c r="H62" s="1290">
        <v>12.24</v>
      </c>
      <c r="I62" s="1290">
        <v>0</v>
      </c>
      <c r="J62" s="1290">
        <v>0</v>
      </c>
    </row>
    <row r="63" spans="2:26">
      <c r="B63" s="1290"/>
      <c r="C63" s="1291">
        <v>33349</v>
      </c>
      <c r="D63" s="1290">
        <v>8.1</v>
      </c>
      <c r="E63" s="1290">
        <v>8.64</v>
      </c>
      <c r="F63" s="1290">
        <v>9</v>
      </c>
      <c r="G63" s="1290">
        <v>9.5399999999999991</v>
      </c>
      <c r="H63" s="1290">
        <v>9.7200000000000006</v>
      </c>
      <c r="I63" s="1290">
        <v>0</v>
      </c>
      <c r="J63" s="1290">
        <v>0</v>
      </c>
    </row>
    <row r="64" spans="2:26">
      <c r="B64" s="1290"/>
      <c r="C64" s="1291">
        <v>33318</v>
      </c>
      <c r="D64" s="1290">
        <v>9</v>
      </c>
      <c r="E64" s="1290">
        <v>10.08</v>
      </c>
      <c r="F64" s="1290">
        <v>10.8</v>
      </c>
      <c r="G64" s="1290">
        <v>11.52</v>
      </c>
      <c r="H64" s="1290">
        <v>11.88</v>
      </c>
      <c r="I64" s="1290" t="s">
        <v>633</v>
      </c>
      <c r="J64" s="1290" t="s">
        <v>633</v>
      </c>
    </row>
    <row r="65" spans="2:10">
      <c r="B65" s="1290"/>
      <c r="C65" s="1291">
        <v>33106</v>
      </c>
      <c r="D65" s="1290">
        <v>8.64</v>
      </c>
      <c r="E65" s="1290">
        <v>9.36</v>
      </c>
      <c r="F65" s="1290">
        <v>10.08</v>
      </c>
      <c r="G65" s="1290">
        <v>10.8</v>
      </c>
      <c r="H65" s="1290">
        <v>11.16</v>
      </c>
      <c r="I65" s="1290">
        <v>0</v>
      </c>
      <c r="J65" s="1290">
        <v>0</v>
      </c>
    </row>
    <row r="66" spans="2:10">
      <c r="B66" s="1290"/>
      <c r="C66" s="1291">
        <v>32540</v>
      </c>
      <c r="D66" s="1290">
        <v>11.34</v>
      </c>
      <c r="E66" s="1290">
        <v>11.34</v>
      </c>
      <c r="F66" s="1290">
        <v>12.78</v>
      </c>
      <c r="G66" s="1290">
        <v>14.4</v>
      </c>
      <c r="H66" s="1290">
        <v>19.260000000000002</v>
      </c>
      <c r="I66" s="1290">
        <v>0</v>
      </c>
      <c r="J66" s="1290">
        <v>0</v>
      </c>
    </row>
    <row r="67" spans="2:10">
      <c r="B67" s="1290"/>
      <c r="C67" s="1291"/>
      <c r="D67" s="1290"/>
      <c r="E67" s="1290"/>
      <c r="F67" s="1290"/>
      <c r="G67" s="1290"/>
      <c r="H67" s="1290"/>
      <c r="I67" s="1290"/>
      <c r="J67" s="1290"/>
    </row>
    <row r="68" spans="2:10">
      <c r="B68" s="1293"/>
      <c r="C68" s="1294"/>
      <c r="D68" s="1293"/>
      <c r="E68" s="1293"/>
      <c r="F68" s="1293"/>
      <c r="G68" s="1293"/>
      <c r="H68" s="1293"/>
      <c r="I68" s="1293"/>
      <c r="J68" s="1293"/>
    </row>
    <row r="69" spans="2:10">
      <c r="B69" s="1293"/>
      <c r="C69" s="1294"/>
      <c r="D69" s="1293"/>
      <c r="E69" s="1293"/>
      <c r="F69" s="1293"/>
      <c r="G69" s="1293"/>
      <c r="H69" s="1293"/>
      <c r="I69" s="1293"/>
      <c r="J69" s="1293"/>
    </row>
    <row r="70" spans="2:10">
      <c r="B70" s="1293"/>
      <c r="C70" s="1294"/>
      <c r="D70" s="1293"/>
      <c r="E70" s="1293"/>
      <c r="F70" s="1293"/>
      <c r="G70" s="1293"/>
      <c r="H70" s="1293"/>
      <c r="I70" s="1293"/>
      <c r="J70" s="1293"/>
    </row>
    <row r="71" spans="2:10">
      <c r="B71" s="1242"/>
      <c r="C71" s="1242"/>
      <c r="D71" s="1242"/>
      <c r="E71" s="1242"/>
      <c r="F71" s="1242"/>
      <c r="G71" s="1242"/>
      <c r="H71" s="1242"/>
      <c r="I71" s="1242"/>
      <c r="J71" s="1242"/>
    </row>
    <row r="72" spans="2:10">
      <c r="B72" s="1242"/>
      <c r="C72" s="1242"/>
      <c r="D72" s="1242"/>
      <c r="E72" s="1242"/>
      <c r="F72" s="1242"/>
      <c r="G72" s="1242"/>
      <c r="H72" s="1242"/>
      <c r="I72" s="1242"/>
      <c r="J72" s="1242"/>
    </row>
  </sheetData>
  <sheetProtection password="CEE9" sheet="1" objects="1" scenarios="1"/>
  <phoneticPr fontId="134"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51</vt:i4>
      </vt:variant>
      <vt:variant>
        <vt:lpstr>命名范围</vt:lpstr>
      </vt:variant>
      <vt:variant>
        <vt:i4>153</vt:i4>
      </vt:variant>
    </vt:vector>
  </HeadingPairs>
  <TitlesOfParts>
    <vt:vector size="204"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面积明细</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基准地价修正</vt:lpstr>
      <vt:lpstr>收益法</vt:lpstr>
      <vt:lpstr>收益法 (元)</vt:lpstr>
      <vt:lpstr>收益法-酒店模型</vt:lpstr>
      <vt:lpstr>收益法 (车位)</vt:lpstr>
      <vt:lpstr>收益法（汇总）</vt:lpstr>
      <vt:lpstr>比较法-住宅</vt:lpstr>
      <vt:lpstr>比较法-商业</vt:lpstr>
      <vt:lpstr>比较法-办公</vt:lpstr>
      <vt:lpstr>租金</vt:lpstr>
      <vt:lpstr>售价</vt:lpstr>
      <vt:lpstr>比较法-工业</vt:lpstr>
      <vt:lpstr>大宗</vt:lpstr>
      <vt:lpstr>案例</vt:lpstr>
      <vt:lpstr>比较法-车位</vt:lpstr>
      <vt:lpstr>比较法-仓储</vt:lpstr>
      <vt:lpstr>土地比较法-住宅、综合</vt:lpstr>
      <vt:lpstr>土地比较法-工业</vt:lpstr>
      <vt:lpstr>典型户型修正</vt:lpstr>
      <vt:lpstr>基准地价（汇总）</vt:lpstr>
      <vt:lpstr>修正</vt:lpstr>
      <vt:lpstr>容积率修正</vt:lpstr>
      <vt:lpstr>成本法（废）</vt:lpstr>
      <vt:lpstr>区片价</vt:lpstr>
      <vt:lpstr>因素修正幅度</vt:lpstr>
      <vt:lpstr>区片价（范围）</vt:lpstr>
      <vt:lpstr>地价-分区</vt:lpstr>
      <vt:lpstr>地价</vt:lpstr>
      <vt:lpstr>存贷款利率</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(车位)'!Print_Area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Administrator</cp:lastModifiedBy>
  <cp:lastPrinted>2017-03-01T09:15:43Z</cp:lastPrinted>
  <dcterms:created xsi:type="dcterms:W3CDTF">2015-07-13T07:17:23Z</dcterms:created>
  <dcterms:modified xsi:type="dcterms:W3CDTF">2023-03-10T02:43:58Z</dcterms:modified>
</cp:coreProperties>
</file>